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xr:revisionPtr revIDLastSave="687" documentId="11_EFC9320A8186C926F939B84543AEF1A51C89A514" xr6:coauthVersionLast="47" xr6:coauthVersionMax="47" xr10:uidLastSave="{8A00AF2D-BB45-48FD-AE44-B4727A88C586}"/>
  <bookViews>
    <workbookView xWindow="-120" yWindow="-16320" windowWidth="29040" windowHeight="15840" firstSheet="1" activeTab="9" xr2:uid="{00000000-000D-0000-FFFF-FFFF00000000}"/>
  </bookViews>
  <sheets>
    <sheet name="Plano_V1" sheetId="19" state="hidden" r:id="rId1"/>
    <sheet name="1. Status Resumo" sheetId="15" r:id="rId2"/>
    <sheet name="2. Status Detalhe Campos" sheetId="17" r:id="rId3"/>
    <sheet name="Plano_V3" sheetId="20" state="hidden" r:id="rId4"/>
    <sheet name="Aux - pivots1" sheetId="14" state="hidden" r:id="rId5"/>
    <sheet name="Aux - Pivots2" sheetId="18" state="hidden" r:id="rId6"/>
    <sheet name="Caderno Testes" sheetId="1" r:id="rId7"/>
    <sheet name="2. Controlos Corporativos - GD" sheetId="4" state="hidden" r:id="rId8"/>
    <sheet name="Auxiliar" sheetId="3" state="hidden" r:id="rId9"/>
    <sheet name="Plano Campos" sheetId="21" r:id="rId10"/>
    <sheet name="Plano de Testes" sheetId="22" state="hidden" r:id="rId11"/>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Testes'!$B$795:$M$1013</definedName>
    <definedName name="_xlnm._FilterDatabase" localSheetId="9" hidden="1">'Plano Campos'!$A$16:$CO$241</definedName>
    <definedName name="_xlnm._FilterDatabase" localSheetId="10" hidden="1">'Plano de Testes'!$B$11:$BB$37</definedName>
    <definedName name="_xlnm._FilterDatabase" localSheetId="0" hidden="1">Plano_V1!$B$13:$K$636</definedName>
    <definedName name="_xlnm._FilterDatabase" localSheetId="3" hidden="1">Plano_V3!$B$13:$P$592</definedName>
    <definedName name="_xlcn.WorksheetConnection_2.StatusDetalheCamposB6G6051" hidden="1">'2. Status Detalhe Campos'!$B$6:$G$574</definedName>
    <definedName name="_xlcn.WorksheetConnection_Sheet2B2G5451" hidden="1">'2. Status Detalhe Campos'!$B$6:$G$560</definedName>
    <definedName name="_xlcn.WorksheetConnection_TestesGDPilar3Plano_versãotrabalho_V1.2.xlsxTable41" hidden="1">Table4[]</definedName>
    <definedName name="_xlcn.WorksheetConnection_TipologiasdeTestesGDModeloVerdeBensImov_V0.11.xlsxTable11" hidden="1">Table1[]</definedName>
  </definedNames>
  <calcPr calcId="191029"/>
  <pivotCaches>
    <pivotCache cacheId="0" r:id="rId12"/>
    <pivotCache cacheId="1" r:id="rId13"/>
    <pivotCache cacheId="2" r:id="rId14"/>
    <pivotCache cacheId="3" r:id="rId15"/>
    <pivotCache cacheId="4" r:id="rId16"/>
    <pivotCache cacheId="5" r:id="rId17"/>
    <pivotCache cacheId="6" r:id="rId1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30" i="21" l="1"/>
  <c r="G130" i="21"/>
  <c r="J100" i="21"/>
  <c r="G100"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G150" i="21"/>
  <c r="K77" i="21"/>
  <c r="K44" i="21"/>
  <c r="J44" i="21"/>
  <c r="G44" i="21"/>
  <c r="U76" i="21"/>
  <c r="V76" i="21" s="1"/>
  <c r="A76" i="21"/>
  <c r="U125" i="21"/>
  <c r="V125" i="21" s="1"/>
  <c r="A125" i="21"/>
  <c r="U124" i="21"/>
  <c r="V124" i="21" s="1"/>
  <c r="A124"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220" i="21"/>
  <c r="J229" i="21"/>
  <c r="K141" i="21"/>
  <c r="J161" i="21" l="1"/>
  <c r="G94" i="21" l="1"/>
  <c r="U232" i="21" l="1"/>
  <c r="V232" i="21" s="1"/>
  <c r="U231" i="21"/>
  <c r="V231" i="21" s="1"/>
  <c r="U230" i="21"/>
  <c r="V230" i="21" s="1"/>
  <c r="V99" i="21"/>
  <c r="I94" i="21"/>
  <c r="J94" i="21"/>
  <c r="K94" i="21"/>
  <c r="K92" i="21"/>
  <c r="J92" i="21"/>
  <c r="K28" i="21"/>
  <c r="Q239" i="21"/>
  <c r="K86" i="21"/>
  <c r="Q229" i="21"/>
  <c r="A229" i="21"/>
  <c r="A232" i="21"/>
  <c r="A231" i="21"/>
  <c r="A230" i="21"/>
  <c r="K50" i="21"/>
  <c r="A99" i="21" l="1"/>
  <c r="I213" i="21" l="1"/>
  <c r="G213" i="21"/>
  <c r="U17" i="15" l="1"/>
  <c r="Q240" i="21" l="1"/>
  <c r="Q189" i="21"/>
  <c r="J150" i="21"/>
  <c r="I150" i="21"/>
  <c r="J50" i="21"/>
  <c r="I50" i="21"/>
  <c r="J148" i="21"/>
  <c r="I148" i="21"/>
  <c r="I220" i="21"/>
  <c r="J77" i="21"/>
  <c r="I77" i="21"/>
  <c r="J17" i="21"/>
  <c r="I17" i="21"/>
  <c r="I161" i="21"/>
  <c r="J155" i="21"/>
  <c r="I155" i="21"/>
  <c r="J213" i="21"/>
  <c r="J80" i="21"/>
  <c r="I92" i="21"/>
  <c r="J115" i="21"/>
  <c r="I115" i="21"/>
  <c r="J137" i="21"/>
  <c r="J86" i="21"/>
  <c r="I86" i="21"/>
  <c r="J122" i="21"/>
  <c r="I122" i="21"/>
  <c r="J163" i="21"/>
  <c r="J117" i="21"/>
  <c r="J234" i="21"/>
  <c r="J141" i="21"/>
  <c r="J224" i="21"/>
  <c r="J19" i="21"/>
  <c r="J28" i="21"/>
  <c r="J190" i="21"/>
  <c r="J176" i="21"/>
  <c r="BU16" i="21" l="1"/>
  <c r="BN10" i="20"/>
  <c r="BN6" i="20" s="1"/>
  <c r="G50" i="21"/>
  <c r="K17" i="21"/>
  <c r="G148" i="21"/>
  <c r="G220" i="21"/>
  <c r="G77" i="21"/>
  <c r="G17" i="21"/>
  <c r="K80" i="21"/>
  <c r="G161" i="21"/>
  <c r="G155" i="21"/>
  <c r="G80" i="21"/>
  <c r="K137" i="21"/>
  <c r="K130" i="21" s="1"/>
  <c r="G92" i="21"/>
  <c r="G115" i="21"/>
  <c r="G137" i="21"/>
  <c r="G86" i="21"/>
  <c r="K122" i="21"/>
  <c r="G122" i="21"/>
  <c r="G163" i="21"/>
  <c r="G117" i="21"/>
  <c r="G234" i="21"/>
  <c r="G141" i="21"/>
  <c r="G224" i="21"/>
  <c r="K19" i="21"/>
  <c r="G19" i="21"/>
  <c r="G28" i="21"/>
  <c r="G190" i="21"/>
  <c r="G176" i="21"/>
  <c r="T241" i="21"/>
  <c r="U241" i="21" s="1"/>
  <c r="V241" i="21" s="1"/>
  <c r="A233" i="21"/>
  <c r="U160" i="21"/>
  <c r="V160" i="21" s="1"/>
  <c r="A160" i="21"/>
  <c r="U159" i="21"/>
  <c r="V159" i="21" s="1"/>
  <c r="A159" i="21"/>
  <c r="U158" i="21"/>
  <c r="V158" i="21" s="1"/>
  <c r="A158" i="21"/>
  <c r="U157" i="21"/>
  <c r="V157" i="21" s="1"/>
  <c r="A157" i="21"/>
  <c r="U156" i="21"/>
  <c r="V156" i="21" s="1"/>
  <c r="A156" i="21"/>
  <c r="V98" i="21"/>
  <c r="A98" i="21"/>
  <c r="U162" i="21"/>
  <c r="V162" i="21" s="1"/>
  <c r="A162" i="21"/>
  <c r="V97" i="21"/>
  <c r="A97" i="21"/>
  <c r="V96" i="21"/>
  <c r="A96" i="21"/>
  <c r="V95" i="21"/>
  <c r="A95" i="21"/>
  <c r="U154" i="21"/>
  <c r="V154" i="21" s="1"/>
  <c r="A154" i="21"/>
  <c r="U153" i="21"/>
  <c r="V153" i="21" s="1"/>
  <c r="A153"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223" i="21"/>
  <c r="V223" i="21" s="1"/>
  <c r="A223" i="21"/>
  <c r="U222" i="21"/>
  <c r="V222" i="21" s="1"/>
  <c r="A222" i="21"/>
  <c r="U221" i="21"/>
  <c r="V221" i="21" s="1"/>
  <c r="A221" i="21"/>
  <c r="U18" i="21"/>
  <c r="V18" i="21" s="1"/>
  <c r="A18" i="21"/>
  <c r="U152" i="21"/>
  <c r="V152" i="21" s="1"/>
  <c r="A152" i="21"/>
  <c r="U151" i="21"/>
  <c r="V151" i="21" s="1"/>
  <c r="A151" i="21"/>
  <c r="U149" i="21"/>
  <c r="V149" i="21" s="1"/>
  <c r="A149" i="21"/>
  <c r="U78" i="21"/>
  <c r="V78" i="21" s="1"/>
  <c r="A78" i="21"/>
  <c r="U85" i="21"/>
  <c r="V85" i="21" s="1"/>
  <c r="A85" i="21"/>
  <c r="U84" i="21"/>
  <c r="V84" i="21" s="1"/>
  <c r="A84" i="21"/>
  <c r="U219" i="21"/>
  <c r="V219" i="21" s="1"/>
  <c r="A219" i="21"/>
  <c r="U218" i="21"/>
  <c r="V218" i="21" s="1"/>
  <c r="A218" i="21"/>
  <c r="U217" i="21"/>
  <c r="V217" i="21" s="1"/>
  <c r="A217" i="21"/>
  <c r="U216" i="21"/>
  <c r="V216" i="21" s="1"/>
  <c r="A216" i="21"/>
  <c r="U215" i="21"/>
  <c r="V215" i="21" s="1"/>
  <c r="A215" i="21"/>
  <c r="U214" i="21"/>
  <c r="V214" i="21" s="1"/>
  <c r="A214" i="21"/>
  <c r="U83" i="21"/>
  <c r="V83" i="21" s="1"/>
  <c r="A83" i="21"/>
  <c r="U82" i="21"/>
  <c r="V82" i="21" s="1"/>
  <c r="A82" i="21"/>
  <c r="U81" i="21"/>
  <c r="V81" i="21" s="1"/>
  <c r="A81" i="21"/>
  <c r="U129" i="21"/>
  <c r="V129" i="21" s="1"/>
  <c r="A129" i="21"/>
  <c r="U128" i="21"/>
  <c r="V128" i="21" s="1"/>
  <c r="A128" i="21"/>
  <c r="U127" i="21"/>
  <c r="V127" i="21" s="1"/>
  <c r="A127" i="21"/>
  <c r="U126" i="21"/>
  <c r="V126" i="21" s="1"/>
  <c r="A126" i="21"/>
  <c r="U91" i="21"/>
  <c r="V91" i="21" s="1"/>
  <c r="A91" i="21"/>
  <c r="U90" i="21"/>
  <c r="V90" i="21" s="1"/>
  <c r="A90" i="21"/>
  <c r="U93" i="21"/>
  <c r="V93" i="21" s="1"/>
  <c r="A93" i="21"/>
  <c r="U116" i="21"/>
  <c r="V116" i="21" s="1"/>
  <c r="A116" i="21"/>
  <c r="U89" i="21"/>
  <c r="V89" i="21" s="1"/>
  <c r="A89" i="21"/>
  <c r="U140" i="21"/>
  <c r="V140" i="21" s="1"/>
  <c r="A140" i="21"/>
  <c r="U139" i="21"/>
  <c r="V139" i="21" s="1"/>
  <c r="A139" i="21"/>
  <c r="U138" i="21"/>
  <c r="V138" i="21" s="1"/>
  <c r="A138" i="21"/>
  <c r="U87" i="21"/>
  <c r="V87" i="21" s="1"/>
  <c r="A87" i="21"/>
  <c r="U88" i="21"/>
  <c r="V88" i="21" s="1"/>
  <c r="A88" i="21"/>
  <c r="U123" i="21"/>
  <c r="V123" i="21" s="1"/>
  <c r="A123" i="21"/>
  <c r="U175" i="21"/>
  <c r="V175" i="21" s="1"/>
  <c r="A175" i="21"/>
  <c r="U174" i="21"/>
  <c r="V174" i="21" s="1"/>
  <c r="A174" i="21"/>
  <c r="U173" i="21"/>
  <c r="V173" i="21" s="1"/>
  <c r="A173" i="21"/>
  <c r="U172" i="21"/>
  <c r="V172" i="21" s="1"/>
  <c r="A172" i="21"/>
  <c r="U171" i="21"/>
  <c r="V171" i="21" s="1"/>
  <c r="A171" i="21"/>
  <c r="U170" i="21"/>
  <c r="V170" i="21" s="1"/>
  <c r="A170" i="21"/>
  <c r="U169" i="21"/>
  <c r="V169" i="21" s="1"/>
  <c r="A169" i="21"/>
  <c r="U168" i="21"/>
  <c r="V168" i="21" s="1"/>
  <c r="A168" i="21"/>
  <c r="U167" i="21"/>
  <c r="V167" i="21" s="1"/>
  <c r="A167" i="21"/>
  <c r="U166" i="21"/>
  <c r="V166" i="21" s="1"/>
  <c r="A166" i="21"/>
  <c r="U165" i="21"/>
  <c r="V165" i="21" s="1"/>
  <c r="A165" i="21"/>
  <c r="U164" i="21"/>
  <c r="V164" i="21" s="1"/>
  <c r="A164" i="21"/>
  <c r="V121" i="21"/>
  <c r="A121" i="21"/>
  <c r="V120" i="21"/>
  <c r="A120" i="21"/>
  <c r="U119" i="21"/>
  <c r="V119" i="21" s="1"/>
  <c r="A119" i="21"/>
  <c r="U118" i="21"/>
  <c r="V118" i="21" s="1"/>
  <c r="A118" i="21"/>
  <c r="U147" i="21"/>
  <c r="V147" i="21" s="1"/>
  <c r="A147" i="21"/>
  <c r="U146" i="21"/>
  <c r="V146" i="21" s="1"/>
  <c r="A146" i="21"/>
  <c r="U145" i="21"/>
  <c r="V145" i="21" s="1"/>
  <c r="A145" i="21"/>
  <c r="U144" i="21"/>
  <c r="V144" i="21" s="1"/>
  <c r="A144" i="21"/>
  <c r="U143" i="21"/>
  <c r="V143" i="21" s="1"/>
  <c r="A143" i="21"/>
  <c r="U142" i="21"/>
  <c r="V142" i="21" s="1"/>
  <c r="A142" i="21"/>
  <c r="U238" i="21"/>
  <c r="V238" i="21" s="1"/>
  <c r="A238" i="21"/>
  <c r="U237" i="21"/>
  <c r="V237" i="21" s="1"/>
  <c r="A237" i="21"/>
  <c r="U136" i="21"/>
  <c r="V136" i="21" s="1"/>
  <c r="A136" i="21"/>
  <c r="U135" i="21"/>
  <c r="V135" i="21" s="1"/>
  <c r="A135" i="21"/>
  <c r="U134" i="21"/>
  <c r="V134" i="21" s="1"/>
  <c r="A134" i="21"/>
  <c r="U236" i="21"/>
  <c r="V236" i="21" s="1"/>
  <c r="A236" i="21"/>
  <c r="U235" i="21"/>
  <c r="V235" i="21" s="1"/>
  <c r="A235" i="21"/>
  <c r="U133" i="21"/>
  <c r="V133" i="21" s="1"/>
  <c r="A133" i="21"/>
  <c r="U132" i="21"/>
  <c r="V132" i="21" s="1"/>
  <c r="A132" i="21"/>
  <c r="U131" i="21"/>
  <c r="V131" i="21" s="1"/>
  <c r="A131" i="21"/>
  <c r="U114" i="21"/>
  <c r="V114" i="21" s="1"/>
  <c r="A114" i="21"/>
  <c r="U113" i="21"/>
  <c r="V113" i="21" s="1"/>
  <c r="A113" i="21"/>
  <c r="U112" i="21"/>
  <c r="V112" i="21" s="1"/>
  <c r="A112" i="21"/>
  <c r="U111" i="21"/>
  <c r="V111" i="21" s="1"/>
  <c r="A111" i="21"/>
  <c r="U110" i="21"/>
  <c r="V110" i="21" s="1"/>
  <c r="A110" i="21"/>
  <c r="U109" i="21"/>
  <c r="V109" i="21" s="1"/>
  <c r="A109" i="21"/>
  <c r="U108" i="21"/>
  <c r="V108" i="21" s="1"/>
  <c r="A108" i="21"/>
  <c r="U107" i="21"/>
  <c r="V107" i="21" s="1"/>
  <c r="A107" i="21"/>
  <c r="U106" i="21"/>
  <c r="V106" i="21" s="1"/>
  <c r="A106" i="21"/>
  <c r="U105" i="21"/>
  <c r="V105" i="21" s="1"/>
  <c r="A105" i="21"/>
  <c r="U104" i="21"/>
  <c r="V104" i="21" s="1"/>
  <c r="A104" i="21"/>
  <c r="V103" i="21"/>
  <c r="A103" i="21"/>
  <c r="V102" i="21"/>
  <c r="A102" i="21"/>
  <c r="V101" i="21"/>
  <c r="A101"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8" i="21"/>
  <c r="V228" i="21" s="1"/>
  <c r="A228" i="21"/>
  <c r="U227" i="21"/>
  <c r="V227" i="21" s="1"/>
  <c r="A227" i="21"/>
  <c r="U226" i="21"/>
  <c r="V226" i="21" s="1"/>
  <c r="A226" i="21"/>
  <c r="U225" i="21"/>
  <c r="V225" i="21" s="1"/>
  <c r="A225"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U205" i="21"/>
  <c r="V205" i="21" s="1"/>
  <c r="A205" i="21"/>
  <c r="U204" i="21"/>
  <c r="V204" i="21" s="1"/>
  <c r="A204" i="21"/>
  <c r="U203" i="21"/>
  <c r="V203" i="21" s="1"/>
  <c r="A203" i="21"/>
  <c r="U202" i="21"/>
  <c r="V202" i="21" s="1"/>
  <c r="A202" i="21"/>
  <c r="U201" i="21"/>
  <c r="V201" i="21" s="1"/>
  <c r="A201" i="21"/>
  <c r="U200" i="21"/>
  <c r="V200" i="21" s="1"/>
  <c r="A200" i="21"/>
  <c r="U199" i="21"/>
  <c r="V199" i="21" s="1"/>
  <c r="A199" i="21"/>
  <c r="U198" i="21"/>
  <c r="V198" i="21" s="1"/>
  <c r="A198" i="21"/>
  <c r="U197" i="21"/>
  <c r="V197" i="21" s="1"/>
  <c r="A197" i="21"/>
  <c r="U196" i="21"/>
  <c r="V196" i="21" s="1"/>
  <c r="A196" i="21"/>
  <c r="U195" i="21"/>
  <c r="V195" i="21" s="1"/>
  <c r="A195" i="21"/>
  <c r="U194" i="21"/>
  <c r="V194" i="21" s="1"/>
  <c r="A194" i="21"/>
  <c r="U193" i="21"/>
  <c r="V193" i="21" s="1"/>
  <c r="A193" i="21"/>
  <c r="U192" i="21"/>
  <c r="V192" i="21" s="1"/>
  <c r="A192" i="21"/>
  <c r="U191" i="21"/>
  <c r="V191" i="21" s="1"/>
  <c r="A191"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058" i="1"/>
  <c r="K100" i="21" l="1"/>
  <c r="O128" i="1"/>
  <c r="W128" i="1" s="1"/>
  <c r="J128" i="1"/>
  <c r="H128" i="1"/>
  <c r="O127" i="1"/>
  <c r="W127" i="1" s="1"/>
  <c r="J127" i="1"/>
  <c r="H127" i="1"/>
  <c r="A129" i="20" l="1"/>
  <c r="H129" i="20" s="1"/>
  <c r="A107" i="17"/>
  <c r="K107" i="17" s="1"/>
  <c r="O129" i="1"/>
  <c r="W129" i="1" s="1"/>
  <c r="K129" i="20" s="1"/>
  <c r="L129" i="20" s="1"/>
  <c r="J129" i="1"/>
  <c r="H129" i="1"/>
  <c r="O126" i="1"/>
  <c r="W126" i="1" s="1"/>
  <c r="H126" i="1"/>
  <c r="I129" i="20" l="1"/>
  <c r="J129" i="20" s="1"/>
  <c r="N129" i="20" s="1"/>
  <c r="O129" i="20" s="1"/>
  <c r="J107" i="17"/>
  <c r="L107" i="17"/>
  <c r="A498" i="17" l="1"/>
  <c r="A497" i="17"/>
  <c r="K497" i="17" s="1"/>
  <c r="A496" i="17"/>
  <c r="K496" i="17" s="1"/>
  <c r="A495" i="17"/>
  <c r="J495" i="17" s="1"/>
  <c r="A494" i="17"/>
  <c r="J494" i="17" s="1"/>
  <c r="A493" i="17"/>
  <c r="K493" i="17" s="1"/>
  <c r="A524" i="20"/>
  <c r="H524" i="20" s="1"/>
  <c r="A523" i="20"/>
  <c r="H523" i="20" s="1"/>
  <c r="A522" i="20"/>
  <c r="A521" i="20"/>
  <c r="H521" i="20" s="1"/>
  <c r="A520" i="20"/>
  <c r="A519" i="20"/>
  <c r="H1217" i="1"/>
  <c r="H1216" i="1"/>
  <c r="H1220" i="1"/>
  <c r="H1219" i="1"/>
  <c r="H1223" i="1"/>
  <c r="H1222" i="1"/>
  <c r="H1226" i="1"/>
  <c r="H1225" i="1"/>
  <c r="H1229" i="1"/>
  <c r="H1228" i="1"/>
  <c r="O1228" i="1"/>
  <c r="W1228" i="1" s="1"/>
  <c r="O1229" i="1"/>
  <c r="W1229" i="1" s="1"/>
  <c r="O1225" i="1"/>
  <c r="W1225" i="1" s="1"/>
  <c r="O1226" i="1"/>
  <c r="W1226" i="1" s="1"/>
  <c r="O1222" i="1"/>
  <c r="W1222" i="1" s="1"/>
  <c r="O1223" i="1"/>
  <c r="W1223" i="1" s="1"/>
  <c r="O1219" i="1"/>
  <c r="W1219" i="1" s="1"/>
  <c r="O1220" i="1"/>
  <c r="W1220" i="1" s="1"/>
  <c r="O1216" i="1"/>
  <c r="W1216" i="1" s="1"/>
  <c r="O1217" i="1"/>
  <c r="W1217" i="1" s="1"/>
  <c r="O1215" i="1"/>
  <c r="W1215" i="1" s="1"/>
  <c r="H1215" i="1"/>
  <c r="O1218" i="1"/>
  <c r="W1218" i="1" s="1"/>
  <c r="H1218" i="1"/>
  <c r="O1221" i="1"/>
  <c r="W1221" i="1" s="1"/>
  <c r="H1221" i="1"/>
  <c r="O1224" i="1"/>
  <c r="W1224" i="1" s="1"/>
  <c r="H1224" i="1"/>
  <c r="O1227" i="1"/>
  <c r="W1227" i="1" s="1"/>
  <c r="H1227" i="1"/>
  <c r="J497" i="17"/>
  <c r="H522" i="20"/>
  <c r="L494" i="17" l="1"/>
  <c r="K494" i="17"/>
  <c r="J493" i="17"/>
  <c r="J496" i="17"/>
  <c r="L493" i="17"/>
  <c r="L497" i="17"/>
  <c r="L495" i="17"/>
  <c r="L496" i="17"/>
  <c r="I520" i="20"/>
  <c r="J520" i="20" s="1"/>
  <c r="I524" i="20"/>
  <c r="J524" i="20" s="1"/>
  <c r="K523" i="20"/>
  <c r="L523" i="20" s="1"/>
  <c r="K521" i="20"/>
  <c r="L521" i="20" s="1"/>
  <c r="K520" i="20"/>
  <c r="L520" i="20" s="1"/>
  <c r="I523" i="20"/>
  <c r="J523" i="20" s="1"/>
  <c r="K522" i="20"/>
  <c r="L522" i="20" s="1"/>
  <c r="K495" i="17"/>
  <c r="H520" i="20"/>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82" i="15" l="1"/>
  <c r="T47" i="15"/>
  <c r="T21" i="15"/>
  <c r="T20"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51" i="15"/>
  <c r="T43" i="15" l="1"/>
  <c r="U43" i="15"/>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6" i="1"/>
  <c r="O795" i="1"/>
  <c r="O794" i="1"/>
  <c r="W794" i="1" s="1"/>
  <c r="O793" i="1"/>
  <c r="W793" i="1" s="1"/>
  <c r="O792" i="1"/>
  <c r="W792" i="1" s="1"/>
  <c r="O791" i="1"/>
  <c r="W791" i="1" s="1"/>
  <c r="H793" i="1"/>
  <c r="H791" i="1"/>
  <c r="H794" i="1"/>
  <c r="H792" i="1"/>
  <c r="A212" i="17"/>
  <c r="A211" i="17"/>
  <c r="A213" i="17"/>
  <c r="A214" i="17"/>
  <c r="K211" i="17" l="1"/>
  <c r="J212" i="17"/>
  <c r="K234" i="20"/>
  <c r="L234" i="20" s="1"/>
  <c r="I234" i="20"/>
  <c r="J234" i="20" s="1"/>
  <c r="K235" i="20"/>
  <c r="L235" i="20" s="1"/>
  <c r="I235" i="20"/>
  <c r="J235" i="20" s="1"/>
  <c r="L212" i="17"/>
  <c r="K212" i="17"/>
  <c r="J211" i="17"/>
  <c r="L211" i="17"/>
  <c r="H756" i="1"/>
  <c r="N234" i="20" l="1"/>
  <c r="O234" i="20" s="1"/>
  <c r="N235" i="20"/>
  <c r="O235" i="20" s="1"/>
  <c r="H596" i="1" l="1"/>
  <c r="A256" i="17" l="1"/>
  <c r="A279" i="20"/>
  <c r="H279" i="20" s="1"/>
  <c r="O871" i="1"/>
  <c r="W871" i="1" s="1"/>
  <c r="H871" i="1"/>
  <c r="J256" i="17" l="1"/>
  <c r="L256" i="17"/>
  <c r="K256" i="17"/>
  <c r="T46"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587" i="20" s="1"/>
  <c r="L587" i="20" s="1"/>
  <c r="W1309" i="1"/>
  <c r="K586" i="20" s="1"/>
  <c r="L586" i="20" s="1"/>
  <c r="W1308" i="1"/>
  <c r="K585" i="20" s="1"/>
  <c r="L585" i="20" s="1"/>
  <c r="W1307" i="1"/>
  <c r="K584" i="20" s="1"/>
  <c r="L584" i="20" s="1"/>
  <c r="W1306" i="1"/>
  <c r="K583" i="20" s="1"/>
  <c r="L583" i="20" s="1"/>
  <c r="W1305" i="1"/>
  <c r="K582" i="20" s="1"/>
  <c r="L582" i="20" s="1"/>
  <c r="W1304" i="1"/>
  <c r="K581" i="20" s="1"/>
  <c r="L581" i="20" s="1"/>
  <c r="W1303" i="1"/>
  <c r="K580" i="20" s="1"/>
  <c r="L580" i="20" s="1"/>
  <c r="W1302" i="1"/>
  <c r="K579" i="20" s="1"/>
  <c r="L579" i="20" s="1"/>
  <c r="W1301" i="1"/>
  <c r="K578" i="20" s="1"/>
  <c r="L578" i="20" s="1"/>
  <c r="W1300" i="1"/>
  <c r="K577" i="20" s="1"/>
  <c r="L577" i="20" s="1"/>
  <c r="W1299" i="1"/>
  <c r="K576" i="20" s="1"/>
  <c r="L576" i="20" s="1"/>
  <c r="W1298" i="1"/>
  <c r="K575" i="20" s="1"/>
  <c r="L575" i="20" s="1"/>
  <c r="W1297" i="1"/>
  <c r="K574" i="20" s="1"/>
  <c r="L574" i="20" s="1"/>
  <c r="W1296" i="1"/>
  <c r="K573" i="20" s="1"/>
  <c r="L573" i="20" s="1"/>
  <c r="W1295" i="1"/>
  <c r="K572" i="20" s="1"/>
  <c r="L572" i="20" s="1"/>
  <c r="W1294" i="1"/>
  <c r="K571" i="20" s="1"/>
  <c r="L571" i="20" s="1"/>
  <c r="W1293" i="1"/>
  <c r="K570" i="20" s="1"/>
  <c r="L570" i="20" s="1"/>
  <c r="W1292" i="1"/>
  <c r="K569" i="20" s="1"/>
  <c r="L569" i="20" s="1"/>
  <c r="W1291" i="1"/>
  <c r="K568" i="20" s="1"/>
  <c r="L568" i="20" s="1"/>
  <c r="W1290" i="1"/>
  <c r="K567" i="20" s="1"/>
  <c r="L567" i="20" s="1"/>
  <c r="W1289" i="1"/>
  <c r="K566" i="20" s="1"/>
  <c r="L566" i="20" s="1"/>
  <c r="W1288" i="1"/>
  <c r="K565" i="20" s="1"/>
  <c r="L565" i="20" s="1"/>
  <c r="W1287" i="1"/>
  <c r="K564" i="20" s="1"/>
  <c r="L564" i="20" s="1"/>
  <c r="W1286" i="1"/>
  <c r="K563" i="20" s="1"/>
  <c r="L563" i="20" s="1"/>
  <c r="W1285" i="1"/>
  <c r="K562" i="20" s="1"/>
  <c r="L562" i="20" s="1"/>
  <c r="W1284" i="1"/>
  <c r="K561" i="20" s="1"/>
  <c r="L561" i="20" s="1"/>
  <c r="W1283" i="1"/>
  <c r="K560" i="20" s="1"/>
  <c r="L560" i="20" s="1"/>
  <c r="W1282" i="1"/>
  <c r="K559" i="20" s="1"/>
  <c r="L559" i="20" s="1"/>
  <c r="W1281" i="1"/>
  <c r="K558" i="20" s="1"/>
  <c r="L558" i="20" s="1"/>
  <c r="W1280" i="1"/>
  <c r="K557" i="20" s="1"/>
  <c r="L557" i="20" s="1"/>
  <c r="W1279" i="1"/>
  <c r="K556" i="20" s="1"/>
  <c r="L556" i="20" s="1"/>
  <c r="W1278" i="1"/>
  <c r="K555" i="20" s="1"/>
  <c r="L555" i="20" s="1"/>
  <c r="W1277" i="1"/>
  <c r="K554" i="20" s="1"/>
  <c r="L554" i="20" s="1"/>
  <c r="W1276" i="1"/>
  <c r="K553" i="20" s="1"/>
  <c r="L553" i="20" s="1"/>
  <c r="W1275" i="1"/>
  <c r="K552" i="20" s="1"/>
  <c r="L552" i="20" s="1"/>
  <c r="W1274" i="1"/>
  <c r="K551" i="20" s="1"/>
  <c r="L551" i="20" s="1"/>
  <c r="W1273" i="1"/>
  <c r="K550" i="20" s="1"/>
  <c r="L550" i="20" s="1"/>
  <c r="W1272" i="1"/>
  <c r="K549" i="20" s="1"/>
  <c r="L549" i="20" s="1"/>
  <c r="W1271" i="1"/>
  <c r="K548" i="20" s="1"/>
  <c r="L548" i="20" s="1"/>
  <c r="W1270" i="1"/>
  <c r="K547" i="20" s="1"/>
  <c r="L547" i="20" s="1"/>
  <c r="W1269" i="1"/>
  <c r="K546" i="20" s="1"/>
  <c r="L546" i="20" s="1"/>
  <c r="W1268" i="1"/>
  <c r="K545" i="20" s="1"/>
  <c r="L545" i="20" s="1"/>
  <c r="W1267" i="1"/>
  <c r="K544" i="20" s="1"/>
  <c r="L544" i="20" s="1"/>
  <c r="W1266" i="1"/>
  <c r="K543" i="20" s="1"/>
  <c r="L543" i="20" s="1"/>
  <c r="W1265" i="1"/>
  <c r="K542" i="20" s="1"/>
  <c r="L542" i="20" s="1"/>
  <c r="W1264" i="1"/>
  <c r="K541" i="20" s="1"/>
  <c r="L541" i="20" s="1"/>
  <c r="W1263" i="1"/>
  <c r="K540" i="20" s="1"/>
  <c r="L540" i="20" s="1"/>
  <c r="W1262" i="1"/>
  <c r="K539" i="20" s="1"/>
  <c r="L539" i="20" s="1"/>
  <c r="W1261" i="1"/>
  <c r="K538" i="20" s="1"/>
  <c r="L538" i="20" s="1"/>
  <c r="W1260" i="1"/>
  <c r="K537" i="20" s="1"/>
  <c r="L537" i="20" s="1"/>
  <c r="W1259" i="1"/>
  <c r="K536" i="20" s="1"/>
  <c r="L536" i="20" s="1"/>
  <c r="W1258" i="1"/>
  <c r="K535" i="20" s="1"/>
  <c r="L535" i="20" s="1"/>
  <c r="W1257" i="1"/>
  <c r="K534" i="20" s="1"/>
  <c r="L534" i="20" s="1"/>
  <c r="H1311" i="1"/>
  <c r="H1312" i="1"/>
  <c r="H1313" i="1"/>
  <c r="H1314" i="1"/>
  <c r="H1315" i="1"/>
  <c r="H1316" i="1"/>
  <c r="H1317" i="1"/>
  <c r="H1318" i="1"/>
  <c r="H1319" i="1"/>
  <c r="H1320"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U78" i="15"/>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87" i="15" l="1"/>
  <c r="T86" i="15"/>
  <c r="T85" i="15"/>
  <c r="T84" i="15"/>
  <c r="T83" i="15"/>
  <c r="T81" i="15"/>
  <c r="T80" i="15"/>
  <c r="T79" i="15"/>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44" i="15"/>
  <c r="T45" i="15"/>
  <c r="T48" i="15"/>
  <c r="T49" i="15"/>
  <c r="T50" i="15"/>
  <c r="T52" i="15"/>
  <c r="T18" i="15"/>
  <c r="T19" i="15"/>
  <c r="T22" i="15"/>
  <c r="T23" i="15"/>
  <c r="T24" i="15"/>
  <c r="T25" i="15"/>
  <c r="T26" i="15"/>
  <c r="T27" i="15" l="1"/>
  <c r="Y13" i="20"/>
  <c r="Y9" i="20" s="1"/>
  <c r="X12" i="20"/>
  <c r="U13" i="19"/>
  <c r="T12" i="19"/>
  <c r="T78" i="15"/>
  <c r="T88" i="15"/>
  <c r="T53" i="15"/>
  <c r="A8" i="17"/>
  <c r="A7" i="17"/>
  <c r="L7" i="17" l="1"/>
  <c r="L8" i="17"/>
  <c r="K7" i="17"/>
  <c r="J7" i="17"/>
  <c r="J8" i="17"/>
  <c r="K8" i="17"/>
  <c r="Z13" i="20"/>
  <c r="Z9" i="20" s="1"/>
  <c r="Y12" i="20"/>
  <c r="V13" i="19"/>
  <c r="U12" i="19"/>
  <c r="H1301" i="1"/>
  <c r="H1302" i="1"/>
  <c r="H1303" i="1"/>
  <c r="H1304" i="1"/>
  <c r="H1305" i="1"/>
  <c r="H1306" i="1"/>
  <c r="H1307" i="1"/>
  <c r="H1308" i="1"/>
  <c r="H1309" i="1"/>
  <c r="H1310" i="1"/>
  <c r="H1293" i="1"/>
  <c r="H1294" i="1"/>
  <c r="H1295" i="1"/>
  <c r="H1296" i="1"/>
  <c r="H1297" i="1"/>
  <c r="H1298" i="1"/>
  <c r="H129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J266" i="1"/>
  <c r="C19" i="3"/>
  <c r="C16" i="3"/>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O1154" i="1"/>
  <c r="W1154" i="1" s="1"/>
  <c r="O1153" i="1"/>
  <c r="W1153" i="1" s="1"/>
  <c r="O1152" i="1"/>
  <c r="O1151" i="1"/>
  <c r="W1151" i="1" s="1"/>
  <c r="O1150" i="1"/>
  <c r="W1150" i="1" s="1"/>
  <c r="O1149" i="1"/>
  <c r="O1148" i="1"/>
  <c r="W1148" i="1" s="1"/>
  <c r="O1147" i="1"/>
  <c r="W1147" i="1" s="1"/>
  <c r="O1146" i="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67" i="20" s="1"/>
  <c r="L367" i="20" s="1"/>
  <c r="O1007" i="1"/>
  <c r="W1007" i="1" s="1"/>
  <c r="K366" i="20" s="1"/>
  <c r="L366" i="20" s="1"/>
  <c r="O1006" i="1"/>
  <c r="W1006" i="1" s="1"/>
  <c r="K365" i="20" s="1"/>
  <c r="L365" i="20" s="1"/>
  <c r="O1005" i="1"/>
  <c r="W1005" i="1" s="1"/>
  <c r="K364" i="20" s="1"/>
  <c r="L364" i="20" s="1"/>
  <c r="O1004" i="1"/>
  <c r="W1004" i="1" s="1"/>
  <c r="K363" i="20" s="1"/>
  <c r="L363" i="20" s="1"/>
  <c r="O1003" i="1"/>
  <c r="W1003" i="1" s="1"/>
  <c r="K362" i="20" s="1"/>
  <c r="L362" i="20" s="1"/>
  <c r="O1002" i="1"/>
  <c r="W1002" i="1" s="1"/>
  <c r="K361" i="20" s="1"/>
  <c r="L361" i="20" s="1"/>
  <c r="O1001" i="1"/>
  <c r="W1001" i="1" s="1"/>
  <c r="K360" i="20" s="1"/>
  <c r="L360" i="20" s="1"/>
  <c r="O1000" i="1"/>
  <c r="W1000" i="1" s="1"/>
  <c r="K359" i="20" s="1"/>
  <c r="L359" i="20" s="1"/>
  <c r="O999" i="1"/>
  <c r="W999" i="1" s="1"/>
  <c r="K358" i="20" s="1"/>
  <c r="L358" i="20" s="1"/>
  <c r="O998" i="1"/>
  <c r="W998" i="1" s="1"/>
  <c r="K357" i="20" s="1"/>
  <c r="L357" i="20" s="1"/>
  <c r="O997" i="1"/>
  <c r="W997" i="1" s="1"/>
  <c r="K356" i="20" s="1"/>
  <c r="L356" i="20" s="1"/>
  <c r="O996" i="1"/>
  <c r="W996" i="1" s="1"/>
  <c r="K355" i="20" s="1"/>
  <c r="L355" i="20" s="1"/>
  <c r="O995" i="1"/>
  <c r="W995" i="1" s="1"/>
  <c r="K354" i="20" s="1"/>
  <c r="L354" i="20" s="1"/>
  <c r="O994" i="1"/>
  <c r="W994" i="1" s="1"/>
  <c r="K353" i="20" s="1"/>
  <c r="L353" i="20" s="1"/>
  <c r="O993" i="1"/>
  <c r="W993" i="1" s="1"/>
  <c r="K352" i="20" s="1"/>
  <c r="L352" i="20" s="1"/>
  <c r="O992" i="1"/>
  <c r="W992" i="1" s="1"/>
  <c r="O991" i="1"/>
  <c r="W991" i="1" s="1"/>
  <c r="O990" i="1"/>
  <c r="W990" i="1" s="1"/>
  <c r="O989" i="1"/>
  <c r="W989" i="1" s="1"/>
  <c r="O988" i="1"/>
  <c r="W988" i="1" s="1"/>
  <c r="O987" i="1"/>
  <c r="W987" i="1" s="1"/>
  <c r="O986" i="1"/>
  <c r="W986" i="1" s="1"/>
  <c r="K348" i="20" s="1"/>
  <c r="L348" i="20" s="1"/>
  <c r="O985" i="1"/>
  <c r="W985" i="1" s="1"/>
  <c r="K347" i="20" s="1"/>
  <c r="L347" i="20" s="1"/>
  <c r="O984" i="1"/>
  <c r="W984" i="1" s="1"/>
  <c r="O983" i="1"/>
  <c r="W983" i="1" s="1"/>
  <c r="O982" i="1"/>
  <c r="W982" i="1" s="1"/>
  <c r="K345" i="20" s="1"/>
  <c r="L345" i="20" s="1"/>
  <c r="O981" i="1"/>
  <c r="W981" i="1" s="1"/>
  <c r="K344" i="20" s="1"/>
  <c r="L344" i="20" s="1"/>
  <c r="O980" i="1"/>
  <c r="W980" i="1" s="1"/>
  <c r="K343" i="20" s="1"/>
  <c r="L343" i="20" s="1"/>
  <c r="O979" i="1"/>
  <c r="W979" i="1" s="1"/>
  <c r="K342" i="20" s="1"/>
  <c r="L342" i="20" s="1"/>
  <c r="O978" i="1"/>
  <c r="W978" i="1" s="1"/>
  <c r="O977" i="1"/>
  <c r="W977" i="1" s="1"/>
  <c r="O976" i="1"/>
  <c r="W976" i="1" s="1"/>
  <c r="K340" i="20" s="1"/>
  <c r="L340" i="20" s="1"/>
  <c r="O975" i="1"/>
  <c r="W975" i="1" s="1"/>
  <c r="K339" i="20" s="1"/>
  <c r="L339" i="20" s="1"/>
  <c r="O974" i="1"/>
  <c r="W974" i="1" s="1"/>
  <c r="K338" i="20" s="1"/>
  <c r="L338" i="20" s="1"/>
  <c r="O973" i="1"/>
  <c r="W973" i="1" s="1"/>
  <c r="K337" i="20" s="1"/>
  <c r="L337" i="20" s="1"/>
  <c r="O972" i="1"/>
  <c r="W972" i="1" s="1"/>
  <c r="K336" i="20" s="1"/>
  <c r="L336" i="20" s="1"/>
  <c r="O971" i="1"/>
  <c r="W971" i="1" s="1"/>
  <c r="K335" i="20" s="1"/>
  <c r="L335" i="20" s="1"/>
  <c r="O970" i="1"/>
  <c r="W970" i="1" s="1"/>
  <c r="K334" i="20" s="1"/>
  <c r="L334" i="20" s="1"/>
  <c r="O969" i="1"/>
  <c r="W969" i="1" s="1"/>
  <c r="K333" i="20" s="1"/>
  <c r="L333" i="20" s="1"/>
  <c r="O968" i="1"/>
  <c r="W968" i="1" s="1"/>
  <c r="K332" i="20" s="1"/>
  <c r="L332" i="20" s="1"/>
  <c r="O967" i="1"/>
  <c r="W967" i="1" s="1"/>
  <c r="K331" i="20" s="1"/>
  <c r="L331" i="20" s="1"/>
  <c r="O966" i="1"/>
  <c r="W966" i="1" s="1"/>
  <c r="K330" i="20" s="1"/>
  <c r="L330" i="20" s="1"/>
  <c r="O965" i="1"/>
  <c r="W965" i="1" s="1"/>
  <c r="K329" i="20" s="1"/>
  <c r="L32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23" i="20" s="1"/>
  <c r="L323" i="20" s="1"/>
  <c r="O953" i="1"/>
  <c r="W953" i="1" s="1"/>
  <c r="O952" i="1"/>
  <c r="W952" i="1" s="1"/>
  <c r="O951" i="1"/>
  <c r="W951" i="1" s="1"/>
  <c r="K321" i="20" s="1"/>
  <c r="L321" i="20" s="1"/>
  <c r="O950" i="1"/>
  <c r="W950" i="1" s="1"/>
  <c r="O949" i="1"/>
  <c r="W949" i="1" s="1"/>
  <c r="O948" i="1"/>
  <c r="W948" i="1" s="1"/>
  <c r="O947" i="1"/>
  <c r="W947" i="1" s="1"/>
  <c r="O946" i="1"/>
  <c r="W946" i="1" s="1"/>
  <c r="O945" i="1"/>
  <c r="W945" i="1" s="1"/>
  <c r="O944" i="1"/>
  <c r="W944" i="1" s="1"/>
  <c r="K317" i="20" s="1"/>
  <c r="L317" i="20" s="1"/>
  <c r="O943" i="1"/>
  <c r="W943" i="1" s="1"/>
  <c r="O942" i="1"/>
  <c r="W942" i="1" s="1"/>
  <c r="O941" i="1"/>
  <c r="W941" i="1" s="1"/>
  <c r="K315" i="20" s="1"/>
  <c r="L31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80" i="20" s="1"/>
  <c r="L280" i="20" s="1"/>
  <c r="O870" i="1"/>
  <c r="W870" i="1" s="1"/>
  <c r="K278" i="20" s="1"/>
  <c r="L278" i="20" s="1"/>
  <c r="O869" i="1"/>
  <c r="W869" i="1" s="1"/>
  <c r="K277" i="20" s="1"/>
  <c r="L277" i="20" s="1"/>
  <c r="O868" i="1"/>
  <c r="W868" i="1" s="1"/>
  <c r="O867" i="1"/>
  <c r="W867" i="1" s="1"/>
  <c r="O866" i="1"/>
  <c r="W866" i="1" s="1"/>
  <c r="O865" i="1"/>
  <c r="W865" i="1" s="1"/>
  <c r="O864" i="1"/>
  <c r="W864" i="1" s="1"/>
  <c r="K274" i="20" s="1"/>
  <c r="L274" i="20" s="1"/>
  <c r="O863" i="1"/>
  <c r="W863" i="1" s="1"/>
  <c r="K273" i="20" s="1"/>
  <c r="L273" i="20" s="1"/>
  <c r="O862" i="1"/>
  <c r="W862" i="1" s="1"/>
  <c r="K272" i="20" s="1"/>
  <c r="L272" i="20" s="1"/>
  <c r="O861" i="1"/>
  <c r="W861" i="1" s="1"/>
  <c r="K271" i="20" s="1"/>
  <c r="L271" i="20" s="1"/>
  <c r="O860" i="1"/>
  <c r="W860" i="1" s="1"/>
  <c r="O859" i="1"/>
  <c r="W859" i="1" s="1"/>
  <c r="O858" i="1"/>
  <c r="W858" i="1" s="1"/>
  <c r="O857" i="1"/>
  <c r="W857" i="1" s="1"/>
  <c r="O856" i="1"/>
  <c r="W856" i="1" s="1"/>
  <c r="O855" i="1"/>
  <c r="W855" i="1" s="1"/>
  <c r="O854" i="1"/>
  <c r="W854" i="1" s="1"/>
  <c r="K267" i="20" s="1"/>
  <c r="L26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61" i="20" s="1"/>
  <c r="L26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47" i="20" s="1"/>
  <c r="L247" i="20" s="1"/>
  <c r="O815" i="1"/>
  <c r="W815" i="1" s="1"/>
  <c r="O814" i="1"/>
  <c r="W814" i="1" s="1"/>
  <c r="O813" i="1"/>
  <c r="W813" i="1" s="1"/>
  <c r="O812" i="1"/>
  <c r="W812" i="1" s="1"/>
  <c r="O811" i="1"/>
  <c r="W811" i="1" s="1"/>
  <c r="K244" i="20" s="1"/>
  <c r="L24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40" i="20" s="1"/>
  <c r="L44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24" i="20" s="1"/>
  <c r="L42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391" i="20" s="1"/>
  <c r="L39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7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89" i="20" s="1"/>
  <c r="L89" i="20" s="1"/>
  <c r="N89" i="20" s="1"/>
  <c r="O8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80" i="20" s="1"/>
  <c r="L80" i="20" s="1"/>
  <c r="O447" i="1"/>
  <c r="W447" i="1" s="1"/>
  <c r="O446" i="1"/>
  <c r="W446" i="1" s="1"/>
  <c r="O445" i="1"/>
  <c r="W445" i="1" s="1"/>
  <c r="O444" i="1"/>
  <c r="W444" i="1" s="1"/>
  <c r="O443" i="1"/>
  <c r="W443" i="1" s="1"/>
  <c r="O442" i="1"/>
  <c r="W442" i="1" s="1"/>
  <c r="O441" i="1"/>
  <c r="W441" i="1" s="1"/>
  <c r="K77" i="20" s="1"/>
  <c r="L77" i="20" s="1"/>
  <c r="N77" i="20" s="1"/>
  <c r="O77" i="20" s="1"/>
  <c r="O440" i="1"/>
  <c r="W440" i="1" s="1"/>
  <c r="K76" i="20" s="1"/>
  <c r="L76" i="20" s="1"/>
  <c r="N76" i="20" s="1"/>
  <c r="O7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0" i="20" s="1"/>
  <c r="L70" i="20" s="1"/>
  <c r="N70" i="20" s="1"/>
  <c r="O7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59" i="20" s="1"/>
  <c r="L59" i="20" s="1"/>
  <c r="O392" i="1"/>
  <c r="W392" i="1" s="1"/>
  <c r="O391" i="1"/>
  <c r="W391" i="1" s="1"/>
  <c r="O390" i="1"/>
  <c r="W390" i="1" s="1"/>
  <c r="O389" i="1"/>
  <c r="W389" i="1" s="1"/>
  <c r="O388" i="1"/>
  <c r="W388" i="1" s="1"/>
  <c r="O387" i="1"/>
  <c r="W387" i="1" s="1"/>
  <c r="O386" i="1"/>
  <c r="W386" i="1" s="1"/>
  <c r="K56" i="20" s="1"/>
  <c r="L56" i="20" s="1"/>
  <c r="N56" i="20" s="1"/>
  <c r="O56" i="20" s="1"/>
  <c r="O385" i="1"/>
  <c r="W385" i="1" s="1"/>
  <c r="K55" i="20" s="1"/>
  <c r="L55" i="20" s="1"/>
  <c r="N55" i="20" s="1"/>
  <c r="O5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45" i="20" s="1"/>
  <c r="L45" i="20" s="1"/>
  <c r="N45" i="20" s="1"/>
  <c r="O45" i="20" s="1"/>
  <c r="O356" i="1"/>
  <c r="W356" i="1" s="1"/>
  <c r="O355" i="1"/>
  <c r="W355" i="1" s="1"/>
  <c r="O354" i="1"/>
  <c r="W354" i="1" s="1"/>
  <c r="O353" i="1"/>
  <c r="W353" i="1" s="1"/>
  <c r="O352" i="1"/>
  <c r="W352" i="1" s="1"/>
  <c r="O351" i="1"/>
  <c r="W351" i="1" s="1"/>
  <c r="O350" i="1"/>
  <c r="W350" i="1" s="1"/>
  <c r="O349" i="1"/>
  <c r="W349" i="1" s="1"/>
  <c r="O348" i="1"/>
  <c r="W348" i="1" s="1"/>
  <c r="O347" i="1"/>
  <c r="W347"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29" i="1" l="1"/>
  <c r="J1223" i="1"/>
  <c r="J1217" i="1"/>
  <c r="J1221" i="1"/>
  <c r="J1225" i="1"/>
  <c r="J1219" i="1"/>
  <c r="J1227" i="1"/>
  <c r="J1215" i="1"/>
  <c r="J1226" i="1"/>
  <c r="J1220" i="1"/>
  <c r="J1224" i="1"/>
  <c r="J1228" i="1"/>
  <c r="J1222" i="1"/>
  <c r="J1216" i="1"/>
  <c r="J1218" i="1"/>
  <c r="J126" i="1"/>
  <c r="G129" i="20"/>
  <c r="G107" i="17" s="1"/>
  <c r="G524" i="20"/>
  <c r="G497" i="17" s="1"/>
  <c r="G522" i="20"/>
  <c r="G495" i="17" s="1"/>
  <c r="G521" i="20"/>
  <c r="G494" i="17" s="1"/>
  <c r="G523" i="20"/>
  <c r="G496" i="17" s="1"/>
  <c r="G520" i="20"/>
  <c r="G493" i="17" s="1"/>
  <c r="J999" i="1"/>
  <c r="G590" i="20"/>
  <c r="G563" i="17" s="1"/>
  <c r="H159" i="21" s="1"/>
  <c r="O159" i="21" s="1"/>
  <c r="G588" i="20"/>
  <c r="G561" i="17" s="1"/>
  <c r="H157" i="21" s="1"/>
  <c r="O157" i="21" s="1"/>
  <c r="G589" i="20"/>
  <c r="G562" i="17" s="1"/>
  <c r="H158" i="21" s="1"/>
  <c r="O158" i="21" s="1"/>
  <c r="G591" i="20"/>
  <c r="G564" i="17" s="1"/>
  <c r="H160" i="21" s="1"/>
  <c r="O160" i="21" s="1"/>
  <c r="W1152" i="1"/>
  <c r="K590" i="20" s="1"/>
  <c r="L590" i="20" s="1"/>
  <c r="I590" i="20"/>
  <c r="J590" i="20" s="1"/>
  <c r="W1149" i="1"/>
  <c r="K589" i="20" s="1"/>
  <c r="L589" i="20" s="1"/>
  <c r="I589" i="20"/>
  <c r="J589" i="20" s="1"/>
  <c r="W1146" i="1"/>
  <c r="K588" i="20" s="1"/>
  <c r="L588" i="20" s="1"/>
  <c r="I588" i="20"/>
  <c r="J588" i="20" s="1"/>
  <c r="W1155" i="1"/>
  <c r="K591" i="20" s="1"/>
  <c r="L591" i="20" s="1"/>
  <c r="I591" i="20"/>
  <c r="J591" i="20" s="1"/>
  <c r="J1055" i="1"/>
  <c r="J826" i="1"/>
  <c r="G28" i="20"/>
  <c r="G9" i="17" s="1"/>
  <c r="H178" i="21" s="1"/>
  <c r="O178" i="21" s="1"/>
  <c r="G195" i="20"/>
  <c r="G174" i="17" s="1"/>
  <c r="H206" i="21" s="1"/>
  <c r="O206" i="21" s="1"/>
  <c r="G89" i="20"/>
  <c r="G68" i="17" s="1"/>
  <c r="J386" i="1"/>
  <c r="J793" i="1"/>
  <c r="J792" i="1"/>
  <c r="J794" i="1"/>
  <c r="J791" i="1"/>
  <c r="G198" i="20"/>
  <c r="G177" i="17" s="1"/>
  <c r="H209" i="21" s="1"/>
  <c r="O209" i="21" s="1"/>
  <c r="G200" i="20"/>
  <c r="G179" i="17" s="1"/>
  <c r="H211" i="21" s="1"/>
  <c r="O211" i="21" s="1"/>
  <c r="G197" i="20"/>
  <c r="G176" i="17" s="1"/>
  <c r="H208" i="21" s="1"/>
  <c r="O208" i="21" s="1"/>
  <c r="G201" i="20"/>
  <c r="G180" i="17" s="1"/>
  <c r="H212" i="21" s="1"/>
  <c r="O212" i="21" s="1"/>
  <c r="G196" i="20"/>
  <c r="G175" i="17" s="1"/>
  <c r="H207" i="21" s="1"/>
  <c r="O207" i="21" s="1"/>
  <c r="G199" i="20"/>
  <c r="G178" i="17" s="1"/>
  <c r="H210" i="21" s="1"/>
  <c r="O210" i="21" s="1"/>
  <c r="G265" i="20"/>
  <c r="G242" i="17" s="1"/>
  <c r="G234" i="20"/>
  <c r="G211" i="17" s="1"/>
  <c r="G235" i="20"/>
  <c r="G212" i="17" s="1"/>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79" i="20"/>
  <c r="G256" i="17" s="1"/>
  <c r="J554" i="1"/>
  <c r="J720" i="1"/>
  <c r="J1056" i="1"/>
  <c r="J654" i="1"/>
  <c r="J919" i="1"/>
  <c r="J871" i="1"/>
  <c r="J959" i="1"/>
  <c r="J182" i="1"/>
  <c r="J948" i="1"/>
  <c r="J480" i="1"/>
  <c r="J132" i="1"/>
  <c r="J806"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4" i="1"/>
  <c r="J877" i="1"/>
  <c r="J555" i="1"/>
  <c r="J515" i="1"/>
  <c r="J1202" i="1"/>
  <c r="J625" i="1"/>
  <c r="J1175" i="1"/>
  <c r="J563"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200" i="1"/>
  <c r="J1072" i="1"/>
  <c r="J958" i="1"/>
  <c r="J683" i="1"/>
  <c r="J458" i="1"/>
  <c r="J1168" i="1"/>
  <c r="J1026" i="1"/>
  <c r="J784" i="1"/>
  <c r="J646" i="1"/>
  <c r="J1122" i="1"/>
  <c r="J1024" i="1"/>
  <c r="J766" i="1"/>
  <c r="J629" i="1"/>
  <c r="J1120" i="1"/>
  <c r="J748" i="1"/>
  <c r="J1238" i="1"/>
  <c r="J1104" i="1"/>
  <c r="J966" i="1"/>
  <c r="J740" i="1"/>
  <c r="J1233" i="1"/>
  <c r="J1103" i="1"/>
  <c r="J961" i="1"/>
  <c r="J859" i="1"/>
  <c r="J724"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35" i="20"/>
  <c r="G114" i="17" s="1"/>
  <c r="H191" i="21" s="1"/>
  <c r="O191" i="21" s="1"/>
  <c r="G206" i="20"/>
  <c r="G183" i="17" s="1"/>
  <c r="G272" i="20"/>
  <c r="G249" i="17" s="1"/>
  <c r="G337" i="20"/>
  <c r="G314" i="17" s="1"/>
  <c r="G399" i="20"/>
  <c r="G374" i="17" s="1"/>
  <c r="H108" i="21" s="1"/>
  <c r="O108" i="21" s="1"/>
  <c r="G378" i="19"/>
  <c r="G177" i="19"/>
  <c r="G530" i="19"/>
  <c r="G92" i="19"/>
  <c r="G162" i="19"/>
  <c r="G227" i="19"/>
  <c r="G291" i="19"/>
  <c r="G355" i="19"/>
  <c r="G420" i="19"/>
  <c r="G485" i="19"/>
  <c r="G129" i="19"/>
  <c r="G526" i="19"/>
  <c r="G86" i="19"/>
  <c r="G155" i="19"/>
  <c r="G220" i="19"/>
  <c r="G284" i="19"/>
  <c r="G502" i="20"/>
  <c r="G475" i="17" s="1"/>
  <c r="H149" i="21" s="1"/>
  <c r="O149" i="21" s="1"/>
  <c r="G403" i="19"/>
  <c r="G140" i="19"/>
  <c r="G213" i="19"/>
  <c r="G277" i="19"/>
  <c r="G341" i="19"/>
  <c r="G406" i="19"/>
  <c r="G605" i="19"/>
  <c r="G494" i="20"/>
  <c r="G467" i="17" s="1"/>
  <c r="H215" i="21" s="1"/>
  <c r="O215" i="21" s="1"/>
  <c r="G419" i="19"/>
  <c r="G132" i="19"/>
  <c r="G74" i="19"/>
  <c r="G133" i="19"/>
  <c r="G206" i="19"/>
  <c r="G270" i="19"/>
  <c r="G434" i="19"/>
  <c r="G30" i="20"/>
  <c r="G11" i="17" s="1"/>
  <c r="H180" i="21" s="1"/>
  <c r="O180" i="21" s="1"/>
  <c r="G218" i="19"/>
  <c r="G45" i="19"/>
  <c r="G60" i="19"/>
  <c r="G118" i="19"/>
  <c r="G182" i="19"/>
  <c r="G247" i="19"/>
  <c r="G311" i="19"/>
  <c r="G376" i="19"/>
  <c r="G440" i="19"/>
  <c r="G82" i="19"/>
  <c r="G143" i="19"/>
  <c r="G47" i="20"/>
  <c r="G26" i="17" s="1"/>
  <c r="G472" i="20"/>
  <c r="G445" i="17" s="1"/>
  <c r="H87" i="21" s="1"/>
  <c r="O87" i="21" s="1"/>
  <c r="G316" i="19"/>
  <c r="G381" i="19"/>
  <c r="G445" i="19"/>
  <c r="G510" i="19"/>
  <c r="G547" i="19"/>
  <c r="G105" i="20"/>
  <c r="G84" i="17" s="1"/>
  <c r="G169" i="20"/>
  <c r="G148" i="17" s="1"/>
  <c r="G242" i="20"/>
  <c r="G219" i="17" s="1"/>
  <c r="G307" i="20"/>
  <c r="G284" i="17" s="1"/>
  <c r="G377" i="20"/>
  <c r="G352" i="17" s="1"/>
  <c r="H225" i="21" s="1"/>
  <c r="O225" i="21" s="1"/>
  <c r="G441" i="20"/>
  <c r="G416" i="17" s="1"/>
  <c r="H164" i="21" s="1"/>
  <c r="O164" i="21" s="1"/>
  <c r="G63" i="20"/>
  <c r="G42" i="17" s="1"/>
  <c r="G490" i="20"/>
  <c r="G463" i="17" s="1"/>
  <c r="H81" i="21" s="1"/>
  <c r="O81" i="21" s="1"/>
  <c r="G334" i="19"/>
  <c r="G399" i="19"/>
  <c r="G464" i="19"/>
  <c r="G524" i="19"/>
  <c r="G556" i="19"/>
  <c r="G114" i="20"/>
  <c r="G93" i="17" s="1"/>
  <c r="G329" i="19"/>
  <c r="G112" i="19"/>
  <c r="G168" i="19"/>
  <c r="G217" i="19"/>
  <c r="G249" i="19"/>
  <c r="G370" i="19"/>
  <c r="G59" i="20"/>
  <c r="G38" i="17" s="1"/>
  <c r="G290" i="19"/>
  <c r="G550" i="19"/>
  <c r="G143" i="20"/>
  <c r="G122" i="17" s="1"/>
  <c r="H197" i="21" s="1"/>
  <c r="O197" i="21" s="1"/>
  <c r="G214" i="20"/>
  <c r="G191" i="17" s="1"/>
  <c r="H29" i="21" s="1"/>
  <c r="O29" i="21" s="1"/>
  <c r="G281" i="20"/>
  <c r="G258" i="17" s="1"/>
  <c r="G345" i="20"/>
  <c r="G322" i="17" s="1"/>
  <c r="G407" i="20"/>
  <c r="G382" i="17" s="1"/>
  <c r="H132" i="21" s="1"/>
  <c r="O132"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H89" i="21" s="1"/>
  <c r="O89" i="21" s="1"/>
  <c r="G324" i="19"/>
  <c r="G389" i="19"/>
  <c r="G454" i="19"/>
  <c r="G518" i="19"/>
  <c r="G551" i="19"/>
  <c r="G112" i="20"/>
  <c r="G91" i="17" s="1"/>
  <c r="G177" i="20"/>
  <c r="G156" i="17" s="1"/>
  <c r="G250" i="20"/>
  <c r="G227" i="17" s="1"/>
  <c r="G315" i="20"/>
  <c r="G292" i="17" s="1"/>
  <c r="G385" i="20"/>
  <c r="G360" i="17" s="1"/>
  <c r="H23" i="21" s="1"/>
  <c r="O23" i="21" s="1"/>
  <c r="G449" i="20"/>
  <c r="G424" i="17" s="1"/>
  <c r="H171" i="21" s="1"/>
  <c r="O171" i="21" s="1"/>
  <c r="G77" i="20"/>
  <c r="G56" i="17" s="1"/>
  <c r="G498" i="20"/>
  <c r="G471" i="17" s="1"/>
  <c r="H219" i="21" s="1"/>
  <c r="O219" i="21" s="1"/>
  <c r="G342" i="19"/>
  <c r="G407" i="19"/>
  <c r="G472" i="19"/>
  <c r="G528" i="19"/>
  <c r="G560" i="19"/>
  <c r="G122" i="20"/>
  <c r="G101" i="17" s="1"/>
  <c r="G56" i="19"/>
  <c r="G144" i="19"/>
  <c r="G225" i="19"/>
  <c r="G241" i="19"/>
  <c r="G305" i="19"/>
  <c r="G410" i="19"/>
  <c r="G102" i="20"/>
  <c r="G81" i="17" s="1"/>
  <c r="G338" i="19"/>
  <c r="G562" i="19"/>
  <c r="G151" i="20"/>
  <c r="G130" i="17" s="1"/>
  <c r="G222" i="20"/>
  <c r="G199" i="17" s="1"/>
  <c r="H34" i="21" s="1"/>
  <c r="O34" i="21" s="1"/>
  <c r="G289" i="20"/>
  <c r="G266" i="17" s="1"/>
  <c r="G353" i="20"/>
  <c r="G330" i="17" s="1"/>
  <c r="G415" i="20"/>
  <c r="G390" i="17" s="1"/>
  <c r="H238" i="21" s="1"/>
  <c r="O238"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H125" i="21" s="1"/>
  <c r="O125" i="21" s="1"/>
  <c r="G298" i="19"/>
  <c r="G87" i="19"/>
  <c r="G75" i="19"/>
  <c r="G134" i="19"/>
  <c r="G199" i="19"/>
  <c r="G263" i="19"/>
  <c r="G327" i="19"/>
  <c r="G392" i="19"/>
  <c r="G31" i="19"/>
  <c r="G97" i="19"/>
  <c r="G159" i="19"/>
  <c r="G61" i="20"/>
  <c r="G40" i="17" s="1"/>
  <c r="G488" i="20"/>
  <c r="G461" i="17" s="1"/>
  <c r="H129" i="21" s="1"/>
  <c r="O129" i="21" s="1"/>
  <c r="G332" i="19"/>
  <c r="G397" i="19"/>
  <c r="G462" i="19"/>
  <c r="G523" i="19"/>
  <c r="G555" i="19"/>
  <c r="G120" i="20"/>
  <c r="G99" i="17" s="1"/>
  <c r="G98" i="19"/>
  <c r="G192" i="19"/>
  <c r="G273" i="19"/>
  <c r="G281" i="19"/>
  <c r="G32" i="19"/>
  <c r="G426" i="19"/>
  <c r="G518" i="20"/>
  <c r="G491" i="17" s="1"/>
  <c r="H59" i="21" s="1"/>
  <c r="O59" i="21" s="1"/>
  <c r="G387" i="19"/>
  <c r="G570" i="19"/>
  <c r="G159" i="20"/>
  <c r="G138" i="17" s="1"/>
  <c r="G230" i="20"/>
  <c r="G207" i="17" s="1"/>
  <c r="H41" i="21" s="1"/>
  <c r="O41" i="21"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H51" i="21" s="1"/>
  <c r="O51" i="21" s="1"/>
  <c r="G354" i="19"/>
  <c r="G124" i="19"/>
  <c r="G81" i="19"/>
  <c r="G142" i="19"/>
  <c r="G207" i="19"/>
  <c r="G271" i="19"/>
  <c r="G335" i="19"/>
  <c r="G400" i="19"/>
  <c r="G39" i="19"/>
  <c r="G104" i="19"/>
  <c r="G615" i="19"/>
  <c r="G69" i="20"/>
  <c r="G48" i="17" s="1"/>
  <c r="G496" i="20"/>
  <c r="G469" i="17" s="1"/>
  <c r="H217" i="21" s="1"/>
  <c r="O217" i="21" s="1"/>
  <c r="G340" i="19"/>
  <c r="G405" i="19"/>
  <c r="G470" i="19"/>
  <c r="G527" i="19"/>
  <c r="G559" i="19"/>
  <c r="G128" i="20"/>
  <c r="G108" i="17" s="1"/>
  <c r="G193" i="20"/>
  <c r="G172" i="17" s="1"/>
  <c r="G266" i="20"/>
  <c r="G243" i="17" s="1"/>
  <c r="G331" i="20"/>
  <c r="G308" i="17" s="1"/>
  <c r="G401" i="20"/>
  <c r="G376" i="17" s="1"/>
  <c r="H110" i="21" s="1"/>
  <c r="O110" i="21" s="1"/>
  <c r="G465" i="20"/>
  <c r="G438" i="17" s="1"/>
  <c r="H69" i="21" s="1"/>
  <c r="O69" i="21" s="1"/>
  <c r="G91" i="20"/>
  <c r="G70" i="17" s="1"/>
  <c r="G514" i="20"/>
  <c r="G487" i="17" s="1"/>
  <c r="H55" i="21" s="1"/>
  <c r="O55" i="21" s="1"/>
  <c r="G358" i="19"/>
  <c r="G423" i="19"/>
  <c r="G488" i="19"/>
  <c r="G536" i="19"/>
  <c r="G568" i="19"/>
  <c r="G139" i="20"/>
  <c r="G118" i="17" s="1"/>
  <c r="H195" i="21" s="1"/>
  <c r="O195" i="21" s="1"/>
  <c r="G210" i="20"/>
  <c r="G187" i="17" s="1"/>
  <c r="G276" i="20"/>
  <c r="G253" i="17" s="1"/>
  <c r="G341" i="20"/>
  <c r="G318" i="17" s="1"/>
  <c r="G411" i="20"/>
  <c r="G386" i="17" s="1"/>
  <c r="H134" i="21" s="1"/>
  <c r="O134" i="21" s="1"/>
  <c r="G465" i="19"/>
  <c r="G611" i="19"/>
  <c r="G152" i="19"/>
  <c r="G265" i="19"/>
  <c r="G345" i="19"/>
  <c r="G337" i="19"/>
  <c r="G77" i="19"/>
  <c r="G459" i="19"/>
  <c r="G49" i="19"/>
  <c r="G435" i="19"/>
  <c r="G627" i="19"/>
  <c r="G167" i="20"/>
  <c r="G146" i="17" s="1"/>
  <c r="G240" i="20"/>
  <c r="G217" i="17" s="1"/>
  <c r="G305" i="20"/>
  <c r="G282" i="17" s="1"/>
  <c r="G369" i="20"/>
  <c r="G346" i="17" s="1"/>
  <c r="G431" i="20"/>
  <c r="G406" i="17" s="1"/>
  <c r="H119" i="21" s="1"/>
  <c r="O119" i="21" s="1"/>
  <c r="G486" i="20"/>
  <c r="G459" i="17" s="1"/>
  <c r="H127" i="21" s="1"/>
  <c r="O127"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H152" i="21" s="1"/>
  <c r="O152" i="21" s="1"/>
  <c r="G348" i="19"/>
  <c r="G413" i="19"/>
  <c r="G478" i="19"/>
  <c r="G531" i="19"/>
  <c r="G563" i="19"/>
  <c r="G137" i="20"/>
  <c r="G116" i="17" s="1"/>
  <c r="H193" i="21" s="1"/>
  <c r="O193" i="21" s="1"/>
  <c r="G208" i="20"/>
  <c r="G185" i="17" s="1"/>
  <c r="G274" i="20"/>
  <c r="G251" i="17" s="1"/>
  <c r="G339" i="20"/>
  <c r="G316" i="17" s="1"/>
  <c r="G409" i="20"/>
  <c r="G384" i="17" s="1"/>
  <c r="H235" i="21" s="1"/>
  <c r="O235" i="21" s="1"/>
  <c r="G34" i="20"/>
  <c r="G15" i="17" s="1"/>
  <c r="H184" i="21" s="1"/>
  <c r="O184" i="21" s="1"/>
  <c r="G98" i="20"/>
  <c r="G77" i="17" s="1"/>
  <c r="G527" i="20"/>
  <c r="G500" i="17" s="1"/>
  <c r="G367" i="19"/>
  <c r="G431" i="19"/>
  <c r="G496" i="19"/>
  <c r="G540" i="19"/>
  <c r="G572" i="19"/>
  <c r="G147" i="20"/>
  <c r="G126" i="17" s="1"/>
  <c r="G218" i="20"/>
  <c r="G195" i="17" s="1"/>
  <c r="H33" i="21" s="1"/>
  <c r="O33" i="21"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H188" i="21" s="1"/>
  <c r="O188"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H53" i="21" s="1"/>
  <c r="O53" i="21" s="1"/>
  <c r="G356" i="19"/>
  <c r="G421" i="19"/>
  <c r="G486" i="19"/>
  <c r="G535" i="19"/>
  <c r="G567" i="19"/>
  <c r="G145" i="20"/>
  <c r="G124" i="17" s="1"/>
  <c r="H198" i="21" s="1"/>
  <c r="O198" i="21" s="1"/>
  <c r="G216" i="20"/>
  <c r="G193" i="17" s="1"/>
  <c r="H31" i="21" s="1"/>
  <c r="O31" i="21" s="1"/>
  <c r="G283" i="20"/>
  <c r="G260" i="17" s="1"/>
  <c r="G347" i="20"/>
  <c r="G324" i="17" s="1"/>
  <c r="G417" i="20"/>
  <c r="G392" i="17" s="1"/>
  <c r="H143" i="21" s="1"/>
  <c r="O143" i="21" s="1"/>
  <c r="G42" i="20"/>
  <c r="G21" i="17" s="1"/>
  <c r="G466" i="20"/>
  <c r="G439" i="17" s="1"/>
  <c r="H88" i="21" s="1"/>
  <c r="O88" i="21" s="1"/>
  <c r="G310" i="19"/>
  <c r="G375" i="19"/>
  <c r="G439" i="19"/>
  <c r="G504" i="19"/>
  <c r="G544" i="19"/>
  <c r="G630" i="19"/>
  <c r="G155" i="20"/>
  <c r="G134" i="17" s="1"/>
  <c r="G226" i="20"/>
  <c r="G203" i="17" s="1"/>
  <c r="H45" i="21" s="1"/>
  <c r="O45" i="21" s="1"/>
  <c r="O44" i="21" s="1"/>
  <c r="G293" i="20"/>
  <c r="G270" i="17" s="1"/>
  <c r="G357" i="20"/>
  <c r="G334" i="17" s="1"/>
  <c r="G427" i="20"/>
  <c r="G402" i="17" s="1"/>
  <c r="G481" i="19"/>
  <c r="G257" i="19"/>
  <c r="G184" i="19"/>
  <c r="G118" i="20"/>
  <c r="G97" i="17" s="1"/>
  <c r="G383" i="20"/>
  <c r="G358" i="17" s="1"/>
  <c r="H22" i="21" s="1"/>
  <c r="O22" i="21" s="1"/>
  <c r="G72" i="19"/>
  <c r="G339" i="19"/>
  <c r="G427" i="19"/>
  <c r="G268" i="19"/>
  <c r="G196" i="19"/>
  <c r="G619" i="19"/>
  <c r="G59" i="19"/>
  <c r="G402" i="19"/>
  <c r="G47" i="19"/>
  <c r="G295" i="19"/>
  <c r="G127" i="19"/>
  <c r="G365" i="19"/>
  <c r="G571" i="19"/>
  <c r="G291" i="20"/>
  <c r="G268" i="17" s="1"/>
  <c r="G457" i="20"/>
  <c r="G430" i="17" s="1"/>
  <c r="H123" i="21" s="1"/>
  <c r="O123" i="21" s="1"/>
  <c r="G326" i="19"/>
  <c r="G512" i="19"/>
  <c r="G131" i="20"/>
  <c r="G110" i="17" s="1"/>
  <c r="G252" i="20"/>
  <c r="G229" i="17" s="1"/>
  <c r="G365" i="20"/>
  <c r="G342" i="17" s="1"/>
  <c r="G459" i="20"/>
  <c r="G432" i="17" s="1"/>
  <c r="H63" i="21" s="1"/>
  <c r="O63" i="21" s="1"/>
  <c r="G595" i="19"/>
  <c r="G72" i="20"/>
  <c r="G51" i="17" s="1"/>
  <c r="G191" i="19"/>
  <c r="G256" i="19"/>
  <c r="G320" i="19"/>
  <c r="G385" i="19"/>
  <c r="G450" i="19"/>
  <c r="G514" i="19"/>
  <c r="G549" i="19"/>
  <c r="G108" i="20"/>
  <c r="G87" i="17" s="1"/>
  <c r="G463" i="19"/>
  <c r="G625" i="19"/>
  <c r="G48" i="20"/>
  <c r="G27" i="17" s="1"/>
  <c r="G136" i="20"/>
  <c r="G115" i="17" s="1"/>
  <c r="H192" i="21" s="1"/>
  <c r="O192" i="21" s="1"/>
  <c r="G207" i="20"/>
  <c r="G184" i="17" s="1"/>
  <c r="G273" i="20"/>
  <c r="G250" i="17" s="1"/>
  <c r="G338" i="20"/>
  <c r="G315" i="17" s="1"/>
  <c r="G408" i="20"/>
  <c r="G383" i="17" s="1"/>
  <c r="H133" i="21" s="1"/>
  <c r="O133" i="21" s="1"/>
  <c r="G479" i="20"/>
  <c r="G452" i="17" s="1"/>
  <c r="H76" i="21" s="1"/>
  <c r="O76" i="21" s="1"/>
  <c r="G541" i="20"/>
  <c r="G514" i="17" s="1"/>
  <c r="G573" i="20"/>
  <c r="G546" i="17" s="1"/>
  <c r="H97" i="21" s="1"/>
  <c r="O97" i="21" s="1"/>
  <c r="G596" i="19"/>
  <c r="G85" i="20"/>
  <c r="G64" i="17" s="1"/>
  <c r="G154" i="20"/>
  <c r="G133" i="17" s="1"/>
  <c r="G225" i="20"/>
  <c r="G202" i="17" s="1"/>
  <c r="H37" i="21" s="1"/>
  <c r="O37" i="21" s="1"/>
  <c r="G292" i="20"/>
  <c r="G269" i="17" s="1"/>
  <c r="G356" i="20"/>
  <c r="G333" i="17" s="1"/>
  <c r="G426" i="20"/>
  <c r="G401" i="17" s="1"/>
  <c r="G497" i="20"/>
  <c r="G470" i="17" s="1"/>
  <c r="H218" i="21" s="1"/>
  <c r="O218" i="21" s="1"/>
  <c r="G550" i="20"/>
  <c r="G523" i="17" s="1"/>
  <c r="G582" i="20"/>
  <c r="G555" i="17" s="1"/>
  <c r="G586" i="19"/>
  <c r="G87" i="20"/>
  <c r="G66" i="17" s="1"/>
  <c r="G148" i="20"/>
  <c r="G127" i="17" s="1"/>
  <c r="H200" i="21" s="1"/>
  <c r="O200" i="21" s="1"/>
  <c r="G227" i="20"/>
  <c r="G204" i="17" s="1"/>
  <c r="H38" i="21" s="1"/>
  <c r="O38" i="21" s="1"/>
  <c r="G294" i="20"/>
  <c r="G271" i="17" s="1"/>
  <c r="G358" i="20"/>
  <c r="G335" i="17" s="1"/>
  <c r="G420" i="20"/>
  <c r="G395" i="17" s="1"/>
  <c r="H145" i="21" s="1"/>
  <c r="O145" i="21" s="1"/>
  <c r="G483" i="20"/>
  <c r="G456" i="17" s="1"/>
  <c r="H90" i="21" s="1"/>
  <c r="O90" i="21" s="1"/>
  <c r="G543" i="20"/>
  <c r="G516" i="17" s="1"/>
  <c r="G575" i="20"/>
  <c r="G548" i="17" s="1"/>
  <c r="H98" i="21" s="1"/>
  <c r="O98" i="21" s="1"/>
  <c r="G220" i="20"/>
  <c r="G197" i="17" s="1"/>
  <c r="G287" i="20"/>
  <c r="G264" i="17" s="1"/>
  <c r="G351" i="20"/>
  <c r="G328" i="17" s="1"/>
  <c r="G413" i="20"/>
  <c r="G388" i="17" s="1"/>
  <c r="H136" i="21" s="1"/>
  <c r="O136" i="21" s="1"/>
  <c r="G476" i="20"/>
  <c r="G449" i="17" s="1"/>
  <c r="H75" i="21" s="1"/>
  <c r="O75" i="21" s="1"/>
  <c r="G626" i="19"/>
  <c r="G54" i="20"/>
  <c r="G33" i="17" s="1"/>
  <c r="G109" i="20"/>
  <c r="G88" i="17" s="1"/>
  <c r="G174" i="20"/>
  <c r="G153" i="17" s="1"/>
  <c r="G247" i="20"/>
  <c r="G224" i="17" s="1"/>
  <c r="G312" i="20"/>
  <c r="G289" i="17" s="1"/>
  <c r="G374" i="20"/>
  <c r="G349" i="17" s="1"/>
  <c r="G438" i="20"/>
  <c r="G413" i="17" s="1"/>
  <c r="G501" i="20"/>
  <c r="G474" i="17" s="1"/>
  <c r="H78" i="21" s="1"/>
  <c r="O78" i="21"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H227" i="21" s="1"/>
  <c r="O227" i="21" s="1"/>
  <c r="G457" i="19"/>
  <c r="G587" i="19"/>
  <c r="G78" i="20"/>
  <c r="G57" i="17" s="1"/>
  <c r="G200" i="19"/>
  <c r="G264" i="19"/>
  <c r="G328" i="19"/>
  <c r="G393" i="19"/>
  <c r="G458" i="19"/>
  <c r="G521" i="19"/>
  <c r="G553" i="19"/>
  <c r="G116" i="20"/>
  <c r="G95" i="17" s="1"/>
  <c r="G471" i="19"/>
  <c r="G620" i="19"/>
  <c r="G62" i="20"/>
  <c r="G41" i="17" s="1"/>
  <c r="G144" i="20"/>
  <c r="G123" i="17" s="1"/>
  <c r="G215" i="20"/>
  <c r="G192" i="17" s="1"/>
  <c r="H30" i="21" s="1"/>
  <c r="O30" i="21" s="1"/>
  <c r="G282" i="20"/>
  <c r="G259" i="17" s="1"/>
  <c r="G346" i="20"/>
  <c r="G323" i="17" s="1"/>
  <c r="G416" i="20"/>
  <c r="G391" i="17" s="1"/>
  <c r="H142" i="21" s="1"/>
  <c r="O142" i="21" s="1"/>
  <c r="G487" i="20"/>
  <c r="G460" i="17" s="1"/>
  <c r="H128" i="21" s="1"/>
  <c r="O128" i="21" s="1"/>
  <c r="G545" i="20"/>
  <c r="G518" i="17" s="1"/>
  <c r="G577" i="20"/>
  <c r="G550" i="17" s="1"/>
  <c r="G588" i="19"/>
  <c r="G92" i="20"/>
  <c r="G71" i="17" s="1"/>
  <c r="G162" i="20"/>
  <c r="G141" i="17" s="1"/>
  <c r="H202" i="21" s="1"/>
  <c r="O202" i="21" s="1"/>
  <c r="G233" i="20"/>
  <c r="G210" i="17" s="1"/>
  <c r="H43" i="21" s="1"/>
  <c r="O43" i="21" s="1"/>
  <c r="G300" i="20"/>
  <c r="G277" i="17" s="1"/>
  <c r="G364" i="20"/>
  <c r="G341" i="17" s="1"/>
  <c r="G434" i="20"/>
  <c r="G409" i="17" s="1"/>
  <c r="H120" i="21" s="1"/>
  <c r="O120" i="21" s="1"/>
  <c r="G505" i="20"/>
  <c r="G478" i="17" s="1"/>
  <c r="H18" i="21" s="1"/>
  <c r="O18" i="21" s="1"/>
  <c r="O17" i="21" s="1"/>
  <c r="G554" i="20"/>
  <c r="G527" i="17" s="1"/>
  <c r="H154" i="21" s="1"/>
  <c r="O154" i="21" s="1"/>
  <c r="G586" i="20"/>
  <c r="G559" i="17" s="1"/>
  <c r="G37" i="20"/>
  <c r="G18" i="17" s="1"/>
  <c r="H187" i="21" s="1"/>
  <c r="O187" i="21" s="1"/>
  <c r="G94" i="20"/>
  <c r="G73" i="17" s="1"/>
  <c r="G156" i="20"/>
  <c r="G135" i="17" s="1"/>
  <c r="G237" i="20"/>
  <c r="G214" i="17" s="1"/>
  <c r="G302" i="20"/>
  <c r="G279" i="17" s="1"/>
  <c r="G366" i="20"/>
  <c r="G343" i="17" s="1"/>
  <c r="G428" i="20"/>
  <c r="G403" i="17" s="1"/>
  <c r="G491" i="20"/>
  <c r="G464" i="17" s="1"/>
  <c r="H82" i="21" s="1"/>
  <c r="O82" i="21" s="1"/>
  <c r="G547" i="20"/>
  <c r="G520" i="17" s="1"/>
  <c r="G579" i="20"/>
  <c r="G552" i="17" s="1"/>
  <c r="G228" i="20"/>
  <c r="G205" i="17" s="1"/>
  <c r="H39" i="21" s="1"/>
  <c r="O39" i="21" s="1"/>
  <c r="G295" i="20"/>
  <c r="G272" i="17" s="1"/>
  <c r="G359" i="20"/>
  <c r="G336" i="17" s="1"/>
  <c r="G421" i="20"/>
  <c r="G396" i="17" s="1"/>
  <c r="H146" i="21" s="1"/>
  <c r="O146" i="21" s="1"/>
  <c r="G484" i="20"/>
  <c r="G457" i="17" s="1"/>
  <c r="H91" i="21" s="1"/>
  <c r="O91" i="21" s="1"/>
  <c r="G621" i="19"/>
  <c r="G60" i="20"/>
  <c r="G39" i="17" s="1"/>
  <c r="G117" i="20"/>
  <c r="G96" i="17" s="1"/>
  <c r="G48" i="19"/>
  <c r="G491" i="19"/>
  <c r="G183" i="20"/>
  <c r="G162" i="17" s="1"/>
  <c r="G447" i="20"/>
  <c r="G422" i="17" s="1"/>
  <c r="H169" i="21" s="1"/>
  <c r="O169" i="21"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H203" i="21" s="1"/>
  <c r="O203" i="21"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H35" i="21" s="1"/>
  <c r="O35" i="21" s="1"/>
  <c r="G290" i="20"/>
  <c r="G267" i="17" s="1"/>
  <c r="G354" i="20"/>
  <c r="G331" i="17" s="1"/>
  <c r="G424" i="20"/>
  <c r="G399" i="17" s="1"/>
  <c r="G495" i="20"/>
  <c r="G468" i="17" s="1"/>
  <c r="H216" i="21" s="1"/>
  <c r="O216" i="21" s="1"/>
  <c r="G549" i="20"/>
  <c r="G522" i="17" s="1"/>
  <c r="G581" i="20"/>
  <c r="G554" i="17" s="1"/>
  <c r="G27" i="20"/>
  <c r="G8" i="17" s="1"/>
  <c r="H177" i="21" s="1"/>
  <c r="O177" i="21" s="1"/>
  <c r="G99" i="20"/>
  <c r="G78" i="17" s="1"/>
  <c r="G170" i="20"/>
  <c r="G149" i="17" s="1"/>
  <c r="G243" i="20"/>
  <c r="G220" i="17" s="1"/>
  <c r="G308" i="20"/>
  <c r="G285" i="17" s="1"/>
  <c r="G378" i="20"/>
  <c r="G353" i="17" s="1"/>
  <c r="H226" i="21" s="1"/>
  <c r="O226" i="21" s="1"/>
  <c r="G442" i="20"/>
  <c r="G417" i="17" s="1"/>
  <c r="H165" i="21" s="1"/>
  <c r="O165" i="21" s="1"/>
  <c r="G513" i="20"/>
  <c r="G486" i="17" s="1"/>
  <c r="H54" i="21" s="1"/>
  <c r="O54" i="21" s="1"/>
  <c r="G558" i="20"/>
  <c r="G531" i="17" s="1"/>
  <c r="G633" i="19"/>
  <c r="G45" i="20"/>
  <c r="G24" i="17" s="1"/>
  <c r="G101" i="20"/>
  <c r="G80" i="17" s="1"/>
  <c r="G164" i="20"/>
  <c r="G143" i="17" s="1"/>
  <c r="G245" i="20"/>
  <c r="G222" i="17" s="1"/>
  <c r="G310" i="20"/>
  <c r="G287" i="17" s="1"/>
  <c r="G372" i="20"/>
  <c r="G347" i="17" s="1"/>
  <c r="G436" i="20"/>
  <c r="G411" i="17" s="1"/>
  <c r="H49" i="21" s="1"/>
  <c r="O49" i="21" s="1"/>
  <c r="G499" i="20"/>
  <c r="G472" i="17" s="1"/>
  <c r="H84" i="21" s="1"/>
  <c r="O84" i="21" s="1"/>
  <c r="G551" i="20"/>
  <c r="G524" i="17" s="1"/>
  <c r="G583" i="20"/>
  <c r="G556" i="17" s="1"/>
  <c r="G238" i="20"/>
  <c r="G215" i="17" s="1"/>
  <c r="G303" i="20"/>
  <c r="G280" i="17" s="1"/>
  <c r="G367" i="20"/>
  <c r="G344" i="17" s="1"/>
  <c r="G429" i="20"/>
  <c r="G404" i="17" s="1"/>
  <c r="H47" i="21" s="1"/>
  <c r="O47" i="21" s="1"/>
  <c r="G492" i="20"/>
  <c r="G465" i="17" s="1"/>
  <c r="H83" i="21" s="1"/>
  <c r="O83" i="21" s="1"/>
  <c r="G608" i="19"/>
  <c r="G68" i="20"/>
  <c r="G47" i="17" s="1"/>
  <c r="G125" i="20"/>
  <c r="G104" i="17" s="1"/>
  <c r="G190" i="20"/>
  <c r="G169" i="17" s="1"/>
  <c r="G263" i="20"/>
  <c r="G240" i="17" s="1"/>
  <c r="G328" i="20"/>
  <c r="G305" i="17" s="1"/>
  <c r="G390" i="20"/>
  <c r="G365" i="17" s="1"/>
  <c r="H27" i="21" s="1"/>
  <c r="O27" i="21" s="1"/>
  <c r="G454" i="20"/>
  <c r="G429" i="17" s="1"/>
  <c r="H175" i="21" s="1"/>
  <c r="O175" i="21" s="1"/>
  <c r="G517" i="20"/>
  <c r="G490" i="17" s="1"/>
  <c r="H58" i="21" s="1"/>
  <c r="O58" i="21" s="1"/>
  <c r="G560" i="20"/>
  <c r="G533" i="17" s="1"/>
  <c r="G91" i="19"/>
  <c r="G507" i="19"/>
  <c r="G191" i="20"/>
  <c r="G170" i="17" s="1"/>
  <c r="G463" i="20"/>
  <c r="G436" i="17" s="1"/>
  <c r="H67" i="21" s="1"/>
  <c r="O67" i="21" s="1"/>
  <c r="G154" i="19"/>
  <c r="G412" i="19"/>
  <c r="G79" i="19"/>
  <c r="G470" i="20"/>
  <c r="G443" i="17" s="1"/>
  <c r="H73" i="21" s="1"/>
  <c r="O73" i="21" s="1"/>
  <c r="G269" i="19"/>
  <c r="G95" i="20"/>
  <c r="G74" i="17" s="1"/>
  <c r="G125" i="19"/>
  <c r="G609" i="19"/>
  <c r="G110" i="19"/>
  <c r="G368" i="19"/>
  <c r="G32" i="20"/>
  <c r="G13" i="17" s="1"/>
  <c r="H182" i="21" s="1"/>
  <c r="O182" i="21" s="1"/>
  <c r="G437" i="19"/>
  <c r="G161" i="20"/>
  <c r="G140" i="17" s="1"/>
  <c r="G355" i="20"/>
  <c r="G332" i="17" s="1"/>
  <c r="G84" i="20"/>
  <c r="G63" i="17" s="1"/>
  <c r="G391" i="19"/>
  <c r="G548" i="19"/>
  <c r="G179" i="20"/>
  <c r="G158" i="17" s="1"/>
  <c r="G301" i="20"/>
  <c r="G278" i="17" s="1"/>
  <c r="G395" i="20"/>
  <c r="G370" i="17" s="1"/>
  <c r="H104" i="21" s="1"/>
  <c r="O104" i="21" s="1"/>
  <c r="G497" i="19"/>
  <c r="G36" i="20"/>
  <c r="G17" i="17" s="1"/>
  <c r="H186" i="21" s="1"/>
  <c r="O186" i="21"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H48" i="21" s="1"/>
  <c r="O48" i="21" s="1"/>
  <c r="G503" i="20"/>
  <c r="G476" i="17" s="1"/>
  <c r="H151" i="21" s="1"/>
  <c r="O151" i="21" s="1"/>
  <c r="G553" i="20"/>
  <c r="G526" i="17" s="1"/>
  <c r="H153" i="21" s="1"/>
  <c r="O153" i="21" s="1"/>
  <c r="G585" i="20"/>
  <c r="G558" i="17" s="1"/>
  <c r="G35" i="20"/>
  <c r="G16" i="17" s="1"/>
  <c r="H185" i="21" s="1"/>
  <c r="O185" i="21" s="1"/>
  <c r="G113" i="20"/>
  <c r="G92" i="17" s="1"/>
  <c r="G178" i="20"/>
  <c r="G157" i="17" s="1"/>
  <c r="G251" i="20"/>
  <c r="G228" i="17" s="1"/>
  <c r="G316" i="20"/>
  <c r="G293" i="17" s="1"/>
  <c r="G386" i="20"/>
  <c r="G361" i="17" s="1"/>
  <c r="H24" i="21" s="1"/>
  <c r="O24" i="21" s="1"/>
  <c r="G450" i="20"/>
  <c r="G425" i="17" s="1"/>
  <c r="H172" i="21" s="1"/>
  <c r="O172" i="21" s="1"/>
  <c r="G526" i="20"/>
  <c r="G499" i="17" s="1"/>
  <c r="G562" i="20"/>
  <c r="G535" i="17" s="1"/>
  <c r="G628" i="19"/>
  <c r="G52" i="20"/>
  <c r="G31" i="17" s="1"/>
  <c r="G107" i="20"/>
  <c r="G86" i="17" s="1"/>
  <c r="G172" i="20"/>
  <c r="G151" i="17" s="1"/>
  <c r="G253" i="20"/>
  <c r="G230" i="17" s="1"/>
  <c r="G318" i="20"/>
  <c r="G295" i="17" s="1"/>
  <c r="G380" i="20"/>
  <c r="G355" i="17" s="1"/>
  <c r="H228" i="21" s="1"/>
  <c r="O228" i="21" s="1"/>
  <c r="G444" i="20"/>
  <c r="G419" i="17" s="1"/>
  <c r="H167" i="21" s="1"/>
  <c r="O167" i="21" s="1"/>
  <c r="G507" i="20"/>
  <c r="G480" i="17" s="1"/>
  <c r="H222" i="21" s="1"/>
  <c r="O222" i="21" s="1"/>
  <c r="G555" i="20"/>
  <c r="G528" i="17" s="1"/>
  <c r="G587" i="20"/>
  <c r="G560" i="17" s="1"/>
  <c r="G246" i="20"/>
  <c r="G223" i="17" s="1"/>
  <c r="G311" i="20"/>
  <c r="G288" i="17" s="1"/>
  <c r="G373" i="20"/>
  <c r="G348" i="17" s="1"/>
  <c r="G437" i="20"/>
  <c r="G412" i="17" s="1"/>
  <c r="G500" i="20"/>
  <c r="G473" i="17" s="1"/>
  <c r="H85" i="21" s="1"/>
  <c r="O85" i="21" s="1"/>
  <c r="G600" i="19"/>
  <c r="G75" i="20"/>
  <c r="G54" i="17" s="1"/>
  <c r="G134" i="20"/>
  <c r="G113" i="17" s="1"/>
  <c r="G205" i="20"/>
  <c r="G182" i="17" s="1"/>
  <c r="G271" i="20"/>
  <c r="G248" i="17" s="1"/>
  <c r="G336" i="20"/>
  <c r="G313" i="17" s="1"/>
  <c r="G398" i="20"/>
  <c r="G373" i="17" s="1"/>
  <c r="H107" i="21" s="1"/>
  <c r="O107" i="21" s="1"/>
  <c r="G462" i="20"/>
  <c r="G435" i="17" s="1"/>
  <c r="H66" i="21" s="1"/>
  <c r="O66" i="21" s="1"/>
  <c r="G530" i="20"/>
  <c r="G503" i="17" s="1"/>
  <c r="G564" i="20"/>
  <c r="G537" i="17" s="1"/>
  <c r="G568" i="20"/>
  <c r="G541" i="17" s="1"/>
  <c r="G572" i="20"/>
  <c r="G545" i="17" s="1"/>
  <c r="H96" i="21" s="1"/>
  <c r="O96" i="21"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H139" i="21" s="1"/>
  <c r="O139" i="21" s="1"/>
  <c r="G415" i="19"/>
  <c r="G552" i="19"/>
  <c r="G187" i="20"/>
  <c r="G166" i="17" s="1"/>
  <c r="G309" i="20"/>
  <c r="G286" i="17" s="1"/>
  <c r="G403" i="20"/>
  <c r="G378" i="17" s="1"/>
  <c r="H112" i="21" s="1"/>
  <c r="O112" i="21"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H52" i="21" s="1"/>
  <c r="O52" i="21" s="1"/>
  <c r="G557" i="20"/>
  <c r="G530" i="17" s="1"/>
  <c r="G629" i="19"/>
  <c r="G43" i="20"/>
  <c r="G22" i="17" s="1"/>
  <c r="G121" i="20"/>
  <c r="G100" i="17" s="1"/>
  <c r="G186" i="20"/>
  <c r="G165" i="17" s="1"/>
  <c r="G259" i="20"/>
  <c r="G236" i="17" s="1"/>
  <c r="G324" i="20"/>
  <c r="G301" i="17" s="1"/>
  <c r="G394" i="20"/>
  <c r="G369" i="17" s="1"/>
  <c r="H103" i="21" s="1"/>
  <c r="O103" i="21" s="1"/>
  <c r="G458" i="20"/>
  <c r="G431" i="17" s="1"/>
  <c r="H62" i="21" s="1"/>
  <c r="O62" i="21" s="1"/>
  <c r="G534" i="20"/>
  <c r="G507" i="17" s="1"/>
  <c r="G566" i="20"/>
  <c r="G539" i="17" s="1"/>
  <c r="G617" i="19"/>
  <c r="G58" i="20"/>
  <c r="G37" i="17" s="1"/>
  <c r="G115" i="20"/>
  <c r="G94" i="17" s="1"/>
  <c r="G180" i="20"/>
  <c r="G159" i="17" s="1"/>
  <c r="H205" i="21" s="1"/>
  <c r="O205" i="21" s="1"/>
  <c r="G261" i="20"/>
  <c r="G238" i="17" s="1"/>
  <c r="G326" i="20"/>
  <c r="G303" i="17" s="1"/>
  <c r="G388" i="20"/>
  <c r="G363" i="17" s="1"/>
  <c r="H25" i="21" s="1"/>
  <c r="O25" i="21" s="1"/>
  <c r="G452" i="20"/>
  <c r="G427" i="17" s="1"/>
  <c r="G515" i="20"/>
  <c r="G488" i="17" s="1"/>
  <c r="H56" i="21" s="1"/>
  <c r="O56" i="21" s="1"/>
  <c r="G559" i="20"/>
  <c r="G532" i="17" s="1"/>
  <c r="G173" i="20"/>
  <c r="G152" i="17" s="1"/>
  <c r="G254" i="20"/>
  <c r="G231" i="17" s="1"/>
  <c r="G319" i="20"/>
  <c r="G296" i="17" s="1"/>
  <c r="G381" i="20"/>
  <c r="G356" i="17" s="1"/>
  <c r="H20" i="21" s="1"/>
  <c r="O20" i="21" s="1"/>
  <c r="G445" i="20"/>
  <c r="G420" i="17" s="1"/>
  <c r="G508" i="20"/>
  <c r="G481" i="17" s="1"/>
  <c r="H223" i="21" s="1"/>
  <c r="O223" i="21" s="1"/>
  <c r="G592" i="19"/>
  <c r="G81" i="20"/>
  <c r="G60" i="17" s="1"/>
  <c r="G142" i="20"/>
  <c r="G121" i="17" s="1"/>
  <c r="G213" i="20"/>
  <c r="G190" i="17" s="1"/>
  <c r="G280" i="20"/>
  <c r="G257" i="17" s="1"/>
  <c r="G344" i="20"/>
  <c r="G321" i="17" s="1"/>
  <c r="G406" i="20"/>
  <c r="G381" i="17" s="1"/>
  <c r="H131" i="21" s="1"/>
  <c r="O131" i="21" s="1"/>
  <c r="G469" i="20"/>
  <c r="G442" i="17" s="1"/>
  <c r="H72" i="21" s="1"/>
  <c r="O72" i="21"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H36" i="21" s="1"/>
  <c r="O36" i="21" s="1"/>
  <c r="G393" i="20"/>
  <c r="G368" i="17" s="1"/>
  <c r="H102" i="21" s="1"/>
  <c r="O102" i="21" s="1"/>
  <c r="G482" i="20"/>
  <c r="G455" i="17" s="1"/>
  <c r="H93" i="21" s="1"/>
  <c r="O93" i="21" s="1"/>
  <c r="O92" i="21" s="1"/>
  <c r="G448" i="19"/>
  <c r="G564" i="19"/>
  <c r="G202" i="20"/>
  <c r="G181" i="17" s="1"/>
  <c r="G317" i="20"/>
  <c r="G294" i="17" s="1"/>
  <c r="G435" i="20"/>
  <c r="G410" i="17" s="1"/>
  <c r="H121" i="21" s="1"/>
  <c r="O121" i="21" s="1"/>
  <c r="G513" i="19"/>
  <c r="G51" i="20"/>
  <c r="G30" i="17" s="1"/>
  <c r="G167" i="19"/>
  <c r="G232" i="19"/>
  <c r="G296" i="19"/>
  <c r="G360" i="19"/>
  <c r="G425" i="19"/>
  <c r="G490" i="19"/>
  <c r="G537" i="19"/>
  <c r="G569" i="19"/>
  <c r="G149" i="20"/>
  <c r="G128" i="17" s="1"/>
  <c r="G503" i="19"/>
  <c r="G590" i="19"/>
  <c r="G111" i="20"/>
  <c r="G90" i="17" s="1"/>
  <c r="G176" i="20"/>
  <c r="G155" i="17" s="1"/>
  <c r="H204" i="21" s="1"/>
  <c r="O204" i="21" s="1"/>
  <c r="G249" i="20"/>
  <c r="G226" i="17" s="1"/>
  <c r="G314" i="20"/>
  <c r="G291" i="17" s="1"/>
  <c r="G384" i="20"/>
  <c r="G359" i="17" s="1"/>
  <c r="G448" i="20"/>
  <c r="G423" i="17" s="1"/>
  <c r="H170" i="21" s="1"/>
  <c r="O170" i="21" s="1"/>
  <c r="G519" i="20"/>
  <c r="G492" i="17" s="1"/>
  <c r="H60" i="21" s="1"/>
  <c r="O60" i="21" s="1"/>
  <c r="G561" i="20"/>
  <c r="G534" i="17" s="1"/>
  <c r="G623" i="19"/>
  <c r="G50" i="20"/>
  <c r="G29" i="17" s="1"/>
  <c r="G130" i="20"/>
  <c r="G109" i="17" s="1"/>
  <c r="G194" i="20"/>
  <c r="G173" i="17" s="1"/>
  <c r="G267" i="20"/>
  <c r="G244" i="17" s="1"/>
  <c r="G332" i="20"/>
  <c r="G309" i="17" s="1"/>
  <c r="G402" i="20"/>
  <c r="G377" i="17" s="1"/>
  <c r="H111" i="21" s="1"/>
  <c r="O111" i="21" s="1"/>
  <c r="G473" i="20"/>
  <c r="G446" i="17" s="1"/>
  <c r="H138" i="21" s="1"/>
  <c r="O138" i="21" s="1"/>
  <c r="G538" i="20"/>
  <c r="G511" i="17" s="1"/>
  <c r="G570" i="20"/>
  <c r="G543" i="17" s="1"/>
  <c r="G610" i="19"/>
  <c r="G66" i="20"/>
  <c r="G45" i="17" s="1"/>
  <c r="G123" i="20"/>
  <c r="G102" i="17" s="1"/>
  <c r="G188" i="20"/>
  <c r="G167" i="17" s="1"/>
  <c r="G269" i="20"/>
  <c r="G246" i="17" s="1"/>
  <c r="G334" i="20"/>
  <c r="G311" i="17" s="1"/>
  <c r="G396" i="20"/>
  <c r="G371" i="17" s="1"/>
  <c r="H105" i="21" s="1"/>
  <c r="O105" i="21" s="1"/>
  <c r="G460" i="20"/>
  <c r="G433" i="17" s="1"/>
  <c r="H64" i="21" s="1"/>
  <c r="O64" i="21" s="1"/>
  <c r="G528" i="20"/>
  <c r="G501" i="17" s="1"/>
  <c r="G563" i="20"/>
  <c r="G536" i="17" s="1"/>
  <c r="G181" i="20"/>
  <c r="G160" i="17" s="1"/>
  <c r="G262" i="20"/>
  <c r="G239" i="17" s="1"/>
  <c r="G327" i="20"/>
  <c r="G304" i="17" s="1"/>
  <c r="G389" i="20"/>
  <c r="G364" i="17" s="1"/>
  <c r="H26" i="21" s="1"/>
  <c r="O26" i="21" s="1"/>
  <c r="G453" i="20"/>
  <c r="G428" i="17" s="1"/>
  <c r="H174" i="21" s="1"/>
  <c r="O174" i="21" s="1"/>
  <c r="G516" i="20"/>
  <c r="G489" i="17" s="1"/>
  <c r="H57" i="21" s="1"/>
  <c r="O57" i="21" s="1"/>
  <c r="G584" i="19"/>
  <c r="G150" i="20"/>
  <c r="G129" i="17" s="1"/>
  <c r="H201" i="21" s="1"/>
  <c r="O201" i="21" s="1"/>
  <c r="G221" i="20"/>
  <c r="G198" i="17" s="1"/>
  <c r="G288" i="20"/>
  <c r="G265" i="17" s="1"/>
  <c r="G352" i="20"/>
  <c r="G329" i="17" s="1"/>
  <c r="G414" i="20"/>
  <c r="G389" i="17" s="1"/>
  <c r="H237" i="21" s="1"/>
  <c r="O237" i="21" s="1"/>
  <c r="G477" i="20"/>
  <c r="G450" i="17" s="1"/>
  <c r="H124" i="21" s="1"/>
  <c r="O124" i="21"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H42" i="21" s="1"/>
  <c r="O42" i="21" s="1"/>
  <c r="G425" i="20"/>
  <c r="G400" i="17" s="1"/>
  <c r="G506" i="20"/>
  <c r="G479" i="17" s="1"/>
  <c r="H221" i="21" s="1"/>
  <c r="O221" i="21" s="1"/>
  <c r="G456" i="19"/>
  <c r="G624" i="19"/>
  <c r="G236" i="20"/>
  <c r="G213" i="17" s="1"/>
  <c r="G325" i="20"/>
  <c r="G302" i="17" s="1"/>
  <c r="G443" i="20"/>
  <c r="G418" i="17" s="1"/>
  <c r="H166" i="21" s="1"/>
  <c r="O166" i="21"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H109" i="21" s="1"/>
  <c r="O109" i="21" s="1"/>
  <c r="G604" i="19"/>
  <c r="G284" i="20"/>
  <c r="G261" i="17" s="1"/>
  <c r="G546" i="20"/>
  <c r="G519" i="17" s="1"/>
  <c r="G140" i="20"/>
  <c r="G119" i="17" s="1"/>
  <c r="H196" i="21" s="1"/>
  <c r="O196" i="21" s="1"/>
  <c r="G412" i="20"/>
  <c r="G387" i="17" s="1"/>
  <c r="H135" i="21" s="1"/>
  <c r="O135" i="21" s="1"/>
  <c r="G212" i="20"/>
  <c r="G189" i="17" s="1"/>
  <c r="G468" i="20"/>
  <c r="G441" i="17" s="1"/>
  <c r="H71" i="21" s="1"/>
  <c r="O71" i="21" s="1"/>
  <c r="G166" i="20"/>
  <c r="G145" i="17" s="1"/>
  <c r="G422" i="20"/>
  <c r="G397" i="17" s="1"/>
  <c r="H147" i="21" s="1"/>
  <c r="O147" i="21" s="1"/>
  <c r="G556" i="20"/>
  <c r="G529" i="17" s="1"/>
  <c r="G73" i="20"/>
  <c r="G52" i="17" s="1"/>
  <c r="G96" i="20"/>
  <c r="G75" i="17" s="1"/>
  <c r="G612" i="19"/>
  <c r="G382" i="20"/>
  <c r="G357" i="17" s="1"/>
  <c r="H21" i="21" s="1"/>
  <c r="O21" i="21" s="1"/>
  <c r="G534" i="19"/>
  <c r="G108" i="19"/>
  <c r="G433" i="20"/>
  <c r="G408" i="17" s="1"/>
  <c r="G65" i="20"/>
  <c r="G44" i="17" s="1"/>
  <c r="G634" i="19"/>
  <c r="G184" i="20"/>
  <c r="G163" i="17" s="1"/>
  <c r="G464" i="20"/>
  <c r="G437" i="17" s="1"/>
  <c r="H68" i="21" s="1"/>
  <c r="O68" i="21" s="1"/>
  <c r="G64" i="20"/>
  <c r="G43" i="17" s="1"/>
  <c r="G340" i="20"/>
  <c r="G317" i="17" s="1"/>
  <c r="G574" i="20"/>
  <c r="G547" i="17" s="1"/>
  <c r="H162" i="21" s="1"/>
  <c r="O162" i="21" s="1"/>
  <c r="O161" i="21" s="1"/>
  <c r="G211" i="20"/>
  <c r="G188" i="17" s="1"/>
  <c r="G467" i="20"/>
  <c r="G440" i="17" s="1"/>
  <c r="H70" i="21" s="1"/>
  <c r="O70" i="21" s="1"/>
  <c r="G270" i="20"/>
  <c r="G247" i="17" s="1"/>
  <c r="G529" i="20"/>
  <c r="G502" i="17" s="1"/>
  <c r="G229" i="20"/>
  <c r="G206" i="17" s="1"/>
  <c r="H40" i="21" s="1"/>
  <c r="O40" i="21" s="1"/>
  <c r="G430" i="20"/>
  <c r="G405" i="17" s="1"/>
  <c r="H118" i="21" s="1"/>
  <c r="O118" i="21" s="1"/>
  <c r="G576" i="20"/>
  <c r="G549" i="17" s="1"/>
  <c r="H156" i="21" s="1"/>
  <c r="O156" i="21" s="1"/>
  <c r="G446" i="20"/>
  <c r="G421" i="17" s="1"/>
  <c r="H168" i="21" s="1"/>
  <c r="O168" i="21" s="1"/>
  <c r="G304" i="20"/>
  <c r="G281" i="17" s="1"/>
  <c r="G76" i="19"/>
  <c r="G565" i="20"/>
  <c r="G538" i="17" s="1"/>
  <c r="G397" i="20"/>
  <c r="G372" i="17" s="1"/>
  <c r="H106" i="21" s="1"/>
  <c r="O106" i="21" s="1"/>
  <c r="G119" i="20"/>
  <c r="G98" i="17" s="1"/>
  <c r="G404" i="20"/>
  <c r="G379" i="17" s="1"/>
  <c r="H113" i="21" s="1"/>
  <c r="O113" i="21" s="1"/>
  <c r="G548" i="20"/>
  <c r="G521" i="17" s="1"/>
  <c r="G329" i="20"/>
  <c r="G306" i="17" s="1"/>
  <c r="G262" i="19"/>
  <c r="G318" i="19"/>
  <c r="G183" i="19"/>
  <c r="G165" i="20"/>
  <c r="G144" i="17" s="1"/>
  <c r="G192" i="20"/>
  <c r="G171" i="17" s="1"/>
  <c r="G471" i="20"/>
  <c r="G444" i="17" s="1"/>
  <c r="H74" i="21" s="1"/>
  <c r="O74" i="21" s="1"/>
  <c r="G71" i="20"/>
  <c r="G50" i="17" s="1"/>
  <c r="G348" i="20"/>
  <c r="G325" i="17" s="1"/>
  <c r="G578" i="20"/>
  <c r="G551" i="17" s="1"/>
  <c r="G219" i="20"/>
  <c r="G196" i="17" s="1"/>
  <c r="G475" i="20"/>
  <c r="G448" i="17" s="1"/>
  <c r="H140" i="21" s="1"/>
  <c r="O140" i="21" s="1"/>
  <c r="G278" i="20"/>
  <c r="G255" i="17" s="1"/>
  <c r="G632" i="19"/>
  <c r="G239" i="20"/>
  <c r="G216" i="17" s="1"/>
  <c r="G580" i="20"/>
  <c r="G553" i="17" s="1"/>
  <c r="G84" i="19"/>
  <c r="G33" i="20"/>
  <c r="G14" i="17" s="1"/>
  <c r="H183" i="21" s="1"/>
  <c r="O183" i="21" s="1"/>
  <c r="G342" i="20"/>
  <c r="G319" i="17" s="1"/>
  <c r="G360" i="20"/>
  <c r="G337" i="17" s="1"/>
  <c r="G275" i="20"/>
  <c r="G252" i="17" s="1"/>
  <c r="G461" i="20"/>
  <c r="G434" i="17" s="1"/>
  <c r="H65" i="21" s="1"/>
  <c r="O65" i="21" s="1"/>
  <c r="G500" i="19"/>
  <c r="G554" i="19"/>
  <c r="G480" i="19"/>
  <c r="G248" i="19"/>
  <c r="G511" i="19"/>
  <c r="G257" i="20"/>
  <c r="G234" i="17" s="1"/>
  <c r="G532" i="20"/>
  <c r="G505" i="17" s="1"/>
  <c r="G138" i="20"/>
  <c r="G117" i="17" s="1"/>
  <c r="H194" i="21" s="1"/>
  <c r="O194" i="21" s="1"/>
  <c r="G410" i="20"/>
  <c r="G385" i="17" s="1"/>
  <c r="H236" i="21" s="1"/>
  <c r="O236" i="21" s="1"/>
  <c r="G602" i="19"/>
  <c r="G277" i="20"/>
  <c r="G254" i="17" s="1"/>
  <c r="G535" i="20"/>
  <c r="G508" i="17" s="1"/>
  <c r="G335" i="20"/>
  <c r="G312" i="17" s="1"/>
  <c r="G31" i="20"/>
  <c r="G12" i="17" s="1"/>
  <c r="H181" i="21" s="1"/>
  <c r="O181" i="21" s="1"/>
  <c r="G296" i="20"/>
  <c r="G273" i="17" s="1"/>
  <c r="G485" i="20"/>
  <c r="G458" i="17" s="1"/>
  <c r="H126" i="21" s="1"/>
  <c r="O126" i="21" s="1"/>
  <c r="G377" i="19"/>
  <c r="G481" i="20"/>
  <c r="G454" i="17" s="1"/>
  <c r="H116" i="21" s="1"/>
  <c r="O116" i="21" s="1"/>
  <c r="O115" i="21" s="1"/>
  <c r="G392" i="20"/>
  <c r="G367" i="17" s="1"/>
  <c r="H101" i="21" s="1"/>
  <c r="O101" i="21" s="1"/>
  <c r="G189" i="20"/>
  <c r="G168" i="17" s="1"/>
  <c r="G283" i="19"/>
  <c r="G239" i="19"/>
  <c r="G106" i="20"/>
  <c r="G85" i="17" s="1"/>
  <c r="G312" i="19"/>
  <c r="G519" i="19"/>
  <c r="G537" i="20"/>
  <c r="G510" i="17" s="1"/>
  <c r="G146" i="20"/>
  <c r="G125" i="17" s="1"/>
  <c r="H199" i="21" s="1"/>
  <c r="O199" i="21" s="1"/>
  <c r="G418" i="20"/>
  <c r="G393" i="17" s="1"/>
  <c r="H144" i="21" s="1"/>
  <c r="O144" i="21" s="1"/>
  <c r="G594" i="19"/>
  <c r="G286" i="20"/>
  <c r="G263" i="17" s="1"/>
  <c r="G539" i="20"/>
  <c r="G512" i="17" s="1"/>
  <c r="G343" i="20"/>
  <c r="G320" i="17" s="1"/>
  <c r="G46" i="20"/>
  <c r="G25" i="17" s="1"/>
  <c r="G493" i="20"/>
  <c r="G466" i="17" s="1"/>
  <c r="H214" i="21" s="1"/>
  <c r="O214" i="21" s="1"/>
  <c r="G244" i="20"/>
  <c r="G221" i="17" s="1"/>
  <c r="G322" i="20"/>
  <c r="G299" i="17" s="1"/>
  <c r="G209" i="20"/>
  <c r="G186" i="17" s="1"/>
  <c r="G567" i="20"/>
  <c r="G540" i="17" s="1"/>
  <c r="G509" i="20"/>
  <c r="G482" i="17" s="1"/>
  <c r="H79" i="21" s="1"/>
  <c r="O79" i="21" s="1"/>
  <c r="G542" i="20"/>
  <c r="G515" i="17" s="1"/>
  <c r="G158" i="20"/>
  <c r="G137" i="17" s="1"/>
  <c r="G212" i="19"/>
  <c r="G533" i="20"/>
  <c r="G506" i="17" s="1"/>
  <c r="G333" i="20"/>
  <c r="G310" i="17" s="1"/>
  <c r="G441" i="19"/>
  <c r="G41" i="20"/>
  <c r="G20" i="17" s="1"/>
  <c r="G330" i="20"/>
  <c r="G307" i="17" s="1"/>
  <c r="G569" i="20"/>
  <c r="G542" i="17" s="1"/>
  <c r="G217" i="20"/>
  <c r="G194" i="17" s="1"/>
  <c r="H32" i="21" s="1"/>
  <c r="O32" i="21" s="1"/>
  <c r="G489" i="20"/>
  <c r="G462" i="17" s="1"/>
  <c r="H99" i="21" s="1"/>
  <c r="O99" i="21" s="1"/>
  <c r="G79" i="20"/>
  <c r="G58" i="17" s="1"/>
  <c r="G350" i="20"/>
  <c r="G327" i="17" s="1"/>
  <c r="G571" i="20"/>
  <c r="G544" i="17" s="1"/>
  <c r="H95" i="21" s="1"/>
  <c r="O95" i="21" s="1"/>
  <c r="G405" i="20"/>
  <c r="G380" i="17" s="1"/>
  <c r="H114" i="21" s="1"/>
  <c r="O114" i="21" s="1"/>
  <c r="G103" i="20"/>
  <c r="G82" i="17" s="1"/>
  <c r="G368" i="20"/>
  <c r="G345" i="17" s="1"/>
  <c r="G544" i="20"/>
  <c r="G517" i="17" s="1"/>
  <c r="G116" i="19"/>
  <c r="G543" i="19"/>
  <c r="G451" i="20"/>
  <c r="G426" i="17" s="1"/>
  <c r="H173" i="21" s="1"/>
  <c r="O173" i="21" s="1"/>
  <c r="G506" i="19"/>
  <c r="G132" i="20"/>
  <c r="G111" i="17" s="1"/>
  <c r="G29" i="20"/>
  <c r="G10" i="17" s="1"/>
  <c r="H179" i="21" s="1"/>
  <c r="O179" i="21"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54" i="1"/>
  <c r="J627" i="1"/>
  <c r="J619" i="1"/>
  <c r="J611" i="1"/>
  <c r="J603" i="1"/>
  <c r="J589" i="1"/>
  <c r="J581" i="1"/>
  <c r="J573" i="1"/>
  <c r="J565" i="1"/>
  <c r="J557" i="1"/>
  <c r="J549" i="1"/>
  <c r="J373" i="1"/>
  <c r="J628" i="1"/>
  <c r="J612" i="1"/>
  <c r="J596" i="1"/>
  <c r="J574" i="1"/>
  <c r="J550" i="1"/>
  <c r="J1152"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299" i="1"/>
  <c r="J1281" i="1"/>
  <c r="J1289" i="1"/>
  <c r="J1258" i="1"/>
  <c r="J1266" i="1"/>
  <c r="J1274" i="1"/>
  <c r="J1294" i="1"/>
  <c r="J1276" i="1"/>
  <c r="J1284" i="1"/>
  <c r="J1292" i="1"/>
  <c r="J1261" i="1"/>
  <c r="J1269" i="1"/>
  <c r="J1277" i="1"/>
  <c r="J1270" i="1"/>
  <c r="J1297" i="1"/>
  <c r="J1279" i="1"/>
  <c r="J1264" i="1"/>
  <c r="J1272" i="1"/>
  <c r="J1298" i="1"/>
  <c r="J1288" i="1"/>
  <c r="J1265" i="1"/>
  <c r="J1306" i="1"/>
  <c r="J1300" i="1"/>
  <c r="J1282" i="1"/>
  <c r="J1290" i="1"/>
  <c r="J1259" i="1"/>
  <c r="J1267" i="1"/>
  <c r="J1275" i="1"/>
  <c r="J1293" i="1"/>
  <c r="J1283" i="1"/>
  <c r="J1291" i="1"/>
  <c r="J1260" i="1"/>
  <c r="J1268" i="1"/>
  <c r="J1307" i="1"/>
  <c r="J1295" i="1"/>
  <c r="J1285" i="1"/>
  <c r="J1262" i="1"/>
  <c r="J1287" i="1"/>
  <c r="J1280" i="1"/>
  <c r="J1257" i="1"/>
  <c r="J1273" i="1"/>
  <c r="J1308" i="1"/>
  <c r="J1301" i="1"/>
  <c r="J1309" i="1"/>
  <c r="J1302" i="1"/>
  <c r="J1310" i="1"/>
  <c r="J1296"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46"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30"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127"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28" i="1"/>
  <c r="J1151" i="1"/>
  <c r="J1170" i="1"/>
  <c r="J1192" i="1"/>
  <c r="J1230" i="1"/>
  <c r="J1249" i="1"/>
  <c r="J27" i="1"/>
  <c r="J1034" i="1"/>
  <c r="J1058" i="1"/>
  <c r="J1082" i="1"/>
  <c r="J1111" i="1"/>
  <c r="J1135" i="1"/>
  <c r="J1159" i="1"/>
  <c r="J1183" i="1"/>
  <c r="J1207" i="1"/>
  <c r="J1246" i="1"/>
  <c r="J1016" i="1"/>
  <c r="J1040" i="1"/>
  <c r="J1090" i="1"/>
  <c r="J1138" i="1"/>
  <c r="J1186" i="1"/>
  <c r="J1254" i="1"/>
  <c r="J1018" i="1"/>
  <c r="J1071" i="1"/>
  <c r="J1143" i="1"/>
  <c r="J1231" i="1"/>
  <c r="J1015" i="1"/>
  <c r="J1039" i="1"/>
  <c r="J1063" i="1"/>
  <c r="J1088" i="1"/>
  <c r="J1112" i="1"/>
  <c r="J1136" i="1"/>
  <c r="J1160" i="1"/>
  <c r="J1184" i="1"/>
  <c r="J1208" i="1"/>
  <c r="J1247" i="1"/>
  <c r="J14" i="1"/>
  <c r="J1066" i="1"/>
  <c r="J1114" i="1"/>
  <c r="J1162" i="1"/>
  <c r="J1210" i="1"/>
  <c r="J1047" i="1"/>
  <c r="J111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57" i="1"/>
  <c r="J1149" i="1"/>
  <c r="J1141" i="1"/>
  <c r="J1133" i="1"/>
  <c r="J1125" i="1"/>
  <c r="J1117"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56" i="1"/>
  <c r="J1148" i="1"/>
  <c r="J1140" i="1"/>
  <c r="J1132" i="1"/>
  <c r="J1124" i="1"/>
  <c r="J1116"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30" i="1"/>
  <c r="J22" i="1"/>
  <c r="O61" i="21" l="1"/>
  <c r="O46" i="21"/>
  <c r="H231" i="21"/>
  <c r="O231" i="21" s="1"/>
  <c r="H230" i="21"/>
  <c r="O230" i="21" s="1"/>
  <c r="H232" i="21"/>
  <c r="O232" i="21" s="1"/>
  <c r="O50" i="21"/>
  <c r="O94" i="21"/>
  <c r="O155" i="21"/>
  <c r="O137" i="21"/>
  <c r="O86" i="21"/>
  <c r="O19" i="21"/>
  <c r="O224" i="21"/>
  <c r="O213" i="21"/>
  <c r="O141" i="21"/>
  <c r="O77" i="21"/>
  <c r="O234" i="21"/>
  <c r="O28" i="21"/>
  <c r="O117" i="21"/>
  <c r="O80" i="21"/>
  <c r="O220" i="21"/>
  <c r="O150" i="21"/>
  <c r="O122" i="21"/>
  <c r="O163" i="21"/>
  <c r="O190" i="21"/>
  <c r="O176" i="21"/>
  <c r="N588" i="20"/>
  <c r="N591" i="20"/>
  <c r="N589" i="20"/>
  <c r="N590" i="20"/>
  <c r="U82" i="15"/>
  <c r="V82" i="15" s="1"/>
  <c r="U47" i="15"/>
  <c r="V47" i="15" s="1"/>
  <c r="U21" i="15"/>
  <c r="V21" i="15" s="1"/>
  <c r="U20" i="15"/>
  <c r="V20" i="15" s="1"/>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85" i="15"/>
  <c r="V85" i="15" s="1"/>
  <c r="U84" i="15"/>
  <c r="V84" i="15" s="1"/>
  <c r="U83" i="15"/>
  <c r="V83" i="15" s="1"/>
  <c r="U79" i="15"/>
  <c r="U81" i="15"/>
  <c r="V81" i="15" s="1"/>
  <c r="U80" i="15"/>
  <c r="V80" i="15" s="1"/>
  <c r="U87" i="15"/>
  <c r="V87" i="15" s="1"/>
  <c r="U86" i="15"/>
  <c r="V86"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U26" i="15"/>
  <c r="V26" i="15" s="1"/>
  <c r="U44" i="15"/>
  <c r="U49" i="15"/>
  <c r="V49" i="15" s="1"/>
  <c r="U18" i="15"/>
  <c r="U50" i="15"/>
  <c r="V50" i="15" s="1"/>
  <c r="U19" i="15"/>
  <c r="V19" i="15" s="1"/>
  <c r="U23" i="15"/>
  <c r="V23" i="15" s="1"/>
  <c r="U45" i="15"/>
  <c r="V45" i="15" s="1"/>
  <c r="U24" i="15"/>
  <c r="V24" i="15" s="1"/>
  <c r="U25" i="15"/>
  <c r="V25" i="15" s="1"/>
  <c r="U46" i="15"/>
  <c r="V46" i="15" s="1"/>
  <c r="U51" i="15"/>
  <c r="V51" i="15" s="1"/>
  <c r="U48" i="15"/>
  <c r="V48" i="15" s="1"/>
  <c r="U22" i="15"/>
  <c r="V22" i="15" s="1"/>
  <c r="U52" i="15"/>
  <c r="V52" i="15" s="1"/>
  <c r="O130" i="21" l="1"/>
  <c r="O100" i="21" s="1"/>
  <c r="O148" i="21"/>
  <c r="N204" i="20"/>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44" i="15"/>
  <c r="U53" i="15"/>
  <c r="V79" i="15"/>
  <c r="U88" i="15"/>
  <c r="D82" i="15" s="1"/>
  <c r="V18" i="15"/>
  <c r="U27" i="15"/>
  <c r="D21" i="15" s="1"/>
  <c r="L371" i="20" l="1"/>
  <c r="N371" i="20" s="1"/>
  <c r="Q456" i="20"/>
  <c r="N456" i="20"/>
  <c r="Q371" i="20"/>
  <c r="Q40" i="20"/>
  <c r="K40" i="20"/>
  <c r="L40" i="20" s="1"/>
  <c r="N40" i="20" s="1"/>
  <c r="N25" i="20"/>
  <c r="J583" i="19"/>
  <c r="L583" i="19" s="1"/>
  <c r="J27" i="19"/>
  <c r="I25" i="19"/>
  <c r="J24" i="20"/>
  <c r="J594" i="20" s="1"/>
  <c r="Q25" i="20"/>
  <c r="I24" i="20"/>
  <c r="D47" i="15"/>
  <c r="K24" i="20" l="1"/>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94" i="20" s="1"/>
  <c r="BO12" i="20"/>
  <c r="BO9" i="20"/>
  <c r="BV16" i="21"/>
  <c r="BP13" i="20"/>
  <c r="BP12" i="20" s="1"/>
  <c r="BW16" i="21" l="1"/>
  <c r="BX16" i="21" s="1"/>
  <c r="BQ13" i="20"/>
  <c r="BP9" i="20"/>
  <c r="BY16" i="21" l="1"/>
  <c r="BQ12" i="20"/>
  <c r="BQ9" i="20"/>
  <c r="BR13" i="20"/>
  <c r="BZ16" i="21" l="1"/>
  <c r="BR9" i="20"/>
  <c r="BS13" i="20"/>
  <c r="BR12" i="20"/>
  <c r="CA16" i="21" l="1"/>
  <c r="BT13" i="20"/>
  <c r="BS12" i="20"/>
  <c r="BS9" i="20"/>
  <c r="CB16" i="21" l="1"/>
  <c r="BT12" i="20"/>
  <c r="BU13" i="20"/>
  <c r="BT9" i="20"/>
  <c r="CC16" i="21" l="1"/>
  <c r="BU12" i="20"/>
  <c r="BU9" i="20"/>
  <c r="BV13" i="20"/>
  <c r="CD16" i="21" l="1"/>
  <c r="BW13" i="20"/>
  <c r="BV12" i="20"/>
  <c r="BV9" i="20"/>
  <c r="CE16" i="21" l="1"/>
  <c r="BX13" i="20"/>
  <c r="BW12" i="20"/>
  <c r="BW9" i="20"/>
  <c r="CF16" i="21" l="1"/>
  <c r="BX12" i="20"/>
  <c r="BX9" i="20"/>
  <c r="BY13" i="20"/>
  <c r="CG16" i="21" l="1"/>
  <c r="BZ13" i="20"/>
  <c r="BY12" i="20"/>
  <c r="BY9" i="20"/>
  <c r="CH16" i="21" l="1"/>
  <c r="BZ9" i="20"/>
  <c r="CA13" i="20"/>
  <c r="BZ12" i="20"/>
  <c r="N190" i="21" l="1" a="1"/>
  <c r="N190" i="21" s="1"/>
  <c r="N234" i="21" a="1"/>
  <c r="N234" i="21" s="1"/>
  <c r="CI16" i="21"/>
  <c r="N130" i="21" s="1" a="1"/>
  <c r="N130" i="21" s="1"/>
  <c r="CB13" i="20"/>
  <c r="CA12" i="20"/>
  <c r="CA9" i="20"/>
  <c r="N163" i="21" l="1" a="1"/>
  <c r="N163" i="21" s="1"/>
  <c r="N224" i="21" a="1"/>
  <c r="N224" i="21" s="1"/>
  <c r="N176" i="21" a="1"/>
  <c r="N176" i="21" s="1"/>
  <c r="N141" i="21" a="1"/>
  <c r="N141" i="21" s="1"/>
  <c r="N117" i="21" a="1"/>
  <c r="N117" i="21" s="1"/>
  <c r="N100" i="21" a="1"/>
  <c r="N100" i="21" s="1"/>
  <c r="N44" i="21" a="1"/>
  <c r="N44" i="21" s="1"/>
  <c r="N28" i="21" a="1"/>
  <c r="N28" i="21" s="1"/>
  <c r="N46" i="21" a="1"/>
  <c r="N46" i="21" s="1"/>
  <c r="N233" i="21" a="1"/>
  <c r="N233" i="21" s="1"/>
  <c r="N19" i="21" a="1"/>
  <c r="N19" i="21" s="1"/>
  <c r="M65" i="21" a="1"/>
  <c r="M65" i="21" s="1"/>
  <c r="N86" i="21" a="1"/>
  <c r="N86" i="21" s="1"/>
  <c r="N122" i="21" a="1"/>
  <c r="N122" i="21" s="1"/>
  <c r="N17" i="21" a="1"/>
  <c r="N17" i="21" s="1"/>
  <c r="N239" i="21" a="1"/>
  <c r="N239" i="21" s="1"/>
  <c r="N229" i="21" a="1"/>
  <c r="N229" i="21" s="1"/>
  <c r="N80" i="21" a="1"/>
  <c r="N80" i="21" s="1"/>
  <c r="N77" i="21" a="1"/>
  <c r="N77" i="21" s="1"/>
  <c r="N189" i="21" a="1"/>
  <c r="N189" i="21" s="1"/>
  <c r="N161" i="21" a="1"/>
  <c r="N161" i="21" s="1"/>
  <c r="N150" i="21" a="1"/>
  <c r="N150" i="21" s="1"/>
  <c r="N220" i="21" a="1"/>
  <c r="N220" i="21" s="1"/>
  <c r="N92" i="21" a="1"/>
  <c r="N92" i="21" s="1"/>
  <c r="N240" i="21" a="1"/>
  <c r="N240" i="21" s="1"/>
  <c r="N94" i="21" a="1"/>
  <c r="N94" i="21" s="1"/>
  <c r="N155" i="21" a="1"/>
  <c r="N155" i="21" s="1"/>
  <c r="N213" i="21" a="1"/>
  <c r="N213" i="21" s="1"/>
  <c r="N50" i="21" a="1"/>
  <c r="N50" i="21" s="1"/>
  <c r="N148" i="21" a="1"/>
  <c r="N148" i="21" s="1"/>
  <c r="L64" i="21" a="1"/>
  <c r="L64" i="21" s="1"/>
  <c r="N137" i="21" a="1"/>
  <c r="N137" i="21" s="1"/>
  <c r="N115" i="21" a="1"/>
  <c r="N115" i="21" s="1"/>
  <c r="N61" i="21" a="1"/>
  <c r="N61" i="21" s="1"/>
  <c r="L49" i="21" a="1"/>
  <c r="L49" i="21" s="1"/>
  <c r="M67" i="21" a="1"/>
  <c r="M67" i="21" s="1"/>
  <c r="M63" i="21" a="1"/>
  <c r="M63" i="21" s="1"/>
  <c r="M68" i="21" a="1"/>
  <c r="M68" i="21" s="1"/>
  <c r="M125" i="21" a="1"/>
  <c r="M125" i="21" s="1"/>
  <c r="L69" i="21" a="1"/>
  <c r="L69" i="21" s="1"/>
  <c r="L70" i="21" a="1"/>
  <c r="L70" i="21" s="1"/>
  <c r="L124" i="21" a="1"/>
  <c r="L124" i="21" s="1"/>
  <c r="M73" i="21" a="1"/>
  <c r="M73" i="21" s="1"/>
  <c r="M70" i="21" a="1"/>
  <c r="M70" i="21" s="1"/>
  <c r="M72" i="21" a="1"/>
  <c r="M72" i="21" s="1"/>
  <c r="L65" i="21" a="1"/>
  <c r="L65" i="21" s="1"/>
  <c r="L62" i="21" a="1"/>
  <c r="L62" i="21" s="1"/>
  <c r="L74" i="21" a="1"/>
  <c r="L74" i="21" s="1"/>
  <c r="L48" i="21" a="1"/>
  <c r="L48" i="21" s="1"/>
  <c r="M75" i="21" a="1"/>
  <c r="M75" i="21" s="1"/>
  <c r="M62" i="21" a="1"/>
  <c r="M62" i="21" s="1"/>
  <c r="L73" i="21" a="1"/>
  <c r="L73" i="21" s="1"/>
  <c r="L125" i="21" a="1"/>
  <c r="L125" i="21" s="1"/>
  <c r="M74" i="21" a="1"/>
  <c r="M74" i="21" s="1"/>
  <c r="L72" i="21" a="1"/>
  <c r="L72" i="21" s="1"/>
  <c r="M71" i="21" a="1"/>
  <c r="M71" i="21" s="1"/>
  <c r="L71" i="21" a="1"/>
  <c r="L71" i="21" s="1"/>
  <c r="M76" i="21" a="1"/>
  <c r="M76" i="21" s="1"/>
  <c r="M69" i="21" a="1"/>
  <c r="M69" i="21" s="1"/>
  <c r="L68" i="21" a="1"/>
  <c r="L68" i="21" s="1"/>
  <c r="L67" i="21" a="1"/>
  <c r="L67" i="21" s="1"/>
  <c r="L63" i="21" a="1"/>
  <c r="L63" i="21" s="1"/>
  <c r="L76" i="21" a="1"/>
  <c r="L76" i="21" s="1"/>
  <c r="L66" i="21" a="1"/>
  <c r="L66" i="21" s="1"/>
  <c r="M66" i="21" a="1"/>
  <c r="M66" i="21" s="1"/>
  <c r="M64" i="21" a="1"/>
  <c r="M64" i="21" s="1"/>
  <c r="M124" i="21" a="1"/>
  <c r="M124" i="21" s="1"/>
  <c r="L75" i="21" a="1"/>
  <c r="L75" i="21" s="1"/>
  <c r="M48" i="21" a="1"/>
  <c r="M48" i="21" s="1"/>
  <c r="L232" i="21" a="1"/>
  <c r="L232" i="21" s="1"/>
  <c r="M49" i="21" a="1"/>
  <c r="M49" i="21" s="1"/>
  <c r="L47" i="21" a="1"/>
  <c r="L47" i="21" s="1"/>
  <c r="M47" i="21" a="1"/>
  <c r="M47" i="21" s="1"/>
  <c r="L239" i="21" a="1"/>
  <c r="L239" i="21" s="1"/>
  <c r="L230" i="21" a="1"/>
  <c r="L230" i="21" s="1"/>
  <c r="L229" i="21" s="1"/>
  <c r="L231" i="21" a="1"/>
  <c r="L231" i="21" s="1"/>
  <c r="L99" i="21" a="1"/>
  <c r="L99" i="21" s="1"/>
  <c r="M231" i="21" a="1"/>
  <c r="M231" i="21" s="1"/>
  <c r="M230" i="21" a="1"/>
  <c r="M230" i="21" s="1"/>
  <c r="M229" i="21" s="1"/>
  <c r="M232" i="21" a="1"/>
  <c r="M232" i="21" s="1"/>
  <c r="M239" i="21" a="1"/>
  <c r="M239" i="21" s="1"/>
  <c r="L147" i="21" a="1"/>
  <c r="L147" i="21" s="1"/>
  <c r="P147" i="21" s="1"/>
  <c r="Q147" i="21" s="1"/>
  <c r="M99" i="21" a="1"/>
  <c r="M99" i="21" s="1"/>
  <c r="L196" i="21" a="1"/>
  <c r="L196" i="21" s="1"/>
  <c r="L45" i="21" a="1"/>
  <c r="L45" i="21" s="1"/>
  <c r="M45" i="21" a="1"/>
  <c r="M45" i="21" s="1"/>
  <c r="M139" i="21" a="1"/>
  <c r="M139" i="21" s="1"/>
  <c r="L189" i="21" a="1"/>
  <c r="L189" i="21" s="1"/>
  <c r="M189" i="21" a="1"/>
  <c r="M189" i="21" s="1"/>
  <c r="M171" i="21" a="1"/>
  <c r="M171" i="21" s="1"/>
  <c r="M236" i="21" a="1"/>
  <c r="M236" i="21" s="1"/>
  <c r="M168" i="21" a="1"/>
  <c r="M168" i="21" s="1"/>
  <c r="M90" i="21" a="1"/>
  <c r="M90" i="21" s="1"/>
  <c r="M22" i="21" a="1"/>
  <c r="M22" i="21" s="1"/>
  <c r="L165" i="21" a="1"/>
  <c r="L165" i="21" s="1"/>
  <c r="P165" i="21" s="1"/>
  <c r="Q165" i="21" s="1"/>
  <c r="M140" i="21" a="1"/>
  <c r="M140" i="21" s="1"/>
  <c r="L158" i="21" a="1"/>
  <c r="L158" i="21" s="1"/>
  <c r="P158" i="21" s="1"/>
  <c r="Q158" i="21" s="1"/>
  <c r="M222" i="21" a="1"/>
  <c r="M222" i="21" s="1"/>
  <c r="M52" i="21" a="1"/>
  <c r="M52" i="21" s="1"/>
  <c r="M113" i="21" a="1"/>
  <c r="M113" i="21" s="1"/>
  <c r="L51" i="21" a="1"/>
  <c r="L51" i="21" s="1"/>
  <c r="L132" i="21" a="1"/>
  <c r="L132" i="21" s="1"/>
  <c r="M109" i="21" a="1"/>
  <c r="M109" i="21" s="1"/>
  <c r="L119" i="21" a="1"/>
  <c r="L119" i="21" s="1"/>
  <c r="L116" i="21" a="1"/>
  <c r="L116" i="21" s="1"/>
  <c r="M57" i="21" a="1"/>
  <c r="M57" i="21" s="1"/>
  <c r="L87" i="21" a="1"/>
  <c r="L87" i="21" s="1"/>
  <c r="M56" i="21" a="1"/>
  <c r="M56" i="21" s="1"/>
  <c r="M25" i="21" a="1"/>
  <c r="M25" i="21" s="1"/>
  <c r="L101" i="21" a="1"/>
  <c r="L101" i="21" s="1"/>
  <c r="M167" i="21" a="1"/>
  <c r="M167" i="21" s="1"/>
  <c r="L91" i="21" a="1"/>
  <c r="L91" i="21" s="1"/>
  <c r="M233" i="21" a="1"/>
  <c r="M233" i="21" s="1"/>
  <c r="L160" i="21" a="1"/>
  <c r="L160" i="21" s="1"/>
  <c r="P160" i="21" s="1"/>
  <c r="Q160" i="21" s="1"/>
  <c r="M89" i="21" a="1"/>
  <c r="M89" i="21" s="1"/>
  <c r="L151" i="21" a="1"/>
  <c r="L151" i="21" s="1"/>
  <c r="M81" i="21" a="1"/>
  <c r="M81" i="21" s="1"/>
  <c r="L82" i="21" a="1"/>
  <c r="L82" i="21" s="1"/>
  <c r="M223" i="21" a="1"/>
  <c r="M223" i="21" s="1"/>
  <c r="M103" i="21" a="1"/>
  <c r="M103" i="21" s="1"/>
  <c r="M214" i="21" a="1"/>
  <c r="M214" i="21" s="1"/>
  <c r="L140" i="21" a="1"/>
  <c r="L140" i="21" s="1"/>
  <c r="L225" i="21" a="1"/>
  <c r="L225" i="21" s="1"/>
  <c r="M104" i="21" a="1"/>
  <c r="M104" i="21" s="1"/>
  <c r="L238" i="21" a="1"/>
  <c r="L238" i="21" s="1"/>
  <c r="L57" i="21" a="1"/>
  <c r="L57" i="21" s="1"/>
  <c r="L154" i="21" a="1"/>
  <c r="L154" i="21" s="1"/>
  <c r="P154" i="21" s="1"/>
  <c r="Q154" i="21" s="1"/>
  <c r="L145" i="21" a="1"/>
  <c r="L145" i="21" s="1"/>
  <c r="P145" i="21" s="1"/>
  <c r="Q145" i="21" s="1"/>
  <c r="M238" i="21" a="1"/>
  <c r="M238" i="21" s="1"/>
  <c r="M114" i="21" a="1"/>
  <c r="M114" i="21" s="1"/>
  <c r="L128" i="21" a="1"/>
  <c r="L128" i="21" s="1"/>
  <c r="L107" i="21" a="1"/>
  <c r="L107" i="21" s="1"/>
  <c r="M93" i="21" a="1"/>
  <c r="M93" i="21" s="1"/>
  <c r="M92" i="21" s="1"/>
  <c r="M126" i="21" a="1"/>
  <c r="M126" i="21" s="1"/>
  <c r="L85" i="21" a="1"/>
  <c r="L85" i="21" s="1"/>
  <c r="P85" i="21" s="1"/>
  <c r="Q85" i="21" s="1"/>
  <c r="M102" i="21" a="1"/>
  <c r="M102" i="21" s="1"/>
  <c r="L20" i="21" a="1"/>
  <c r="L20" i="21" s="1"/>
  <c r="L237" i="21" a="1"/>
  <c r="L237" i="21" s="1"/>
  <c r="L236" i="21" a="1"/>
  <c r="L236" i="21" s="1"/>
  <c r="P236" i="21" s="1"/>
  <c r="Q236" i="21" s="1"/>
  <c r="M123" i="21" a="1"/>
  <c r="M123" i="21" s="1"/>
  <c r="L164" i="21" a="1"/>
  <c r="L164" i="21" s="1"/>
  <c r="M53" i="21" a="1"/>
  <c r="M53" i="21" s="1"/>
  <c r="L110" i="21" a="1"/>
  <c r="L110" i="21" s="1"/>
  <c r="L175" i="21" a="1"/>
  <c r="L175" i="21" s="1"/>
  <c r="P175" i="21" s="1"/>
  <c r="Q175" i="21" s="1"/>
  <c r="L126" i="21" a="1"/>
  <c r="L126" i="21" s="1"/>
  <c r="P126" i="21" s="1"/>
  <c r="Q126" i="21" s="1"/>
  <c r="L104" i="21" a="1"/>
  <c r="L104" i="21" s="1"/>
  <c r="M85" i="21" a="1"/>
  <c r="M85" i="21" s="1"/>
  <c r="M132" i="21" a="1"/>
  <c r="M132" i="21" s="1"/>
  <c r="M18" i="21" a="1"/>
  <c r="M18" i="21" s="1"/>
  <c r="M17" i="21" s="1"/>
  <c r="M84" i="21" a="1"/>
  <c r="M84" i="21" s="1"/>
  <c r="L88" i="21" a="1"/>
  <c r="L88" i="21" s="1"/>
  <c r="M133" i="21" a="1"/>
  <c r="M133" i="21" s="1"/>
  <c r="L105" i="21" a="1"/>
  <c r="L105" i="21" s="1"/>
  <c r="L146" i="21" a="1"/>
  <c r="L146" i="21" s="1"/>
  <c r="P146" i="21" s="1"/>
  <c r="Q146" i="21" s="1"/>
  <c r="L54" i="21" a="1"/>
  <c r="L54" i="21" s="1"/>
  <c r="L127" i="21" a="1"/>
  <c r="L127" i="21" s="1"/>
  <c r="L166" i="21" a="1"/>
  <c r="L166" i="21" s="1"/>
  <c r="P166" i="21" s="1"/>
  <c r="Q166" i="21" s="1"/>
  <c r="L59" i="21" a="1"/>
  <c r="L59" i="21" s="1"/>
  <c r="M143" i="21" a="1"/>
  <c r="M143" i="21" s="1"/>
  <c r="L221" i="21" a="1"/>
  <c r="L221" i="21" s="1"/>
  <c r="L167" i="21" a="1"/>
  <c r="L167" i="21" s="1"/>
  <c r="P167" i="21" s="1"/>
  <c r="Q167" i="21" s="1"/>
  <c r="M218" i="21" a="1"/>
  <c r="M218" i="21" s="1"/>
  <c r="L172" i="21" a="1"/>
  <c r="L172" i="21" s="1"/>
  <c r="P172" i="21" s="1"/>
  <c r="Q172" i="21" s="1"/>
  <c r="L113" i="21" a="1"/>
  <c r="L113" i="21" s="1"/>
  <c r="P113" i="21" s="1"/>
  <c r="Q113" i="21" s="1"/>
  <c r="M165" i="21" a="1"/>
  <c r="M165" i="21" s="1"/>
  <c r="M152" i="21" a="1"/>
  <c r="M152" i="21" s="1"/>
  <c r="M170" i="21" a="1"/>
  <c r="M170" i="21" s="1"/>
  <c r="M24" i="21" a="1"/>
  <c r="M24" i="21" s="1"/>
  <c r="M228" i="21" a="1"/>
  <c r="M228" i="21" s="1"/>
  <c r="L156" i="21" a="1"/>
  <c r="L156" i="21" s="1"/>
  <c r="L114" i="21" a="1"/>
  <c r="L114" i="21" s="1"/>
  <c r="P114" i="21" s="1"/>
  <c r="Q114" i="21" s="1"/>
  <c r="M59" i="21" a="1"/>
  <c r="M59" i="21" s="1"/>
  <c r="M225" i="21" a="1"/>
  <c r="M225" i="21" s="1"/>
  <c r="M147" i="21" a="1"/>
  <c r="M147" i="21" s="1"/>
  <c r="L53" i="21" a="1"/>
  <c r="L53" i="21" s="1"/>
  <c r="M216" i="21" a="1"/>
  <c r="M216" i="21" s="1"/>
  <c r="M60" i="21" a="1"/>
  <c r="M60" i="21" s="1"/>
  <c r="M215" i="21" a="1"/>
  <c r="M215" i="21" s="1"/>
  <c r="M105" i="21" a="1"/>
  <c r="M105" i="21" s="1"/>
  <c r="L112" i="21" a="1"/>
  <c r="L112" i="21" s="1"/>
  <c r="L90" i="21" a="1"/>
  <c r="L90" i="21" s="1"/>
  <c r="M83" i="21" a="1"/>
  <c r="M83" i="21" s="1"/>
  <c r="M146" i="21" a="1"/>
  <c r="M146" i="21" s="1"/>
  <c r="L144" i="21" a="1"/>
  <c r="L144" i="21" s="1"/>
  <c r="P144" i="21" s="1"/>
  <c r="Q144" i="21" s="1"/>
  <c r="L218" i="21" a="1"/>
  <c r="L218" i="21" s="1"/>
  <c r="P218" i="21" s="1"/>
  <c r="Q218" i="21" s="1"/>
  <c r="M110" i="21" a="1"/>
  <c r="M110" i="21" s="1"/>
  <c r="L133" i="21" a="1"/>
  <c r="L133" i="21" s="1"/>
  <c r="L142" i="21" a="1"/>
  <c r="L142" i="21" s="1"/>
  <c r="M237" i="21" a="1"/>
  <c r="M237" i="21" s="1"/>
  <c r="L109" i="21" a="1"/>
  <c r="L109" i="21" s="1"/>
  <c r="L226" i="21" a="1"/>
  <c r="L226" i="21" s="1"/>
  <c r="M121" i="21" a="1"/>
  <c r="M121" i="21" s="1"/>
  <c r="M111" i="21" a="1"/>
  <c r="M111" i="21" s="1"/>
  <c r="L23" i="21" a="1"/>
  <c r="L23" i="21" s="1"/>
  <c r="L120" i="21" a="1"/>
  <c r="L120" i="21" s="1"/>
  <c r="M118" i="21" a="1"/>
  <c r="M118" i="21" s="1"/>
  <c r="L153" i="21" a="1"/>
  <c r="L153" i="21" s="1"/>
  <c r="P153" i="21" s="1"/>
  <c r="Q153" i="21" s="1"/>
  <c r="M120" i="21" a="1"/>
  <c r="M120" i="21" s="1"/>
  <c r="M135" i="21" a="1"/>
  <c r="M135" i="21" s="1"/>
  <c r="L215" i="21" a="1"/>
  <c r="L215" i="21" s="1"/>
  <c r="P215" i="21" s="1"/>
  <c r="Q215" i="21" s="1"/>
  <c r="L216" i="21" a="1"/>
  <c r="L216" i="21" s="1"/>
  <c r="P216" i="21" s="1"/>
  <c r="Q216" i="21" s="1"/>
  <c r="L222" i="21" a="1"/>
  <c r="L222" i="21" s="1"/>
  <c r="P222" i="21" s="1"/>
  <c r="Q222" i="21" s="1"/>
  <c r="L18" i="21" a="1"/>
  <c r="L18" i="21" s="1"/>
  <c r="L52" i="21" a="1"/>
  <c r="L52" i="21" s="1"/>
  <c r="M21" i="21" a="1"/>
  <c r="M21" i="21" s="1"/>
  <c r="M112" i="21" a="1"/>
  <c r="M112" i="21" s="1"/>
  <c r="L139" i="21" a="1"/>
  <c r="L139" i="21" s="1"/>
  <c r="P139" i="21" s="1"/>
  <c r="Q139" i="21" s="1"/>
  <c r="L56" i="21" a="1"/>
  <c r="L56" i="21" s="1"/>
  <c r="M173" i="21" a="1"/>
  <c r="M173" i="21" s="1"/>
  <c r="M154" i="21" a="1"/>
  <c r="M154" i="21" s="1"/>
  <c r="M20" i="21" a="1"/>
  <c r="M20" i="21" s="1"/>
  <c r="L118" i="21" a="1"/>
  <c r="L118" i="21" s="1"/>
  <c r="P118" i="21" s="1"/>
  <c r="Q118" i="21" s="1"/>
  <c r="L102" i="21" a="1"/>
  <c r="L102" i="21" s="1"/>
  <c r="M87" i="21" a="1"/>
  <c r="M87" i="21" s="1"/>
  <c r="M23" i="21" a="1"/>
  <c r="M23" i="21" s="1"/>
  <c r="M156" i="21" a="1"/>
  <c r="M156" i="21" s="1"/>
  <c r="M221" i="21" a="1"/>
  <c r="M221" i="21" s="1"/>
  <c r="L22" i="21" a="1"/>
  <c r="L22" i="21" s="1"/>
  <c r="M58" i="21" a="1"/>
  <c r="M58" i="21" s="1"/>
  <c r="L111" i="21" a="1"/>
  <c r="L111" i="21" s="1"/>
  <c r="M82" i="21" a="1"/>
  <c r="M82" i="21" s="1"/>
  <c r="L58" i="21" a="1"/>
  <c r="L58" i="21" s="1"/>
  <c r="M107" i="21" a="1"/>
  <c r="M107" i="21" s="1"/>
  <c r="L123" i="21" a="1"/>
  <c r="L123" i="21" s="1"/>
  <c r="L79" i="21" a="1"/>
  <c r="L79" i="21" s="1"/>
  <c r="M227" i="21" a="1"/>
  <c r="M227" i="21" s="1"/>
  <c r="L30" i="21" a="1"/>
  <c r="L30" i="21" s="1"/>
  <c r="M88" i="21" a="1"/>
  <c r="M88" i="21" s="1"/>
  <c r="L170" i="21" a="1"/>
  <c r="L170" i="21" s="1"/>
  <c r="P170" i="21" s="1"/>
  <c r="Q170" i="21" s="1"/>
  <c r="M169" i="21" a="1"/>
  <c r="M169" i="21" s="1"/>
  <c r="L78" i="21" a="1"/>
  <c r="L78" i="21" s="1"/>
  <c r="M95" i="21" a="1"/>
  <c r="M95" i="21" s="1"/>
  <c r="L55" i="21" a="1"/>
  <c r="L55" i="21" s="1"/>
  <c r="L174" i="21" a="1"/>
  <c r="L174" i="21" s="1"/>
  <c r="P174" i="21" s="1"/>
  <c r="Q174" i="21" s="1"/>
  <c r="L83" i="21" a="1"/>
  <c r="L83" i="21" s="1"/>
  <c r="M159" i="21" a="1"/>
  <c r="M159" i="21" s="1"/>
  <c r="M160" i="21" a="1"/>
  <c r="M160" i="21" s="1"/>
  <c r="M149" i="21" a="1"/>
  <c r="M149" i="21" s="1"/>
  <c r="M148" i="21" s="1"/>
  <c r="L136" i="21" a="1"/>
  <c r="L136" i="21" s="1"/>
  <c r="L106" i="21" a="1"/>
  <c r="L106" i="21" s="1"/>
  <c r="M51" i="21" a="1"/>
  <c r="M51" i="21" s="1"/>
  <c r="M158" i="21" a="1"/>
  <c r="M158" i="21" s="1"/>
  <c r="M226" i="21" a="1"/>
  <c r="M226" i="21" s="1"/>
  <c r="L24" i="21" a="1"/>
  <c r="L24" i="21" s="1"/>
  <c r="L25" i="21" a="1"/>
  <c r="L25" i="21" s="1"/>
  <c r="M55" i="21" a="1"/>
  <c r="M55" i="21" s="1"/>
  <c r="L223" i="21" a="1"/>
  <c r="L223" i="21" s="1"/>
  <c r="P223" i="21" s="1"/>
  <c r="Q223" i="21" s="1"/>
  <c r="M129" i="21" a="1"/>
  <c r="M129" i="21" s="1"/>
  <c r="L97" i="21" a="1"/>
  <c r="L97" i="21" s="1"/>
  <c r="M128" i="21" a="1"/>
  <c r="M128" i="21" s="1"/>
  <c r="M157" i="21" a="1"/>
  <c r="M157" i="21" s="1"/>
  <c r="M54" i="21" a="1"/>
  <c r="M54" i="21" s="1"/>
  <c r="M175" i="21" a="1"/>
  <c r="M175" i="21" s="1"/>
  <c r="M98" i="21" a="1"/>
  <c r="M98" i="21" s="1"/>
  <c r="M97" i="21" a="1"/>
  <c r="M97" i="21" s="1"/>
  <c r="M138" i="21" a="1"/>
  <c r="M138" i="21" s="1"/>
  <c r="L21" i="21" a="1"/>
  <c r="L21" i="21" s="1"/>
  <c r="L103" i="21" a="1"/>
  <c r="L103" i="21" s="1"/>
  <c r="M145" i="21" a="1"/>
  <c r="M145" i="21" s="1"/>
  <c r="M27" i="21" a="1"/>
  <c r="M27" i="21" s="1"/>
  <c r="L235" i="21" a="1"/>
  <c r="L235" i="21" s="1"/>
  <c r="L159" i="21" a="1"/>
  <c r="L159" i="21" s="1"/>
  <c r="P159" i="21" s="1"/>
  <c r="Q159" i="21" s="1"/>
  <c r="M217" i="21" a="1"/>
  <c r="M217" i="21" s="1"/>
  <c r="L227" i="21" a="1"/>
  <c r="L227" i="21" s="1"/>
  <c r="M166" i="21" a="1"/>
  <c r="M166" i="21" s="1"/>
  <c r="M119" i="21" a="1"/>
  <c r="M119" i="21" s="1"/>
  <c r="M79" i="21" a="1"/>
  <c r="M79" i="21" s="1"/>
  <c r="M96" i="21" a="1"/>
  <c r="M96" i="21" s="1"/>
  <c r="L173" i="21" a="1"/>
  <c r="L173" i="21" s="1"/>
  <c r="P173" i="21" s="1"/>
  <c r="Q173" i="21" s="1"/>
  <c r="L89" i="21" a="1"/>
  <c r="L89" i="21" s="1"/>
  <c r="P89" i="21" s="1"/>
  <c r="Q89" i="21" s="1"/>
  <c r="M131" i="21" a="1"/>
  <c r="M131" i="21" s="1"/>
  <c r="L169" i="21" a="1"/>
  <c r="L169" i="21" s="1"/>
  <c r="P169" i="21" s="1"/>
  <c r="Q169" i="21" s="1"/>
  <c r="M108" i="21" a="1"/>
  <c r="M108" i="21" s="1"/>
  <c r="M26" i="21" a="1"/>
  <c r="M26" i="21" s="1"/>
  <c r="M134" i="21" a="1"/>
  <c r="M134" i="21" s="1"/>
  <c r="M164" i="21" a="1"/>
  <c r="M164" i="21" s="1"/>
  <c r="M235" i="21" a="1"/>
  <c r="M235" i="21" s="1"/>
  <c r="L214" i="21" a="1"/>
  <c r="L214" i="21" s="1"/>
  <c r="M162" i="21" a="1"/>
  <c r="M162" i="21" s="1"/>
  <c r="M161" i="21" s="1"/>
  <c r="L121" i="21" a="1"/>
  <c r="L121" i="21" s="1"/>
  <c r="L129" i="21" a="1"/>
  <c r="L129" i="21" s="1"/>
  <c r="M101" i="21" a="1"/>
  <c r="M101" i="21" s="1"/>
  <c r="L131" i="21" a="1"/>
  <c r="L131" i="21" s="1"/>
  <c r="L108" i="21" a="1"/>
  <c r="L108" i="21" s="1"/>
  <c r="M174" i="21" a="1"/>
  <c r="M174" i="21" s="1"/>
  <c r="L162" i="21" a="1"/>
  <c r="L162" i="21" s="1"/>
  <c r="L93" i="21" a="1"/>
  <c r="L93" i="21" s="1"/>
  <c r="L171" i="21" a="1"/>
  <c r="L171" i="21" s="1"/>
  <c r="P171" i="21" s="1"/>
  <c r="Q171" i="21" s="1"/>
  <c r="L134" i="21" a="1"/>
  <c r="L134" i="21" s="1"/>
  <c r="L168" i="21" a="1"/>
  <c r="L168" i="21" s="1"/>
  <c r="P168" i="21" s="1"/>
  <c r="Q168" i="21" s="1"/>
  <c r="L81" i="21" a="1"/>
  <c r="L81" i="21" s="1"/>
  <c r="M136" i="21" a="1"/>
  <c r="M136" i="21" s="1"/>
  <c r="L135" i="21" a="1"/>
  <c r="L135" i="21" s="1"/>
  <c r="P135" i="21" s="1"/>
  <c r="Q135" i="21" s="1"/>
  <c r="L138" i="21" a="1"/>
  <c r="L138" i="21" s="1"/>
  <c r="M219" i="21" a="1"/>
  <c r="M219" i="21" s="1"/>
  <c r="M106" i="21" a="1"/>
  <c r="M106" i="21" s="1"/>
  <c r="L98" i="21" a="1"/>
  <c r="L98" i="21" s="1"/>
  <c r="L95" i="21" a="1"/>
  <c r="L95" i="21" s="1"/>
  <c r="L27" i="21" a="1"/>
  <c r="L27" i="21" s="1"/>
  <c r="L84" i="21" a="1"/>
  <c r="L84" i="21" s="1"/>
  <c r="L149" i="21" a="1"/>
  <c r="L149" i="21" s="1"/>
  <c r="L148" i="21" s="1"/>
  <c r="M116" i="21" a="1"/>
  <c r="M116" i="21" s="1"/>
  <c r="M115" i="21" s="1"/>
  <c r="L26" i="21" a="1"/>
  <c r="L26" i="21" s="1"/>
  <c r="L219" i="21" a="1"/>
  <c r="L219" i="21" s="1"/>
  <c r="P219" i="21" s="1"/>
  <c r="Q219" i="21" s="1"/>
  <c r="L233" i="21" a="1"/>
  <c r="L233" i="21" s="1"/>
  <c r="P233" i="21" s="1"/>
  <c r="Q233" i="21" s="1"/>
  <c r="L152" i="21" a="1"/>
  <c r="L152" i="21" s="1"/>
  <c r="P152" i="21" s="1"/>
  <c r="Q152" i="21" s="1"/>
  <c r="M91" i="21" a="1"/>
  <c r="M91" i="21" s="1"/>
  <c r="M151" i="21" a="1"/>
  <c r="M151" i="21" s="1"/>
  <c r="M78" i="21" a="1"/>
  <c r="M78" i="21" s="1"/>
  <c r="L217" i="21" a="1"/>
  <c r="L217" i="21" s="1"/>
  <c r="P217" i="21" s="1"/>
  <c r="Q217" i="21" s="1"/>
  <c r="M127" i="21" a="1"/>
  <c r="M127" i="21" s="1"/>
  <c r="M142" i="21" a="1"/>
  <c r="M142" i="21" s="1"/>
  <c r="M144" i="21" a="1"/>
  <c r="M144" i="21" s="1"/>
  <c r="L60" i="21" a="1"/>
  <c r="L60" i="21" s="1"/>
  <c r="L96" i="21" a="1"/>
  <c r="L96" i="21" s="1"/>
  <c r="M153" i="21" a="1"/>
  <c r="M153" i="21" s="1"/>
  <c r="L157" i="21" a="1"/>
  <c r="L157" i="21" s="1"/>
  <c r="P157" i="21" s="1"/>
  <c r="Q157" i="21" s="1"/>
  <c r="L228" i="21" a="1"/>
  <c r="L228" i="21" s="1"/>
  <c r="P228" i="21" s="1"/>
  <c r="Q228" i="21" s="1"/>
  <c r="M172" i="21" a="1"/>
  <c r="M172" i="21" s="1"/>
  <c r="L143" i="21" a="1"/>
  <c r="L143" i="21" s="1"/>
  <c r="P143" i="21" s="1"/>
  <c r="Q143" i="21" s="1"/>
  <c r="M205" i="21" a="1"/>
  <c r="M205" i="21" s="1"/>
  <c r="L35" i="21" a="1"/>
  <c r="L35" i="21" s="1"/>
  <c r="L34" i="21" a="1"/>
  <c r="L34" i="21" s="1"/>
  <c r="L202" i="21" a="1"/>
  <c r="L202" i="21" s="1"/>
  <c r="M41" i="21" a="1"/>
  <c r="M41" i="21" s="1"/>
  <c r="M29" i="21" a="1"/>
  <c r="M29" i="21" s="1"/>
  <c r="L178" i="21" a="1"/>
  <c r="L178" i="21" s="1"/>
  <c r="M204" i="21" a="1"/>
  <c r="M204" i="21" s="1"/>
  <c r="M203" i="21" a="1"/>
  <c r="M203" i="21" s="1"/>
  <c r="L41" i="21" a="1"/>
  <c r="L41" i="21" s="1"/>
  <c r="L39" i="21" a="1"/>
  <c r="L39" i="21" s="1"/>
  <c r="L209" i="21" a="1"/>
  <c r="L209" i="21" s="1"/>
  <c r="L38" i="21" a="1"/>
  <c r="L38" i="21" s="1"/>
  <c r="M179" i="21" a="1"/>
  <c r="M179" i="21" s="1"/>
  <c r="L36" i="21" a="1"/>
  <c r="L36" i="21" s="1"/>
  <c r="M197" i="21" a="1"/>
  <c r="M197" i="21" s="1"/>
  <c r="L32" i="21" a="1"/>
  <c r="L32" i="21" s="1"/>
  <c r="M32" i="21" a="1"/>
  <c r="M32" i="21" s="1"/>
  <c r="M31" i="21" a="1"/>
  <c r="M31" i="21" s="1"/>
  <c r="M37" i="21" a="1"/>
  <c r="M37" i="21" s="1"/>
  <c r="L194" i="21" a="1"/>
  <c r="L194" i="21" s="1"/>
  <c r="M210" i="21" a="1"/>
  <c r="M210" i="21" s="1"/>
  <c r="L195" i="21" a="1"/>
  <c r="L195" i="21" s="1"/>
  <c r="M196" i="21" a="1"/>
  <c r="M196" i="21" s="1"/>
  <c r="L191" i="21" a="1"/>
  <c r="L191" i="21" s="1"/>
  <c r="L43" i="21" a="1"/>
  <c r="L43" i="21" s="1"/>
  <c r="L29" i="21" a="1"/>
  <c r="L29" i="21" s="1"/>
  <c r="M40" i="21" a="1"/>
  <c r="M40" i="21" s="1"/>
  <c r="L179" i="21" a="1"/>
  <c r="L179" i="21" s="1"/>
  <c r="L207" i="21" a="1"/>
  <c r="L207" i="21" s="1"/>
  <c r="L203" i="21" a="1"/>
  <c r="L203" i="21" s="1"/>
  <c r="L42" i="21" a="1"/>
  <c r="L42" i="21" s="1"/>
  <c r="M42" i="21" a="1"/>
  <c r="M42" i="21" s="1"/>
  <c r="L40" i="21" a="1"/>
  <c r="L40" i="21" s="1"/>
  <c r="L212" i="21" a="1"/>
  <c r="L212" i="21" s="1"/>
  <c r="M33" i="21" a="1"/>
  <c r="M33" i="21" s="1"/>
  <c r="M209" i="21" a="1"/>
  <c r="M209" i="21" s="1"/>
  <c r="M43" i="21" a="1"/>
  <c r="M43" i="21" s="1"/>
  <c r="M192" i="21" a="1"/>
  <c r="M192" i="21" s="1"/>
  <c r="L193" i="21" a="1"/>
  <c r="L193" i="21" s="1"/>
  <c r="L31" i="21" a="1"/>
  <c r="L31" i="21" s="1"/>
  <c r="M207" i="21" a="1"/>
  <c r="M207" i="21" s="1"/>
  <c r="M206" i="21" a="1"/>
  <c r="M206" i="21" s="1"/>
  <c r="M195" i="21" a="1"/>
  <c r="M195" i="21" s="1"/>
  <c r="L205" i="21" a="1"/>
  <c r="L205" i="21" s="1"/>
  <c r="M34" i="21" a="1"/>
  <c r="M34" i="21" s="1"/>
  <c r="L197" i="21" a="1"/>
  <c r="L197" i="21" s="1"/>
  <c r="M212" i="21" a="1"/>
  <c r="M212" i="21" s="1"/>
  <c r="L204" i="21" a="1"/>
  <c r="L204" i="21" s="1"/>
  <c r="M199" i="21" a="1"/>
  <c r="M199" i="21" s="1"/>
  <c r="L198" i="21" a="1"/>
  <c r="L198" i="21" s="1"/>
  <c r="M208" i="21" a="1"/>
  <c r="M208" i="21" s="1"/>
  <c r="M191" i="21" a="1"/>
  <c r="M191" i="21" s="1"/>
  <c r="M202" i="21" a="1"/>
  <c r="M202" i="21" s="1"/>
  <c r="M178" i="21" a="1"/>
  <c r="M178" i="21" s="1"/>
  <c r="L200" i="21" a="1"/>
  <c r="L200" i="21" s="1"/>
  <c r="L37" i="21" a="1"/>
  <c r="L37" i="21" s="1"/>
  <c r="L201" i="21" a="1"/>
  <c r="L201" i="21" s="1"/>
  <c r="M193" i="21" a="1"/>
  <c r="M193" i="21" s="1"/>
  <c r="M39" i="21" a="1"/>
  <c r="M39" i="21" s="1"/>
  <c r="L192" i="21" a="1"/>
  <c r="L192" i="21" s="1"/>
  <c r="M180" i="21" a="1"/>
  <c r="M180" i="21" s="1"/>
  <c r="L186" i="21" a="1"/>
  <c r="L186" i="21" s="1"/>
  <c r="M200" i="21" a="1"/>
  <c r="M200" i="21" s="1"/>
  <c r="M211" i="21" a="1"/>
  <c r="M211" i="21" s="1"/>
  <c r="M36" i="21" a="1"/>
  <c r="M36" i="21" s="1"/>
  <c r="L208" i="21" a="1"/>
  <c r="L208" i="21" s="1"/>
  <c r="L199" i="21" a="1"/>
  <c r="L199" i="21" s="1"/>
  <c r="M38" i="21" a="1"/>
  <c r="M38" i="21" s="1"/>
  <c r="L211" i="21" a="1"/>
  <c r="L211" i="21" s="1"/>
  <c r="M201" i="21" a="1"/>
  <c r="M201" i="21" s="1"/>
  <c r="L33" i="21" a="1"/>
  <c r="L33" i="21" s="1"/>
  <c r="M35" i="21" a="1"/>
  <c r="M35" i="21" s="1"/>
  <c r="M198" i="21" a="1"/>
  <c r="M198" i="21" s="1"/>
  <c r="M30" i="21" a="1"/>
  <c r="M30" i="21" s="1"/>
  <c r="L210" i="21" a="1"/>
  <c r="L210" i="21" s="1"/>
  <c r="M194" i="21" a="1"/>
  <c r="M194" i="21" s="1"/>
  <c r="L206" i="21" a="1"/>
  <c r="L206" i="21" s="1"/>
  <c r="M181" i="21" a="1"/>
  <c r="M181" i="21" s="1"/>
  <c r="M186" i="21" a="1"/>
  <c r="M186" i="21" s="1"/>
  <c r="M182" i="21" a="1"/>
  <c r="M182" i="21" s="1"/>
  <c r="L183" i="21" a="1"/>
  <c r="L183" i="21" s="1"/>
  <c r="M187" i="21" a="1"/>
  <c r="M187" i="21" s="1"/>
  <c r="L180" i="21" a="1"/>
  <c r="L180" i="21" s="1"/>
  <c r="M177" i="21" a="1"/>
  <c r="M177" i="21" s="1"/>
  <c r="M185" i="21" a="1"/>
  <c r="M185" i="21" s="1"/>
  <c r="L177" i="21" a="1"/>
  <c r="L177" i="21" s="1"/>
  <c r="M183" i="21" a="1"/>
  <c r="M183" i="21" s="1"/>
  <c r="L187" i="21" a="1"/>
  <c r="L187" i="21" s="1"/>
  <c r="L185" i="21" a="1"/>
  <c r="L185" i="21" s="1"/>
  <c r="L184" i="21" a="1"/>
  <c r="L184" i="21" s="1"/>
  <c r="L188" i="21" a="1"/>
  <c r="L188" i="21" s="1"/>
  <c r="M184" i="21" a="1"/>
  <c r="M184" i="21" s="1"/>
  <c r="M188" i="21" a="1"/>
  <c r="M188" i="21" s="1"/>
  <c r="L182" i="21" a="1"/>
  <c r="L182" i="21" s="1"/>
  <c r="L181" i="21" a="1"/>
  <c r="L181" i="21" s="1"/>
  <c r="CB12" i="20"/>
  <c r="CC13" i="20"/>
  <c r="CB9" i="20"/>
  <c r="P182" i="21" l="1"/>
  <c r="Q182" i="21" s="1"/>
  <c r="P131" i="21"/>
  <c r="P125" i="21"/>
  <c r="Q125" i="21" s="1"/>
  <c r="P188" i="21"/>
  <c r="Q188" i="21" s="1"/>
  <c r="P140" i="21"/>
  <c r="Q140" i="21" s="1"/>
  <c r="P187" i="21"/>
  <c r="Q187" i="21" s="1"/>
  <c r="P132" i="21"/>
  <c r="Q132" i="21" s="1"/>
  <c r="P124" i="21"/>
  <c r="Q124" i="21" s="1"/>
  <c r="P136" i="21"/>
  <c r="Q136" i="21" s="1"/>
  <c r="P133" i="21"/>
  <c r="Q133" i="21" s="1"/>
  <c r="P134" i="21"/>
  <c r="Q134" i="21" s="1"/>
  <c r="P84" i="21"/>
  <c r="Q84" i="21" s="1"/>
  <c r="P129" i="21"/>
  <c r="Q129" i="21" s="1"/>
  <c r="P75" i="21"/>
  <c r="Q75" i="21" s="1"/>
  <c r="P177" i="21"/>
  <c r="Q177" i="21" s="1"/>
  <c r="P186" i="21"/>
  <c r="Q186" i="21" s="1"/>
  <c r="P181" i="21"/>
  <c r="Q181" i="21" s="1"/>
  <c r="P178" i="21"/>
  <c r="Q178" i="21" s="1"/>
  <c r="P179" i="21"/>
  <c r="Q179" i="21" s="1"/>
  <c r="P180" i="21"/>
  <c r="Q180" i="21" s="1"/>
  <c r="P184" i="21"/>
  <c r="Q184" i="21" s="1"/>
  <c r="P183" i="21"/>
  <c r="Q183" i="21" s="1"/>
  <c r="P185" i="21"/>
  <c r="Q185" i="21" s="1"/>
  <c r="P227" i="21"/>
  <c r="Q227" i="21" s="1"/>
  <c r="P67" i="21"/>
  <c r="Q67" i="21" s="1"/>
  <c r="P65" i="21"/>
  <c r="Q65" i="21" s="1"/>
  <c r="P56" i="21"/>
  <c r="Q56" i="21" s="1"/>
  <c r="P63" i="21"/>
  <c r="Q63" i="21" s="1"/>
  <c r="P49" i="21"/>
  <c r="Q49" i="21" s="1"/>
  <c r="P52" i="21"/>
  <c r="Q52" i="21" s="1"/>
  <c r="P64" i="21"/>
  <c r="Q64" i="21" s="1"/>
  <c r="P60" i="21"/>
  <c r="Q60" i="21" s="1"/>
  <c r="P73" i="21"/>
  <c r="Q73" i="21" s="1"/>
  <c r="P74" i="21"/>
  <c r="Q74" i="21" s="1"/>
  <c r="P59" i="21"/>
  <c r="Q59" i="21" s="1"/>
  <c r="P53" i="21"/>
  <c r="Q53" i="21" s="1"/>
  <c r="P57" i="21"/>
  <c r="Q57" i="21" s="1"/>
  <c r="P51" i="21"/>
  <c r="Q51" i="21" s="1"/>
  <c r="P54" i="21"/>
  <c r="Q54" i="21" s="1"/>
  <c r="P226" i="21"/>
  <c r="Q226" i="21" s="1"/>
  <c r="P112" i="21"/>
  <c r="Q112" i="21" s="1"/>
  <c r="P69" i="21"/>
  <c r="Q69" i="21" s="1"/>
  <c r="P72" i="21"/>
  <c r="Q72" i="21" s="1"/>
  <c r="P70" i="21"/>
  <c r="Q70" i="21" s="1"/>
  <c r="P76" i="21"/>
  <c r="Q76" i="21" s="1"/>
  <c r="P48" i="21"/>
  <c r="Q48" i="21" s="1"/>
  <c r="P68" i="21"/>
  <c r="Q68" i="21" s="1"/>
  <c r="P71" i="21"/>
  <c r="Q71" i="21" s="1"/>
  <c r="P232" i="21"/>
  <c r="Q232" i="21" s="1"/>
  <c r="L61" i="21"/>
  <c r="M61" i="21"/>
  <c r="P66" i="21"/>
  <c r="Q66" i="21" s="1"/>
  <c r="P62" i="21"/>
  <c r="Q62" i="21" s="1"/>
  <c r="P58" i="21"/>
  <c r="Q58" i="21" s="1"/>
  <c r="P55" i="21"/>
  <c r="Q55" i="21" s="1"/>
  <c r="M46" i="21"/>
  <c r="P196" i="21"/>
  <c r="Q196" i="21" s="1"/>
  <c r="P109" i="21"/>
  <c r="Q109" i="21" s="1"/>
  <c r="P103" i="21"/>
  <c r="Q103" i="21" s="1"/>
  <c r="L46" i="21"/>
  <c r="P47" i="21"/>
  <c r="P108" i="21"/>
  <c r="Q108" i="21" s="1"/>
  <c r="P128" i="21"/>
  <c r="Q128" i="21" s="1"/>
  <c r="P127" i="21"/>
  <c r="Q127" i="21" s="1"/>
  <c r="P111" i="21"/>
  <c r="Q111" i="21" s="1"/>
  <c r="P88" i="21"/>
  <c r="Q88" i="21" s="1"/>
  <c r="P110" i="21"/>
  <c r="Q110" i="21" s="1"/>
  <c r="P231" i="21"/>
  <c r="Q231" i="21" s="1"/>
  <c r="P106" i="21"/>
  <c r="Q106" i="21" s="1"/>
  <c r="P107" i="21"/>
  <c r="Q107" i="21" s="1"/>
  <c r="P230" i="21"/>
  <c r="Q230" i="21" s="1"/>
  <c r="P104" i="21"/>
  <c r="Q104" i="21" s="1"/>
  <c r="P121" i="21"/>
  <c r="Q121" i="21" s="1"/>
  <c r="P99" i="21"/>
  <c r="Q99" i="21" s="1"/>
  <c r="L94" i="21"/>
  <c r="P102" i="21"/>
  <c r="Q102" i="21" s="1"/>
  <c r="P22" i="21"/>
  <c r="Q22" i="21" s="1"/>
  <c r="P83" i="21"/>
  <c r="Q83" i="21" s="1"/>
  <c r="P90" i="21"/>
  <c r="Q90" i="21" s="1"/>
  <c r="P97" i="21"/>
  <c r="Q97" i="21" s="1"/>
  <c r="P238" i="21"/>
  <c r="Q238" i="21" s="1"/>
  <c r="P237" i="21"/>
  <c r="Q237" i="21" s="1"/>
  <c r="P105" i="21"/>
  <c r="Q105" i="21" s="1"/>
  <c r="M94" i="21"/>
  <c r="P96" i="21"/>
  <c r="Q96" i="21" s="1"/>
  <c r="P91" i="21"/>
  <c r="Q91" i="21" s="1"/>
  <c r="P79" i="21"/>
  <c r="Q79" i="21" s="1"/>
  <c r="P98" i="21"/>
  <c r="Q98" i="21" s="1"/>
  <c r="P26" i="21"/>
  <c r="Q26" i="21" s="1"/>
  <c r="P42" i="21"/>
  <c r="Q42" i="21" s="1"/>
  <c r="P206" i="21"/>
  <c r="Q206" i="21" s="1"/>
  <c r="P211" i="21"/>
  <c r="Q211" i="21" s="1"/>
  <c r="P208" i="21"/>
  <c r="Q208" i="21" s="1"/>
  <c r="P210" i="21"/>
  <c r="Q210" i="21" s="1"/>
  <c r="P37" i="21"/>
  <c r="Q37" i="21" s="1"/>
  <c r="P27" i="21"/>
  <c r="Q27" i="21" s="1"/>
  <c r="P36" i="21"/>
  <c r="Q36" i="21" s="1"/>
  <c r="P25" i="21"/>
  <c r="Q25" i="21" s="1"/>
  <c r="P33" i="21"/>
  <c r="Q33" i="21" s="1"/>
  <c r="P41" i="21"/>
  <c r="Q41" i="21" s="1"/>
  <c r="P205" i="21"/>
  <c r="Q205" i="21" s="1"/>
  <c r="P203" i="21"/>
  <c r="Q203" i="21" s="1"/>
  <c r="P40" i="21"/>
  <c r="Q40" i="21" s="1"/>
  <c r="P45" i="21"/>
  <c r="P44" i="21" s="1"/>
  <c r="P24" i="21"/>
  <c r="Q24" i="21" s="1"/>
  <c r="P31" i="21"/>
  <c r="Q31" i="21" s="1"/>
  <c r="P119" i="21"/>
  <c r="Q119" i="21" s="1"/>
  <c r="P207" i="21"/>
  <c r="Q207" i="21" s="1"/>
  <c r="P38" i="21"/>
  <c r="Q38" i="21" s="1"/>
  <c r="P212" i="21"/>
  <c r="Q212" i="21" s="1"/>
  <c r="P209" i="21"/>
  <c r="Q209" i="21" s="1"/>
  <c r="P202" i="21"/>
  <c r="Q202" i="21" s="1"/>
  <c r="P39" i="21"/>
  <c r="Q39" i="21" s="1"/>
  <c r="P34" i="21"/>
  <c r="Q34" i="21" s="1"/>
  <c r="P30" i="21"/>
  <c r="Q30" i="21" s="1"/>
  <c r="P204" i="21"/>
  <c r="Q204" i="21" s="1"/>
  <c r="P43" i="21"/>
  <c r="Q43" i="21" s="1"/>
  <c r="P35" i="21"/>
  <c r="Q35" i="21" s="1"/>
  <c r="P32" i="21"/>
  <c r="Q32" i="21" s="1"/>
  <c r="P120" i="21"/>
  <c r="Q120" i="21" s="1"/>
  <c r="M220" i="21"/>
  <c r="P21" i="21"/>
  <c r="Q21" i="21" s="1"/>
  <c r="M234" i="21"/>
  <c r="P151" i="21"/>
  <c r="Q151" i="21" s="1"/>
  <c r="L150" i="21"/>
  <c r="M150" i="21"/>
  <c r="P199" i="21"/>
  <c r="Q199" i="21" s="1"/>
  <c r="M77" i="21"/>
  <c r="M137" i="21"/>
  <c r="M141" i="21"/>
  <c r="M28" i="21"/>
  <c r="L50" i="21"/>
  <c r="M50" i="21"/>
  <c r="P23" i="21"/>
  <c r="Q23" i="21" s="1"/>
  <c r="M80" i="21"/>
  <c r="M163" i="21"/>
  <c r="M224" i="21"/>
  <c r="P235" i="21"/>
  <c r="Q235" i="21" s="1"/>
  <c r="L234" i="21"/>
  <c r="P123" i="21"/>
  <c r="L122" i="21"/>
  <c r="M155" i="21"/>
  <c r="P101" i="21"/>
  <c r="P78" i="21"/>
  <c r="L77" i="21"/>
  <c r="M213" i="21"/>
  <c r="P29" i="21"/>
  <c r="Q29" i="21" s="1"/>
  <c r="L28" i="21"/>
  <c r="P149" i="21"/>
  <c r="Q149" i="21" s="1"/>
  <c r="M86" i="21"/>
  <c r="M122" i="21"/>
  <c r="P138" i="21"/>
  <c r="Q138" i="21" s="1"/>
  <c r="L137" i="21"/>
  <c r="P93" i="21"/>
  <c r="Q93" i="21" s="1"/>
  <c r="L92" i="21"/>
  <c r="P164" i="21"/>
  <c r="Q164" i="21" s="1"/>
  <c r="L163" i="21"/>
  <c r="M117" i="21"/>
  <c r="P162" i="21"/>
  <c r="Q162" i="21" s="1"/>
  <c r="L161" i="21"/>
  <c r="L117" i="21"/>
  <c r="P87" i="21"/>
  <c r="L86" i="21"/>
  <c r="P221" i="21"/>
  <c r="Q221" i="21" s="1"/>
  <c r="L220" i="21"/>
  <c r="P214" i="21"/>
  <c r="Q214" i="21" s="1"/>
  <c r="L213" i="21"/>
  <c r="P142" i="21"/>
  <c r="Q142" i="21" s="1"/>
  <c r="L141" i="21"/>
  <c r="P20" i="21"/>
  <c r="L19" i="21"/>
  <c r="P225" i="21"/>
  <c r="Q225" i="21" s="1"/>
  <c r="L224" i="21"/>
  <c r="P95" i="21"/>
  <c r="L80" i="21"/>
  <c r="P81" i="21"/>
  <c r="Q81" i="21" s="1"/>
  <c r="M19" i="21"/>
  <c r="P18" i="21"/>
  <c r="Q18" i="21" s="1"/>
  <c r="L17" i="21"/>
  <c r="P156" i="21"/>
  <c r="Q156" i="21" s="1"/>
  <c r="L155" i="21"/>
  <c r="P82" i="21"/>
  <c r="Q82" i="21" s="1"/>
  <c r="P116" i="21"/>
  <c r="Q116" i="21" s="1"/>
  <c r="L115" i="21"/>
  <c r="P192" i="21"/>
  <c r="Q192" i="21" s="1"/>
  <c r="M190" i="21"/>
  <c r="P195" i="21"/>
  <c r="Q195" i="21" s="1"/>
  <c r="P198" i="21"/>
  <c r="Q198" i="21" s="1"/>
  <c r="P194" i="21"/>
  <c r="Q194" i="21" s="1"/>
  <c r="P201" i="21"/>
  <c r="Q201" i="21" s="1"/>
  <c r="P200" i="21"/>
  <c r="Q200" i="21" s="1"/>
  <c r="P197" i="21"/>
  <c r="Q197" i="21" s="1"/>
  <c r="P193" i="21"/>
  <c r="Q193" i="21" s="1"/>
  <c r="P191" i="21"/>
  <c r="Q191" i="21" s="1"/>
  <c r="L190" i="21"/>
  <c r="M176" i="21"/>
  <c r="L176" i="21"/>
  <c r="CD13" i="20"/>
  <c r="CC9" i="20"/>
  <c r="CC12" i="20"/>
  <c r="M130" i="21" l="1"/>
  <c r="M100" i="21" s="1"/>
  <c r="M44" i="21" s="1"/>
  <c r="L130" i="21"/>
  <c r="L100" i="21" s="1"/>
  <c r="L44" i="21" s="1"/>
  <c r="Q131" i="21"/>
  <c r="P61" i="21"/>
  <c r="Q61" i="21" s="1"/>
  <c r="P50" i="21"/>
  <c r="Q50" i="21" s="1"/>
  <c r="P46" i="21"/>
  <c r="Q46" i="21" s="1"/>
  <c r="Q47" i="21"/>
  <c r="Q78" i="21"/>
  <c r="P86" i="21"/>
  <c r="Q87" i="21"/>
  <c r="P122" i="21"/>
  <c r="Q122" i="21" s="1"/>
  <c r="Q123" i="21"/>
  <c r="Q101" i="21"/>
  <c r="Q95" i="21"/>
  <c r="P94" i="21"/>
  <c r="Q94" i="21" s="1"/>
  <c r="P19" i="21"/>
  <c r="Q20" i="21"/>
  <c r="Q45" i="21"/>
  <c r="P92" i="21"/>
  <c r="Q92" i="21" s="1"/>
  <c r="P17" i="21"/>
  <c r="Q17" i="21" s="1"/>
  <c r="P224" i="21"/>
  <c r="Q224" i="21" s="1"/>
  <c r="P220" i="21"/>
  <c r="Q220" i="21" s="1"/>
  <c r="P115" i="21"/>
  <c r="Q115" i="21" s="1"/>
  <c r="P28" i="21"/>
  <c r="Q28" i="21" s="1"/>
  <c r="P163" i="21"/>
  <c r="Q163" i="21" s="1"/>
  <c r="P148" i="21"/>
  <c r="Q148" i="21" s="1"/>
  <c r="P117" i="21"/>
  <c r="Q117" i="21" s="1"/>
  <c r="P161" i="21"/>
  <c r="Q161" i="21" s="1"/>
  <c r="P234" i="21"/>
  <c r="Q234" i="21" s="1"/>
  <c r="P150" i="21"/>
  <c r="Q150" i="21" s="1"/>
  <c r="P141" i="21"/>
  <c r="Q141" i="21" s="1"/>
  <c r="P137" i="21"/>
  <c r="Q137" i="21" s="1"/>
  <c r="P155" i="21"/>
  <c r="Q155" i="21" s="1"/>
  <c r="P213" i="21"/>
  <c r="Q213" i="21" s="1"/>
  <c r="P80" i="21"/>
  <c r="Q80" i="21" s="1"/>
  <c r="P190" i="21"/>
  <c r="Q190" i="21" s="1"/>
  <c r="P176" i="21"/>
  <c r="Q176" i="21" s="1"/>
  <c r="CD12" i="20"/>
  <c r="CD9" i="20"/>
  <c r="CE13" i="20"/>
  <c r="P130" i="21" l="1"/>
  <c r="Q44" i="21"/>
  <c r="Q86" i="21"/>
  <c r="CF13" i="20"/>
  <c r="CE12" i="20"/>
  <c r="CE9" i="20"/>
  <c r="Q130" i="21" l="1"/>
  <c r="Q19" i="21"/>
  <c r="CG13" i="20"/>
  <c r="CF12" i="20"/>
  <c r="CF9" i="20"/>
  <c r="CG9" i="20" l="1"/>
  <c r="CH13" i="20"/>
  <c r="CG12" i="20"/>
  <c r="P100" i="21" l="1"/>
  <c r="CI13" i="20"/>
  <c r="CH12" i="20"/>
  <c r="CH9" i="20"/>
  <c r="Q100" i="21" l="1"/>
  <c r="P77" i="21"/>
  <c r="Q77" i="21" s="1"/>
  <c r="CI12" i="20"/>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tc={803F0E32-87E9-4F81-ABD6-87DDD70E836A}</author>
  </authors>
  <commentList>
    <comment ref="I26" authorId="0" shapeId="0" xr:uid="{00000000-0006-0000-0000-000001000000}">
      <text>
        <t>[Threaded comment]
Your version of Excel allows you to read this threaded comment; however, any edits to it will get removed if the file is opened in a newer version of Excel. Learn more: https://go.microsoft.com/fwlink/?linkid=870924
Comment:
    Uma manha todas as semanas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2. Status Detalhe Campos!$B$6:$G$605" type="102" refreshedVersion="8"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xr16:uid="{00000000-0015-0000-FFFF-FFFF02000000}" name="WorksheetConnection_Sheet2!$B$2:$G$545" type="102" refreshedVersion="8" minRefreshableVersion="5">
    <extLst>
      <ext xmlns:x15="http://schemas.microsoft.com/office/spreadsheetml/2010/11/main" uri="{DE250136-89BD-433C-8126-D09CA5730AF9}">
        <x15:connection id="Range" autoDelete="1">
          <x15:rangePr sourceName="_xlcn.WorksheetConnection_Sheet2B2G5451"/>
        </x15:connection>
      </ext>
    </extLst>
  </connection>
  <connection id="4" xr16:uid="{00000000-0015-0000-FFFF-FFFF03000000}" name="WorksheetConnection_Testes GD Pilar 3 - Plano_versão trabalho_V1.2.xlsx!Table4" type="102" refreshedVersion="8"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xr16:uid="{00000000-0015-0000-FFFF-FFFF04000000}" name="WorksheetConnection_Tipologias de Testes GD &amp; ModeloVerde &amp; BensImov_V0.11.xlsx!Table1" type="102" refreshedVersion="8"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<sst xmlns="http://schemas.openxmlformats.org/spreadsheetml/2006/main" count="28616" uniqueCount="2057">
  <si>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</si>
  <si>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</si>
  <si>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</si>
  <si>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</si>
  <si>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</si>
  <si>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</si>
  <si>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</si>
  <si>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</si>
  <si>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</si>
  <si>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</si>
  <si>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</si>
  <si>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</si>
  <si>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</si>
  <si>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</si>
  <si>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</si>
  <si>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</si>
  <si>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</si>
  <si>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</si>
  <si>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</si>
  <si>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</si>
  <si>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</si>
  <si>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</si>
  <si>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</si>
  <si>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</si>
  <si>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</si>
  <si>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</si>
  <si>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</si>
  <si>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</si>
  <si>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</si>
  <si>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</si>
  <si>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</si>
  <si>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</si>
  <si>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</si>
  <si>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</si>
  <si>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</si>
  <si>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</si>
  <si>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</si>
  <si>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</si>
  <si>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</si>
  <si>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</si>
  <si>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</si>
  <si>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</si>
  <si>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</si>
  <si>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</si>
  <si>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</si>
  <si>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</si>
  <si>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</si>
  <si>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</si>
  <si>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</si>
  <si>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</si>
  <si>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</si>
  <si>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</si>
  <si>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</si>
  <si>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</si>
  <si>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</si>
  <si>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</si>
  <si>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</si>
  <si>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</si>
  <si>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</si>
  <si>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</si>
  <si>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</si>
  <si>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</si>
  <si>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</si>
  <si>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</si>
  <si>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</si>
  <si>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</si>
  <si>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</si>
  <si>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</si>
  <si>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</si>
  <si>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</si>
  <si>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</si>
  <si>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</si>
  <si>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</si>
  <si>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</si>
  <si>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</si>
  <si>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</si>
  <si>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</si>
  <si>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</si>
  <si>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</si>
  <si>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</si>
  <si>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</si>
  <si>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</si>
  <si>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</si>
  <si>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</si>
  <si>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</si>
  <si>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</si>
  <si>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</si>
  <si>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</si>
  <si>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</si>
  <si>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</si>
  <si>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</si>
  <si>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</si>
  <si>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</si>
  <si>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</si>
  <si>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</si>
  <si>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</si>
  <si>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</si>
  <si>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</si>
  <si>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</si>
  <si>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</si>
  <si>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</si>
  <si>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</si>
  <si>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</si>
  <si>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</si>
  <si>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</si>
  <si>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</si>
  <si>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</si>
  <si>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</si>
  <si>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</si>
  <si>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</si>
  <si>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</si>
  <si>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</si>
  <si>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</si>
  <si>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</si>
  <si>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</si>
  <si>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</si>
  <si>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</si>
  <si>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</si>
  <si>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</si>
  <si>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</si>
  <si>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</si>
  <si>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</si>
  <si>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</si>
  <si>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</si>
  <si>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</si>
  <si>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</si>
  <si>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</si>
  <si>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</si>
  <si>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</si>
  <si>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</si>
  <si>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</si>
  <si>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</si>
  <si>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</si>
  <si>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</si>
  <si>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</si>
  <si>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</si>
  <si>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</si>
  <si>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</si>
  <si>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</si>
  <si>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</si>
  <si>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</si>
  <si>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</si>
  <si>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</si>
  <si>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</si>
  <si>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</si>
  <si>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</si>
  <si>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</si>
  <si>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</si>
  <si>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</si>
  <si>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</si>
  <si>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</si>
  <si>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</si>
  <si>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</si>
  <si>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</si>
  <si>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</si>
  <si>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</si>
  <si>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</si>
  <si>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</si>
  <si>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</si>
  <si>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</si>
  <si>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</si>
  <si>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</si>
  <si>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</si>
  <si>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</si>
  <si>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</si>
  <si>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</si>
  <si>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</si>
  <si>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</si>
  <si>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</si>
  <si>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</si>
  <si>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</si>
  <si>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</si>
  <si>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</si>
  <si>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</si>
  <si>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</si>
  <si>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</si>
  <si>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</si>
  <si>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</si>
  <si>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</si>
  <si>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</si>
  <si>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</si>
  <si>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</si>
  <si>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</si>
  <si>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</si>
  <si>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</si>
  <si>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</si>
  <si>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</si>
  <si>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</si>
  <si>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</si>
  <si>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</si>
  <si>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</si>
  <si>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</si>
  <si>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</si>
  <si>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</si>
  <si>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</si>
  <si>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</si>
  <si>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</si>
  <si>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</si>
  <si>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</si>
  <si>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</si>
  <si>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</si>
  <si>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</si>
  <si>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</si>
  <si>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</si>
  <si>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</si>
  <si>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</si>
  <si>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</si>
  <si>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</si>
  <si>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</si>
  <si>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</si>
  <si>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</si>
  <si>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</si>
  <si>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</si>
  <si>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</si>
  <si>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</si>
  <si>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</si>
  <si>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</si>
  <si>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</si>
  <si>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</si>
  <si>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</si>
  <si>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</si>
  <si>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</si>
  <si>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</si>
  <si>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</si>
  <si>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</si>
  <si>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</si>
  <si>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</si>
  <si>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</si>
  <si>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</si>
  <si>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</si>
  <si>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</si>
  <si>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</si>
  <si>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</si>
  <si>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</si>
  <si>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</si>
  <si>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</si>
  <si>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</si>
  <si>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</si>
  <si>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</si>
  <si>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</si>
  <si>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</si>
  <si>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</si>
  <si>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</si>
  <si>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</si>
  <si>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</si>
  <si>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</si>
  <si>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</si>
  <si>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</si>
  <si>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</si>
  <si>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</si>
  <si>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</si>
  <si>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</si>
  <si>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</si>
  <si>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</si>
  <si>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</si>
  <si>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</si>
  <si>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</si>
  <si>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</si>
  <si>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</si>
  <si>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</si>
  <si>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</si>
  <si>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</si>
  <si>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</si>
  <si>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</si>
  <si>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</si>
  <si>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</si>
  <si>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</si>
  <si>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</si>
  <si>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</si>
  <si>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</si>
  <si>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</si>
  <si>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</si>
  <si>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</si>
  <si>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</si>
  <si>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</si>
  <si>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</si>
  <si>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</si>
  <si>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</si>
  <si>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</si>
  <si>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</si>
  <si>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</si>
  <si>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</si>
  <si>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</si>
  <si>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</si>
  <si>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</si>
  <si>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</si>
  <si>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</si>
  <si>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</si>
  <si>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</si>
  <si>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</si>
  <si>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</si>
  <si>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</si>
  <si>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</si>
  <si>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</si>
  <si>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</si>
  <si>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</si>
  <si>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</si>
  <si>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</si>
  <si>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</si>
  <si>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</si>
  <si>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</si>
  <si>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</si>
  <si>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</si>
  <si>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</si>
  <si>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</si>
  <si>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</si>
  <si>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</si>
  <si>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</si>
  <si>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</si>
  <si>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</si>
  <si>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</si>
  <si>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</si>
  <si>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</si>
  <si>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</si>
  <si>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</si>
  <si>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</si>
  <si>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</si>
  <si>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</si>
  <si>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</si>
  <si>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</si>
  <si>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</si>
  <si>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</si>
  <si>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</si>
  <si>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</si>
  <si>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</si>
  <si>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</si>
  <si>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</si>
  <si>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</si>
  <si>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</si>
  <si>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</si>
  <si>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</si>
  <si>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</si>
  <si>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</si>
  <si>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</si>
  <si>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</si>
  <si>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</si>
  <si>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</si>
  <si>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</si>
  <si>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</si>
  <si>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</si>
  <si>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</si>
  <si>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</si>
  <si>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</si>
  <si>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</si>
  <si>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</si>
  <si>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</si>
  <si>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</si>
  <si>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</si>
  <si>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</si>
  <si>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</si>
  <si>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</si>
  <si>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</si>
  <si>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</si>
  <si>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</si>
  <si>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</si>
  <si>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</si>
  <si>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</si>
  <si>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</si>
  <si>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</si>
  <si>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</si>
  <si>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</si>
  <si>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</si>
  <si>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</si>
  <si>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</si>
  <si>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</si>
  <si>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</si>
  <si>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</si>
  <si>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</si>
  <si>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</si>
  <si>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</si>
  <si>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</si>
  <si>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</si>
  <si>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</si>
  <si>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</si>
  <si>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</si>
  <si>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</si>
  <si>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</si>
  <si>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</si>
  <si>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</si>
  <si>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</si>
  <si>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</si>
  <si>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</si>
  <si>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</si>
  <si>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</si>
  <si>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</si>
  <si>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</si>
  <si>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</si>
  <si>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</si>
  <si>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</si>
  <si>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</si>
  <si>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</si>
  <si>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</si>
  <si>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</si>
  <si>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</si>
  <si>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</si>
  <si>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</si>
  <si>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</si>
  <si>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</si>
  <si>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</si>
  <si>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</si>
  <si>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</si>
  <si>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</si>
  <si>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</si>
  <si>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</si>
  <si>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</si>
  <si>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</si>
  <si>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</si>
  <si>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</si>
  <si>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</si>
  <si>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</si>
  <si>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</si>
  <si>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</si>
  <si>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</si>
  <si>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</si>
  <si>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</si>
  <si>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</si>
  <si>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</si>
  <si>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</si>
  <si>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</si>
  <si>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</si>
  <si>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</si>
  <si>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</si>
  <si>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</si>
  <si>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</si>
  <si>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</si>
  <si>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</si>
  <si>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</si>
  <si>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</si>
  <si>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</si>
  <si>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</si>
  <si>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</si>
  <si>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</si>
  <si>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</si>
  <si>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</si>
  <si>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</si>
  <si>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</si>
  <si>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</si>
  <si>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</si>
  <si>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</si>
  <si>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</si>
  <si>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</si>
  <si>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</si>
  <si>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</si>
  <si>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</si>
  <si>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</si>
  <si>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</si>
  <si>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</si>
  <si>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</si>
  <si>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</si>
  <si>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</si>
  <si>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</si>
  <si>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</si>
  <si>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</si>
  <si>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</si>
  <si>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</si>
  <si>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</si>
  <si>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</si>
  <si>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</si>
  <si>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</si>
  <si>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</si>
  <si>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</si>
  <si>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</si>
  <si>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</si>
  <si>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</si>
  <si>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</si>
  <si>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</si>
  <si>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</si>
  <si>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</si>
  <si>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</si>
  <si>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</si>
  <si>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</si>
  <si>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</si>
  <si>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</si>
  <si>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</si>
  <si>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</si>
  <si>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</si>
  <si>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</si>
  <si>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</si>
  <si>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</si>
  <si>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</si>
  <si>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</si>
  <si>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</si>
  <si>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</si>
  <si>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</si>
  <si>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</si>
  <si>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</si>
  <si>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</si>
  <si>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</si>
  <si>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</si>
  <si>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</si>
  <si>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</si>
  <si>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</si>
  <si>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</si>
  <si>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</si>
  <si>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</si>
  <si>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</si>
  <si>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</si>
  <si>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</si>
  <si>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</si>
  <si>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</si>
  <si>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</si>
  <si>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</si>
  <si>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</si>
  <si>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</si>
  <si>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</si>
  <si>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</si>
  <si>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</si>
  <si>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</si>
  <si>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</si>
  <si>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</si>
  <si>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</si>
  <si>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</si>
  <si>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</si>
  <si>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</si>
  <si>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</si>
  <si>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</si>
  <si>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</si>
  <si>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</si>
  <si>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</si>
  <si>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</si>
  <si>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</si>
  <si>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</si>
  <si>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</si>
  <si>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</si>
  <si>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</si>
  <si>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</si>
  <si>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</si>
  <si>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</si>
  <si>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</si>
  <si>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</si>
  <si>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</si>
  <si>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</si>
  <si>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</si>
  <si>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</si>
  <si>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</si>
  <si>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</si>
  <si>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</si>
  <si>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</si>
  <si>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</si>
  <si>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</si>
  <si>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</si>
  <si>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</si>
  <si>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</si>
  <si>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</si>
  <si>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</si>
  <si>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</si>
  <si>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</si>
  <si>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</si>
  <si>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</si>
  <si>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</si>
  <si>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</si>
  <si>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</si>
  <si>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</si>
  <si>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</si>
  <si>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</si>
  <si>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</si>
  <si>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</si>
  <si>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</si>
  <si>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</si>
  <si>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</si>
  <si>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</si>
  <si>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</si>
  <si>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</si>
  <si>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</si>
  <si>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</si>
  <si>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</si>
  <si>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</si>
  <si>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</si>
  <si>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</si>
  <si>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</si>
  <si>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</si>
  <si>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</si>
  <si>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</si>
  <si>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</si>
  <si>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</si>
  <si>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</si>
  <si>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</si>
  <si>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</si>
  <si>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</si>
  <si>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</si>
  <si>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</si>
  <si>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</si>
  <si>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</si>
  <si>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</si>
  <si>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</si>
  <si>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</si>
  <si>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</si>
  <si>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</si>
  <si>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</si>
  <si>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</si>
  <si>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</si>
  <si>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</si>
  <si>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</si>
  <si>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</si>
  <si>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</si>
  <si>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</si>
  <si>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</si>
  <si>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</si>
  <si>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</si>
  <si>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</si>
  <si>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</si>
  <si>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</si>
  <si>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</si>
  <si>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</si>
  <si>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</si>
  <si>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</si>
  <si>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</si>
  <si>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</si>
  <si>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</si>
  <si>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</si>
  <si>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</si>
  <si>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</si>
  <si>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</si>
  <si>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</si>
  <si>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</si>
  <si>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</si>
  <si>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</si>
  <si>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</si>
  <si>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</si>
  <si>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</si>
  <si>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</si>
  <si>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</si>
  <si>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</si>
  <si>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</si>
  <si>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</si>
  <si>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</si>
  <si>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</si>
  <si>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</si>
  <si>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</si>
  <si>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</si>
  <si>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</si>
  <si>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</si>
  <si>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</si>
  <si>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</si>
  <si>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</si>
  <si>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</si>
  <si>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</si>
  <si>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</si>
  <si>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</si>
  <si>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</si>
  <si>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</si>
  <si>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</si>
  <si>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</si>
  <si>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</si>
  <si>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</si>
  <si>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</si>
  <si>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</si>
  <si>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</si>
  <si>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</si>
  <si>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</si>
  <si>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</si>
  <si>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</si>
  <si>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</si>
  <si>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</si>
  <si>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</si>
  <si>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</si>
  <si>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</si>
  <si>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</si>
  <si>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</si>
  <si>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</si>
  <si>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</si>
  <si>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</si>
  <si>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</si>
  <si>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</si>
  <si>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</si>
  <si>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</si>
  <si>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</si>
  <si>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</si>
  <si>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</si>
  <si>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</si>
  <si>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</si>
  <si>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</si>
  <si>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</si>
  <si>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</si>
  <si>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</si>
  <si>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</si>
  <si>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</si>
  <si>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</si>
  <si>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</si>
  <si>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</si>
  <si>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</si>
  <si>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</si>
  <si>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</si>
  <si>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</si>
  <si>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</si>
  <si>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</si>
  <si>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</si>
  <si>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</si>
  <si>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</si>
  <si>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</si>
  <si>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</si>
  <si>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</si>
  <si>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</si>
  <si>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</si>
  <si>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</si>
  <si>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</si>
  <si>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</si>
  <si>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</si>
  <si>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</si>
  <si>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</si>
  <si>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</si>
  <si>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</si>
  <si>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</si>
  <si>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</si>
  <si>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</si>
  <si>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</si>
  <si>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</si>
  <si>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</si>
  <si>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</si>
  <si>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</si>
  <si>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</si>
  <si>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</si>
  <si>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</si>
  <si>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</si>
  <si>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</si>
  <si>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</si>
  <si>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</si>
  <si>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</si>
  <si>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</si>
  <si>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</si>
  <si>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</si>
  <si>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</si>
  <si>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</si>
  <si>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</si>
  <si>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</si>
  <si>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</si>
  <si>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</si>
  <si>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</si>
  <si>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</si>
  <si>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</si>
  <si>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</si>
  <si>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</si>
  <si>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</si>
  <si>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</si>
  <si>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</si>
  <si>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</si>
  <si>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</si>
  <si>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</si>
  <si>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</si>
  <si>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</si>
  <si>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</si>
  <si>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</si>
  <si>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</si>
  <si>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</si>
  <si>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</si>
  <si>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</si>
  <si>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</si>
  <si>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</si>
  <si>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</si>
  <si>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</si>
  <si>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</si>
  <si>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</si>
  <si>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</si>
  <si>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</si>
  <si>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</si>
  <si>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</si>
  <si>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</si>
  <si>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</si>
  <si>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</si>
  <si>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</si>
  <si>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</si>
  <si>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</si>
  <si>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</si>
  <si>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</si>
  <si>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</si>
  <si>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</si>
  <si>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</si>
  <si>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</si>
  <si>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</si>
  <si>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</si>
  <si>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</si>
  <si>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</si>
  <si>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</si>
  <si>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</si>
  <si>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</si>
  <si>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</si>
  <si>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</si>
  <si>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</si>
  <si>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</si>
  <si>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</si>
  <si>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</si>
  <si>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</si>
  <si>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</si>
  <si>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</si>
  <si>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</si>
  <si>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</si>
  <si>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</si>
  <si>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</si>
  <si>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</si>
  <si>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</si>
  <si>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</si>
  <si>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</si>
  <si>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</si>
  <si>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</si>
  <si>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</si>
  <si>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</si>
  <si>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</si>
  <si>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</si>
  <si>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</si>
  <si>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</si>
  <si>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</si>
  <si>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</si>
  <si>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</si>
  <si>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</si>
  <si>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</si>
  <si>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</si>
  <si>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</si>
  <si>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</si>
  <si>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</si>
  <si>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</si>
  <si>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</si>
  <si>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</si>
  <si>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</si>
  <si>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</si>
  <si>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</si>
  <si>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</si>
  <si>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</si>
  <si>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</si>
  <si>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</si>
  <si>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</si>
  <si>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</si>
  <si>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</si>
  <si>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</si>
  <si>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</si>
  <si>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</si>
  <si>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</si>
  <si>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</si>
  <si>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</si>
  <si>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</si>
  <si>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</si>
  <si>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</si>
  <si>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</si>
  <si>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</si>
  <si>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</si>
  <si>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</si>
  <si>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</si>
  <si>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</si>
  <si>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</si>
  <si>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</si>
  <si>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</si>
  <si>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</si>
  <si>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</si>
  <si>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</si>
  <si>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</si>
  <si>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</si>
  <si>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</si>
  <si>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</si>
  <si>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</si>
  <si>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</si>
  <si>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</si>
  <si>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</si>
  <si>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</si>
  <si>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</si>
  <si>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</si>
  <si>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</si>
  <si>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</si>
  <si>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</si>
  <si>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</si>
  <si>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</si>
  <si>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</si>
  <si>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</si>
  <si>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</si>
  <si>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</si>
  <si>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</si>
  <si>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</si>
  <si>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</si>
  <si>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</si>
  <si>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</si>
  <si>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</si>
  <si>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</si>
  <si>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</si>
  <si>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</si>
  <si>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</si>
  <si>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</si>
  <si>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</si>
  <si>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</si>
  <si>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</si>
  <si>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</si>
  <si>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</si>
  <si>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</si>
  <si>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</si>
  <si>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</si>
  <si>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</si>
  <si>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</si>
  <si>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</si>
  <si>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</si>
  <si>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</si>
  <si>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</si>
  <si>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</si>
  <si>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</si>
  <si>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</si>
  <si>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</si>
  <si>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</si>
  <si>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</si>
  <si>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</si>
  <si>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</si>
  <si>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</si>
  <si>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</si>
  <si>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</si>
  <si>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</si>
  <si>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</si>
  <si>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</si>
  <si>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</si>
  <si>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</si>
  <si>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</si>
  <si>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</si>
  <si>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</si>
  <si>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</si>
  <si>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</si>
  <si>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</si>
  <si>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</si>
  <si>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</si>
  <si>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</si>
  <si>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</si>
  <si>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</si>
  <si>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</si>
  <si>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</si>
  <si>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</si>
  <si>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</si>
  <si>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</si>
  <si>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</si>
  <si>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</si>
  <si>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</si>
  <si>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</si>
  <si>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</si>
  <si>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</si>
  <si>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</si>
  <si>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</si>
  <si>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</si>
  <si>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</si>
  <si>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</si>
  <si>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</si>
  <si>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</si>
  <si>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</si>
  <si>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</si>
  <si>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</si>
  <si>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</si>
  <si>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</si>
  <si>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</si>
  <si>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</si>
  <si>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</si>
  <si>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</si>
  <si>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</si>
  <si>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</si>
  <si>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</si>
  <si>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</si>
  <si>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</si>
  <si>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</si>
  <si>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</si>
  <si>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</si>
  <si>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</si>
  <si>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</si>
  <si>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</si>
  <si>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</si>
  <si>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</si>
  <si>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</si>
  <si>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</si>
  <si>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</si>
  <si>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</si>
  <si>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</si>
  <si>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</si>
  <si>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</si>
  <si>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</si>
  <si>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</si>
  <si>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</si>
  <si>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</si>
  <si>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</si>
  <si>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</si>
  <si>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</si>
  <si>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</si>
  <si>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</si>
  <si>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</si>
  <si>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</si>
  <si>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</si>
  <si>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</si>
  <si>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</si>
  <si>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</si>
  <si>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</si>
  <si>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</si>
  <si>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</si>
  <si>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</si>
  <si>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</si>
  <si>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</si>
  <si>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</si>
  <si>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</si>
  <si>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</si>
  <si>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</si>
  <si>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</si>
  <si>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</si>
  <si>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</si>
  <si>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</si>
  <si>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</si>
  <si>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</si>
  <si>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</si>
  <si>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</si>
  <si>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</si>
  <si>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</si>
  <si>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</si>
  <si>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</si>
  <si>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</si>
  <si>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</si>
  <si>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</si>
  <si>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</si>
  <si>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</si>
  <si>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</si>
  <si>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</si>
  <si>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</si>
  <si>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</si>
  <si>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</si>
  <si>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</si>
  <si>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</si>
  <si>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</si>
  <si>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</si>
  <si>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</si>
  <si>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</si>
  <si>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</si>
  <si>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</si>
  <si>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</si>
  <si>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</si>
  <si>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</si>
  <si>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</si>
  <si>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</si>
  <si>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</si>
  <si>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</si>
  <si>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</si>
  <si>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</si>
  <si>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</si>
  <si>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</si>
  <si>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</si>
  <si>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</si>
  <si>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</si>
  <si>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</si>
  <si>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</si>
  <si>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</si>
  <si>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</si>
  <si>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</si>
  <si>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</si>
  <si>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</si>
  <si>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</si>
  <si>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</si>
  <si>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</si>
  <si>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</si>
  <si>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</si>
  <si>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</si>
  <si>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</si>
  <si>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</si>
  <si>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</si>
  <si>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</si>
  <si>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</si>
  <si>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</si>
  <si>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</si>
  <si>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</si>
  <si>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</si>
  <si>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</si>
  <si>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</si>
  <si>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</si>
  <si>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</si>
  <si>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</si>
  <si>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</si>
  <si>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</si>
  <si>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</si>
  <si>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</si>
  <si>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</si>
  <si>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</si>
  <si>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</si>
  <si>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</si>
  <si>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</si>
  <si>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</si>
  <si>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</si>
  <si>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</si>
  <si>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</si>
  <si>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</si>
  <si>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</si>
  <si>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</si>
  <si>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</si>
  <si>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</si>
  <si>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</si>
  <si>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</si>
  <si>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</si>
  <si>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</si>
  <si>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</si>
  <si>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</si>
  <si>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</si>
  <si>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</si>
  <si>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</si>
  <si>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</si>
  <si>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</si>
  <si>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</si>
  <si>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</si>
  <si>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</si>
  <si>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</si>
  <si>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</si>
  <si>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</si>
  <si>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</si>
  <si>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</si>
  <si>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</si>
  <si>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</si>
  <si>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</si>
  <si>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</si>
  <si>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</si>
  <si>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</si>
  <si>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</si>
  <si>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</si>
  <si>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</si>
  <si>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</si>
  <si>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</si>
  <si>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</si>
  <si>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</si>
  <si>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</si>
  <si>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</si>
  <si>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</si>
  <si>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</si>
  <si>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</si>
  <si>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</si>
  <si>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</si>
  <si>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</si>
  <si>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</si>
  <si>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</si>
  <si>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</si>
  <si>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</si>
  <si>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</si>
  <si>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</si>
  <si>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</si>
  <si>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</si>
  <si>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</si>
  <si>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</si>
  <si>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</si>
  <si>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</si>
  <si>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</si>
  <si>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</si>
  <si>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</si>
  <si>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</si>
  <si>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</si>
  <si>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</si>
  <si>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</si>
  <si>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</si>
  <si>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</si>
  <si>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</si>
  <si>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</si>
  <si>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</si>
  <si>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</si>
  <si>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</si>
  <si>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</si>
  <si>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</si>
  <si>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</si>
  <si>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</si>
  <si>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</si>
  <si>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</si>
  <si>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</si>
  <si>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</si>
  <si>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</si>
  <si>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</si>
  <si>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</si>
  <si>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</si>
  <si>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</si>
  <si>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</si>
  <si>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</si>
  <si>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</si>
  <si>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</si>
  <si>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</si>
  <si>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</si>
  <si>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</si>
  <si>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</si>
  <si>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</si>
  <si>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</si>
  <si>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</si>
  <si>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</si>
  <si>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</si>
  <si>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</si>
  <si>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</si>
  <si>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</si>
  <si>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</si>
  <si>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</si>
  <si>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</si>
  <si>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</si>
  <si>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</si>
  <si>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</si>
  <si>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</si>
  <si>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</si>
  <si>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</si>
  <si>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</si>
  <si>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</si>
  <si>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</si>
  <si>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</si>
  <si>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</si>
  <si>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</si>
  <si>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</si>
  <si>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</si>
  <si>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</si>
  <si>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</si>
  <si>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</si>
  <si>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</si>
  <si>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</si>
  <si>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</si>
  <si>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</si>
  <si>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</si>
  <si>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</si>
  <si>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</si>
  <si>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</si>
  <si>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</si>
  <si>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</si>
  <si>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</si>
  <si>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</si>
  <si>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</si>
  <si>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</si>
  <si>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</si>
  <si>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</si>
  <si>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</si>
  <si>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</si>
  <si>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</si>
  <si>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</si>
  <si>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</si>
  <si>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</si>
  <si>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</si>
  <si>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</si>
  <si>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</si>
  <si>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</si>
  <si>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</si>
  <si>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</si>
  <si>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</si>
  <si>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</si>
  <si>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</si>
  <si>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</si>
  <si>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</si>
  <si>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</si>
  <si>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</si>
  <si>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</si>
  <si>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</si>
  <si>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</si>
  <si>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</si>
  <si>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</si>
  <si>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</si>
  <si>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</si>
  <si>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</si>
  <si>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</si>
  <si>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</si>
  <si>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</si>
  <si>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</si>
  <si>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</si>
  <si>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</si>
  <si>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</si>
  <si>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</si>
  <si>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</si>
  <si>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</si>
  <si>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</si>
  <si>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</si>
  <si>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</si>
  <si>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</si>
  <si>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</si>
  <si>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</si>
  <si>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</si>
  <si>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</si>
  <si>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</si>
  <si>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</si>
  <si>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</si>
  <si>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</si>
  <si>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</si>
  <si>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</si>
  <si>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</si>
  <si>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</si>
  <si>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</si>
  <si>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</si>
  <si>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</si>
  <si>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</si>
  <si>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</si>
  <si>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</si>
  <si>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</si>
  <si>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</si>
  <si>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</si>
  <si>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</si>
  <si>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</si>
  <si>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</si>
  <si>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</si>
  <si>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</si>
  <si>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</si>
  <si>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</si>
  <si>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</si>
  <si>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</si>
  <si>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</si>
  <si>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</si>
  <si>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</si>
  <si>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</si>
  <si>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</si>
  <si>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</si>
  <si>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</si>
  <si>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</si>
  <si>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</si>
  <si>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</si>
  <si>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</si>
  <si>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</si>
  <si>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</si>
  <si>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</si>
  <si>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</si>
  <si>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</si>
  <si>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</si>
  <si>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</si>
  <si>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</si>
  <si>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</si>
  <si>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</si>
  <si>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</si>
  <si>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</si>
  <si>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</si>
  <si>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</si>
  <si>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</si>
  <si>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</si>
  <si>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</si>
  <si>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</si>
  <si>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</si>
  <si>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</si>
  <si>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</si>
  <si>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</si>
  <si>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</si>
  <si>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</si>
  <si>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</si>
  <si>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</si>
  <si>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</si>
  <si>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</si>
  <si>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</si>
  <si>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</si>
  <si>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</si>
  <si>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</si>
  <si>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</si>
  <si>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</si>
  <si>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</si>
  <si>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</si>
  <si>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</si>
  <si>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</si>
  <si>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</si>
  <si>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</si>
  <si>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</si>
  <si>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</si>
  <si>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</si>
  <si>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</si>
  <si>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</si>
  <si>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</si>
  <si>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</si>
  <si>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</si>
  <si>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</si>
  <si>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</si>
  <si>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</si>
  <si>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</si>
  <si>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</si>
  <si>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</si>
  <si>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</si>
  <si>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</si>
  <si>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</si>
  <si>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</si>
  <si>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</si>
  <si>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</si>
  <si>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</si>
  <si>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</si>
  <si>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</si>
  <si>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</si>
  <si>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</si>
  <si>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</si>
  <si>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</si>
  <si>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</si>
  <si>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</si>
  <si>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</si>
  <si>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</si>
  <si>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</si>
  <si>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</si>
  <si>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</si>
  <si>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</si>
  <si>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</si>
  <si>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</si>
  <si>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</si>
  <si>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</si>
  <si>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</si>
  <si>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</si>
  <si>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</si>
  <si>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</si>
  <si>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</si>
  <si>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</si>
  <si>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</si>
  <si>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</si>
  <si>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</si>
  <si>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</si>
  <si>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</si>
  <si>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</si>
  <si>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</si>
  <si>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</si>
  <si>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</si>
  <si>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</si>
  <si>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</si>
  <si>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</si>
  <si>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</si>
  <si>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</si>
  <si>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</si>
  <si>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</si>
  <si>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</si>
  <si>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</si>
  <si>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</si>
  <si>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</si>
  <si>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</si>
  <si>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</si>
  <si>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</si>
  <si>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</si>
  <si>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</si>
  <si>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</si>
  <si>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</si>
  <si>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</si>
  <si>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</si>
  <si>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</si>
  <si>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</si>
  <si>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</si>
  <si>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</si>
  <si>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</si>
  <si>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</si>
  <si>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</si>
  <si>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</si>
  <si>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</si>
  <si>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</si>
  <si>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</si>
  <si>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</si>
  <si>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</si>
  <si>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</si>
  <si>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</si>
  <si>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</si>
  <si>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</si>
  <si>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</si>
  <si>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</si>
  <si>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</si>
  <si>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</si>
  <si>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</si>
  <si>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</si>
  <si>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</si>
  <si>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</si>
  <si>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</si>
  <si>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</si>
  <si>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</si>
  <si>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</si>
  <si>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</si>
  <si>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</si>
  <si>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</si>
  <si>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</si>
  <si>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</si>
  <si>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</si>
  <si>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</si>
  <si>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</si>
  <si>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</si>
  <si>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</si>
  <si>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</si>
  <si>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</si>
  <si>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</si>
  <si>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</si>
  <si>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</si>
  <si>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</si>
  <si>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</si>
  <si>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</si>
  <si>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</si>
  <si>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</si>
  <si>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</si>
  <si>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</si>
  <si>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</si>
  <si>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</si>
  <si>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</si>
  <si>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</si>
  <si>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</si>
  <si>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</si>
  <si>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</si>
  <si>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</si>
  <si>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</si>
  <si>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</si>
  <si>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</si>
  <si>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</si>
  <si>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</si>
  <si>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</si>
  <si>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</si>
  <si>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</si>
  <si>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</si>
  <si>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</si>
  <si>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</si>
  <si>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</si>
  <si>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</si>
  <si>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</si>
  <si>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</si>
  <si>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</si>
  <si>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</si>
  <si>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</si>
  <si>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</si>
  <si>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</si>
  <si>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</si>
  <si>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</si>
  <si>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</si>
  <si>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</si>
  <si>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</si>
  <si>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</si>
  <si>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</si>
  <si>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</si>
  <si>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</si>
  <si>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</si>
  <si>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</si>
  <si>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</si>
  <si>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</si>
  <si>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</si>
  <si>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</si>
  <si>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</si>
  <si>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</si>
  <si>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</si>
  <si>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</si>
  <si>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</si>
  <si>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</si>
  <si>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</si>
  <si>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</si>
  <si>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</si>
  <si>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</si>
  <si>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</si>
  <si>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</si>
  <si>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</si>
  <si>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</si>
  <si>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</si>
  <si>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</si>
  <si>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</si>
  <si>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</si>
  <si>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</si>
  <si>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</si>
  <si>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</si>
  <si>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</si>
  <si>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</si>
  <si>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</si>
  <si>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</si>
  <si>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</si>
  <si>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</si>
  <si>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</si>
  <si>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</si>
  <si>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</si>
  <si>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</si>
  <si>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</si>
  <si>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</si>
  <si>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</si>
  <si>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</si>
  <si>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</si>
  <si>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</si>
  <si>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</si>
  <si>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</si>
  <si>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</si>
  <si>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</si>
  <si>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</si>
  <si>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</si>
  <si>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</si>
  <si>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</si>
  <si>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</si>
  <si>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</si>
  <si>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</si>
  <si>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</si>
  <si>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</si>
  <si>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</si>
  <si>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</si>
  <si>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</si>
  <si>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</si>
  <si>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</si>
  <si>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</si>
  <si>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</si>
  <si>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</si>
  <si>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</si>
  <si>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</si>
  <si>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</si>
  <si>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</si>
  <si>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</si>
  <si>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</si>
  <si>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</si>
  <si>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</si>
  <si>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</si>
  <si>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</si>
  <si>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</si>
  <si>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</si>
  <si>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</si>
  <si>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</si>
  <si>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</si>
  <si>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</si>
  <si>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</si>
  <si>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</si>
  <si>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</si>
  <si>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</si>
  <si>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</si>
  <si>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</si>
  <si>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</si>
  <si>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</si>
  <si>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</si>
  <si>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</si>
  <si>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</si>
  <si>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</si>
  <si>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</si>
  <si>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</si>
  <si>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</si>
  <si>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</si>
  <si>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</si>
  <si>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</si>
  <si>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</si>
  <si>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</si>
  <si>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</si>
  <si>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</si>
  <si>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</si>
  <si>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</si>
  <si>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</si>
  <si>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</si>
  <si>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</si>
  <si>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</si>
  <si>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</si>
  <si>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</si>
  <si>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</si>
  <si>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</si>
  <si>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</si>
  <si>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</si>
  <si>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</si>
  <si>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</si>
  <si>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</si>
  <si>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</si>
  <si>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</si>
  <si>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</si>
  <si>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</si>
  <si>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</si>
  <si>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</si>
  <si>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</si>
  <si>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</si>
  <si>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</si>
  <si>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</si>
  <si>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</si>
  <si>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</si>
  <si>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</si>
  <si>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</si>
  <si>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</si>
  <si>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</si>
  <si>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</si>
  <si>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</si>
  <si>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</si>
  <si>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</si>
  <si>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</si>
  <si>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</si>
  <si>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</si>
  <si>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</si>
  <si>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</si>
  <si>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</si>
  <si>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</si>
  <si>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</si>
  <si>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</si>
  <si>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</si>
  <si>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</si>
  <si>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</si>
  <si>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</si>
  <si>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</si>
  <si>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</si>
  <si>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</si>
  <si>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</si>
  <si>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</si>
  <si>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</si>
  <si>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</si>
  <si>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</si>
  <si>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</si>
  <si>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</si>
  <si>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</si>
  <si>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</si>
  <si>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</si>
  <si>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</si>
  <si>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</si>
  <si>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</si>
  <si>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</si>
  <si>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</si>
  <si>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</si>
  <si>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</si>
  <si>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</si>
  <si>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</si>
  <si>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</si>
  <si>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</si>
  <si>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</si>
  <si>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</si>
  <si>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</si>
  <si>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</si>
  <si>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</si>
  <si>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</si>
  <si>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</si>
  <si>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</si>
  <si>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</si>
  <si>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</si>
  <si>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</si>
  <si>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</si>
  <si>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</si>
  <si>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</si>
  <si>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</si>
  <si>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</si>
  <si>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</si>
  <si>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</si>
  <si>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</si>
  <si>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</si>
  <si>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</si>
  <si>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</si>
  <si>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</si>
  <si>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</si>
  <si>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</si>
  <si>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</si>
  <si>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</si>
  <si>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</si>
  <si>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</si>
  <si>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</si>
  <si>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</si>
  <si>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</si>
  <si>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</si>
  <si>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</si>
  <si>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</si>
  <si>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</si>
  <si>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</si>
  <si>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</si>
  <si>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</si>
  <si>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</si>
  <si>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</si>
  <si>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</si>
  <si>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</si>
  <si>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</si>
  <si>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</si>
  <si>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</si>
  <si>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</si>
  <si>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</si>
  <si>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</si>
  <si>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</si>
  <si>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</si>
  <si>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</si>
  <si>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</si>
  <si>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</si>
  <si>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</si>
  <si>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</si>
  <si>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</si>
  <si>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</si>
  <si>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</si>
  <si>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</si>
  <si>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</si>
  <si>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</si>
  <si>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</si>
  <si>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</si>
  <si>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</si>
  <si>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</si>
  <si>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</si>
  <si>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</si>
  <si>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</si>
  <si>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</si>
  <si>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</si>
  <si>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</si>
  <si>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</si>
  <si>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</si>
  <si>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</si>
  <si>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</si>
  <si>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</si>
  <si>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</si>
  <si>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</si>
  <si>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</si>
  <si>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</si>
  <si>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</si>
  <si>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</si>
  <si>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</si>
  <si>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</si>
  <si>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</si>
  <si>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</si>
  <si>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</si>
  <si>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</si>
  <si>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</si>
  <si>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</si>
  <si>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</si>
  <si>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</si>
  <si>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</si>
  <si>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</si>
  <si>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</si>
  <si>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</si>
  <si>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</si>
  <si>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</si>
  <si>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</si>
  <si>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</si>
  <si>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</si>
  <si>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</si>
  <si>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</si>
  <si>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</si>
  <si>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</si>
  <si>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</si>
  <si>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</si>
  <si>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</si>
  <si>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</si>
  <si>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</si>
  <si>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</si>
  <si>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</si>
  <si>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</si>
  <si>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</si>
  <si>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</si>
  <si>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</si>
  <si>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</si>
  <si>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</si>
  <si>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</si>
  <si>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</si>
  <si>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</si>
  <si>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</si>
  <si>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</si>
  <si>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</si>
  <si>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</si>
  <si>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</si>
  <si>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</si>
  <si>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</si>
  <si>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</si>
  <si>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</si>
  <si>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</si>
  <si>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</si>
  <si>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</si>
  <si>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</si>
  <si>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</si>
  <si>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</si>
  <si>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</si>
  <si>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</si>
  <si>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</si>
  <si>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</si>
  <si>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</si>
  <si>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</si>
  <si>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</si>
  <si>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</si>
  <si>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</si>
  <si>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</si>
  <si>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</si>
  <si>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</si>
  <si>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</si>
  <si>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</si>
  <si>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</si>
  <si>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</si>
  <si>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</si>
  <si>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</si>
  <si>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</si>
  <si>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</si>
  <si>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</si>
  <si>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</si>
  <si>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</si>
  <si>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</si>
  <si>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</si>
  <si>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</si>
  <si>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</si>
  <si>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</si>
  <si>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</si>
  <si>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</si>
  <si>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</si>
  <si>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</si>
  <si>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</si>
  <si>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</si>
  <si>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</si>
  <si>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</si>
  <si>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</si>
  <si>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</si>
  <si>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</si>
  <si>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</si>
  <si>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</si>
  <si>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</si>
  <si>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</si>
  <si>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</si>
  <si>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</si>
  <si>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</si>
  <si>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</si>
  <si>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</si>
  <si>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</si>
  <si>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</si>
  <si>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</si>
  <si>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</si>
  <si>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</si>
  <si>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</si>
  <si>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</si>
  <si>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</si>
  <si>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</si>
  <si>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</si>
  <si>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</si>
  <si>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</si>
  <si>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</si>
  <si>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</si>
  <si>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</si>
  <si>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</si>
  <si>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</si>
  <si>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</si>
  <si>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</si>
  <si>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</si>
  <si>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</si>
  <si>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</si>
  <si>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</si>
  <si>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</si>
  <si>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</si>
  <si>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</si>
  <si>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</si>
  <si>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</si>
  <si>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</si>
  <si>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</si>
  <si>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</si>
  <si>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</si>
  <si>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</si>
  <si>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</si>
  <si>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</si>
  <si>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</si>
  <si>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</si>
  <si>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</si>
  <si>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</si>
  <si>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</si>
  <si>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</si>
  <si>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</si>
  <si>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</si>
  <si>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</si>
  <si>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</si>
  <si>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</si>
  <si>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</si>
  <si>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</si>
  <si>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</si>
  <si>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</si>
  <si>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</si>
  <si>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</si>
  <si>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</si>
  <si>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</si>
  <si>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</si>
  <si>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</si>
  <si>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</si>
  <si>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</si>
  <si>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</si>
  <si>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</si>
  <si>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</si>
  <si>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</si>
  <si>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</si>
  <si>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</si>
  <si>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</si>
  <si>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</si>
  <si>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</si>
  <si>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</si>
  <si>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</si>
  <si>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</si>
  <si>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</si>
  <si>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</si>
  <si>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</si>
  <si>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</si>
  <si>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</si>
  <si>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</si>
  <si>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</si>
  <si>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</si>
  <si>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</si>
  <si>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</si>
  <si>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</si>
  <si>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</si>
  <si>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</si>
  <si>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</si>
  <si>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</si>
  <si>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</si>
  <si>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</si>
  <si>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</si>
  <si>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</si>
  <si>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</si>
  <si>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</si>
  <si>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</si>
  <si>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</si>
  <si>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</si>
  <si>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</si>
  <si>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</si>
  <si>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</si>
  <si>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</si>
  <si>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</si>
  <si>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</si>
  <si>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</si>
  <si>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</si>
  <si>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</si>
  <si>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</si>
  <si>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</si>
  <si>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</si>
  <si>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</si>
  <si>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</si>
  <si>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</si>
  <si>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</si>
  <si>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</si>
  <si>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</si>
  <si>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</si>
  <si>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</si>
  <si>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</si>
  <si>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</si>
  <si>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</si>
  <si>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</si>
  <si>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</si>
  <si>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</si>
  <si>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</si>
  <si>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</si>
  <si>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</si>
  <si>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</si>
  <si>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</si>
  <si>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</si>
  <si>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</si>
  <si>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</si>
  <si>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</si>
  <si>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</si>
  <si>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</si>
  <si>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</si>
  <si>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</si>
  <si>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</si>
  <si>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</si>
  <si>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</si>
  <si>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</si>
  <si>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</si>
  <si>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</si>
  <si>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</si>
  <si>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</si>
  <si>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</si>
  <si>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</si>
  <si>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</si>
  <si>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</si>
  <si>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</si>
  <si>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</si>
  <si>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</si>
  <si>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</si>
  <si>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</si>
  <si>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</si>
  <si>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</si>
  <si>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</si>
  <si>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</si>
  <si>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</si>
  <si>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</si>
  <si>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</si>
  <si>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</si>
  <si>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</si>
  <si>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</si>
  <si>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Entrega #5 (Re-especificação)</t>
  </si>
  <si>
    <t>Entrega #4 (Re-especificação)</t>
  </si>
  <si>
    <t>Re-especificação sobre campo ISIN</t>
  </si>
  <si>
    <t>Em Teste</t>
  </si>
  <si>
    <t>Validação EF</t>
  </si>
  <si>
    <t>1 campo Em Implementação</t>
  </si>
  <si>
    <t>Pendente de entrega do lado de LT PM</t>
  </si>
  <si>
    <t>Concluído</t>
  </si>
  <si>
    <t>Pendente CdG</t>
  </si>
  <si>
    <t>Nova data de entrega &gt; de 28/11 para 04/12</t>
  </si>
  <si>
    <t>GLOVAL - Tabela unificada/ traçabilidade</t>
  </si>
  <si>
    <t>Re-especificação dia 20/11. Nova data de entrega &gt; 12/12</t>
  </si>
  <si>
    <t>GLOVAL - Reprocessamento via front</t>
  </si>
  <si>
    <t>IT - Em implementação</t>
  </si>
  <si>
    <t>NYD - Em teste</t>
  </si>
  <si>
    <t>IT - Pendente de outros desenvolvimentos</t>
  </si>
  <si>
    <t>Nova data de entrega &gt; de 25/11 para 05/12</t>
  </si>
  <si>
    <t>Nova data de entrega &gt; de 28/11 para 12/12</t>
  </si>
  <si>
    <t>Após a entrega, a tabela teve que ser reprocessada por não ter dados para testar, provocando um atraso nesse processo (aplicável apenas a 3 campos. Os restantes estão pendentes de outros desenvolvimentos)</t>
  </si>
  <si>
    <t>IT - Correção de incidências</t>
  </si>
  <si>
    <t>Campos comuns ao GD com incidência &gt; a aguardar data de entrega</t>
  </si>
  <si>
    <t xml:space="preserve">
1. Durante os testes, foram identificados casos que necessitaram de esclarecimento. Já foi partilhado com a equipa de tecnologia a especificação para resolução dos casos bem como as incidências identificadas;
2. No âmbito de Modelo Verde foi testada a tabela de output de veícuos: 3 campos foram concluídos e foram encontradas incidências em 4.
3. No âmbito do Pilar III estava previsto testar 3 campos comuns ao GD e 7 campos da protection. Relativamente aos primeiros, foram encontradas incidências e os campos encontram-se agora em correção. Relativamente aos restantes 7 não foi possível realizar os testes por erros de processamento.
</t>
  </si>
  <si>
    <t>Após a entrega, a tabela teve que ser reprocessada por não ter dados para testar, provocando um atraso nesse processo (aplicável apenas a 4 campos. 1 campo está pendente de outros desenvolvimentos)</t>
  </si>
  <si>
    <t xml:space="preserve">Re-especificação com base num novo campo do MBI </t>
  </si>
  <si>
    <r>
      <t>Sumário Executivo</t>
    </r>
    <r>
      <rPr>
        <b/>
        <sz val="14"/>
        <color theme="4"/>
        <rFont val="Santander Text"/>
        <family val="2"/>
      </rPr>
      <t xml:space="preserve"> |</t>
    </r>
    <r>
      <rPr>
        <b/>
        <sz val="11"/>
        <color theme="4"/>
        <rFont val="Santander Text"/>
        <family val="2"/>
      </rPr>
      <t>22 de novembro a 29 de novembro</t>
    </r>
  </si>
  <si>
    <t>Entrega #1 (Re-especificação 2)</t>
  </si>
  <si>
    <t>Entrega #2 (Re-especificação2)</t>
  </si>
  <si>
    <r>
      <t>1.</t>
    </r>
    <r>
      <rPr>
        <b/>
        <sz val="11"/>
        <rFont val="Santander Text"/>
        <family val="2"/>
      </rPr>
      <t xml:space="preserve"> Datas de entrega de Tecnologia:
</t>
    </r>
    <r>
      <rPr>
        <sz val="11"/>
        <rFont val="Santander Text"/>
        <family val="2"/>
      </rPr>
      <t xml:space="preserve">- Reprocessamento da tabela de Output de Certificados Energéticos (sem Gloval) </t>
    </r>
    <r>
      <rPr>
        <sz val="11"/>
        <color theme="1"/>
        <rFont val="Santander Text"/>
        <family val="2"/>
      </rPr>
      <t>-&gt;</t>
    </r>
    <r>
      <rPr>
        <b/>
        <sz val="11"/>
        <color theme="1"/>
        <rFont val="Santander Text"/>
        <family val="2"/>
      </rPr>
      <t xml:space="preserve">  Entregue a 04/11</t>
    </r>
    <r>
      <rPr>
        <sz val="11"/>
        <rFont val="Santander Text"/>
        <family val="2"/>
      </rPr>
      <t xml:space="preserve">
- Carregamento de ficheiros (Chaves e Certif. Gloval) via front-end</t>
    </r>
    <r>
      <rPr>
        <b/>
        <sz val="11"/>
        <rFont val="Santander Text"/>
        <family val="2"/>
      </rPr>
      <t xml:space="preserve">: </t>
    </r>
    <r>
      <rPr>
        <b/>
        <sz val="11"/>
        <color theme="7"/>
        <rFont val="Santander Text"/>
        <family val="2"/>
      </rPr>
      <t>04/12</t>
    </r>
    <r>
      <rPr>
        <sz val="11"/>
        <rFont val="Santander Text"/>
        <family val="2"/>
      </rPr>
      <t xml:space="preserve">
- Tabela unificada/ traçabilidade de Certificados Gloval: </t>
    </r>
    <r>
      <rPr>
        <b/>
        <sz val="11"/>
        <color theme="7"/>
        <rFont val="Santander Text"/>
        <family val="2"/>
      </rPr>
      <t xml:space="preserve">04/12
</t>
    </r>
    <r>
      <rPr>
        <sz val="11"/>
        <rFont val="Santander Text"/>
        <family val="2"/>
      </rPr>
      <t>- Nova especificação da tabela output de certificados (property_energy_certificate):</t>
    </r>
    <r>
      <rPr>
        <b/>
        <sz val="11"/>
        <color theme="7"/>
        <rFont val="Santander Text"/>
        <family val="2"/>
      </rPr>
      <t xml:space="preserve"> 12/12</t>
    </r>
    <r>
      <rPr>
        <sz val="11"/>
        <rFont val="Santander Text"/>
        <family val="2"/>
      </rPr>
      <t xml:space="preserve">
- Inclusão campo CGARANT_BEM (tabela Property):</t>
    </r>
    <r>
      <rPr>
        <b/>
        <sz val="11"/>
        <color theme="8"/>
        <rFont val="Santander Text"/>
        <family val="2"/>
      </rPr>
      <t xml:space="preserve"> </t>
    </r>
    <r>
      <rPr>
        <b/>
        <sz val="11"/>
        <color theme="7"/>
        <rFont val="Santander Text"/>
        <family val="2"/>
      </rPr>
      <t xml:space="preserve">19/12 </t>
    </r>
    <r>
      <rPr>
        <sz val="11"/>
        <rFont val="Santander Text"/>
        <family val="2"/>
      </rPr>
      <t xml:space="preserve">
- Habilitação de reprocessamento via front-end: </t>
    </r>
    <r>
      <rPr>
        <b/>
        <sz val="11"/>
        <color theme="7"/>
        <rFont val="Santander Text"/>
        <family val="2"/>
      </rPr>
      <t>19/12</t>
    </r>
    <r>
      <rPr>
        <sz val="11"/>
        <rFont val="Santander Text"/>
        <family val="2"/>
      </rPr>
      <t xml:space="preserve">
 </t>
    </r>
  </si>
  <si>
    <t>Nova data de entrega de  28/11para 04/12. Nova data de entrega de 04/12 para 19/12</t>
  </si>
  <si>
    <t>Novo campo na tabela. Nova data de entrega de 05/12 para 19/12</t>
  </si>
  <si>
    <t>Com incidência do lado de PM e dependente do campo cgarant bem do MBI</t>
  </si>
  <si>
    <r>
      <t xml:space="preserve">1. </t>
    </r>
    <r>
      <rPr>
        <b/>
        <sz val="11"/>
        <color theme="1"/>
        <rFont val="Santander Text"/>
        <family val="2"/>
      </rPr>
      <t xml:space="preserve">Datas de Entrega de Tecnologia: 
Tabela Entity (lt003_entity):
</t>
    </r>
    <r>
      <rPr>
        <sz val="11"/>
        <color theme="1"/>
        <rFont val="Santander Text"/>
        <family val="2"/>
      </rPr>
      <t xml:space="preserve">- Nace ESG, Rácios de Eligibilidade,  Flag NFRD Grupo, Flag Exclusão de Paris, Risco Físico, Código Postal, Emissões de clientes e Emissões Grupo campos: 31/10 (25 campos) </t>
    </r>
    <r>
      <rPr>
        <b/>
        <sz val="11"/>
        <color theme="1"/>
        <rFont val="Santander Text"/>
        <family val="2"/>
      </rPr>
      <t xml:space="preserve"> -&gt; Entregue no dia 31/10</t>
    </r>
    <r>
      <rPr>
        <sz val="11"/>
        <color theme="1"/>
        <rFont val="Santander Text"/>
        <family val="2"/>
      </rPr>
      <t xml:space="preserve">
- Flg NFRD Cliente, Rácios de eligibilidade e ISIN: 15/11 (6 campos)</t>
    </r>
    <r>
      <rPr>
        <b/>
        <sz val="11"/>
        <color theme="1"/>
        <rFont val="Santander Text"/>
        <family val="2"/>
      </rPr>
      <t xml:space="preserve"> -&gt; Entregue no dia 15/11</t>
    </r>
    <r>
      <rPr>
        <sz val="11"/>
        <color theme="1"/>
        <rFont val="Santander Text"/>
        <family val="2"/>
      </rPr>
      <t xml:space="preserve">
- Liabilities do Cliente: 28/11 (1 campo) </t>
    </r>
    <r>
      <rPr>
        <b/>
        <sz val="11"/>
        <color theme="1"/>
        <rFont val="Santander Text"/>
        <family val="2"/>
      </rPr>
      <t xml:space="preserve">
Tabela Protection (lt004_protection): </t>
    </r>
    <r>
      <rPr>
        <sz val="11"/>
        <color theme="1"/>
        <rFont val="Santander Text"/>
        <family val="2"/>
      </rPr>
      <t xml:space="preserve">
- Emissões, Risco Físico e EPCs: 31/10 (11 campos) </t>
    </r>
    <r>
      <rPr>
        <b/>
        <sz val="11"/>
        <color theme="1"/>
        <rFont val="Santander Text"/>
        <family val="2"/>
      </rPr>
      <t>-&gt; Entregue no dia 31/10</t>
    </r>
    <r>
      <rPr>
        <sz val="11"/>
        <color theme="1"/>
        <rFont val="Santander Text"/>
        <family val="2"/>
      </rPr>
      <t xml:space="preserve">
- Universo, Campos de Caracterização imóvel: 15/11 (5 campos) </t>
    </r>
    <r>
      <rPr>
        <b/>
        <sz val="11"/>
        <color theme="1"/>
        <rFont val="Santander Text"/>
        <family val="2"/>
      </rPr>
      <t>-&gt; Entregue no dia 15/11</t>
    </r>
    <r>
      <rPr>
        <sz val="11"/>
        <color theme="1"/>
        <rFont val="Santander Text"/>
        <family val="2"/>
      </rPr>
      <t xml:space="preserve">
- Valor Proteção e Flgs Imóveis: 28/11 (5 campos)
- Emissões: </t>
    </r>
    <r>
      <rPr>
        <b/>
        <sz val="11"/>
        <color theme="7"/>
        <rFont val="Santander Text"/>
        <family val="2"/>
      </rPr>
      <t xml:space="preserve">05/12 (6 campos) </t>
    </r>
    <r>
      <rPr>
        <sz val="11"/>
        <color theme="1"/>
        <rFont val="Santander Text"/>
        <family val="2"/>
      </rPr>
      <t xml:space="preserve">
</t>
    </r>
    <r>
      <rPr>
        <b/>
        <sz val="11"/>
        <color theme="1"/>
        <rFont val="Santander Text"/>
        <family val="2"/>
      </rPr>
      <t xml:space="preserve">
Tabela Instrument ( lt002_instrument)</t>
    </r>
    <r>
      <rPr>
        <sz val="11"/>
        <color theme="1"/>
        <rFont val="Santander Text"/>
        <family val="2"/>
      </rPr>
      <t xml:space="preserve">
- Métodos de Emissões e Categoria Verde: 15/11 (5 campos)</t>
    </r>
    <r>
      <rPr>
        <b/>
        <sz val="11"/>
        <color theme="1"/>
        <rFont val="Santander Text"/>
        <family val="2"/>
      </rPr>
      <t xml:space="preserve"> -&gt; Entregue no dia 15/11</t>
    </r>
    <r>
      <rPr>
        <sz val="11"/>
        <color theme="1"/>
        <rFont val="Santander Text"/>
        <family val="2"/>
      </rPr>
      <t xml:space="preserve">
- Mitigação Risco: 28/11 (1 campo)
- Metodos de Obtenção de Scopes + Campos Comuns Green Dashboard :</t>
    </r>
    <r>
      <rPr>
        <b/>
        <sz val="11"/>
        <color theme="7"/>
        <rFont val="Santander Text"/>
        <family val="2"/>
      </rPr>
      <t xml:space="preserve"> 05/12 (3 campos)</t>
    </r>
    <r>
      <rPr>
        <sz val="11"/>
        <color theme="1"/>
        <rFont val="Santander Text"/>
        <family val="2"/>
      </rPr>
      <t xml:space="preserve">
</t>
    </r>
    <r>
      <rPr>
        <b/>
        <sz val="11"/>
        <color theme="1"/>
        <rFont val="Santander Text"/>
        <family val="2"/>
      </rPr>
      <t>Tabela Instrument Activity (lt007_instr_activity):</t>
    </r>
    <r>
      <rPr>
        <sz val="11"/>
        <color theme="1"/>
        <rFont val="Santander Text"/>
        <family val="2"/>
      </rPr>
      <t xml:space="preserve"> 28/11
</t>
    </r>
    <r>
      <rPr>
        <b/>
        <sz val="11"/>
        <color theme="1"/>
        <rFont val="Santander Text"/>
        <family val="2"/>
      </rPr>
      <t>Tabela Parametrização (lt827_mthd_usd_instrmnt): 15/11 -&gt; Entregue no dia 15/11</t>
    </r>
    <r>
      <rPr>
        <sz val="11"/>
        <color theme="1"/>
        <rFont val="Santander Text"/>
        <family val="2"/>
      </rPr>
      <t xml:space="preserve">
</t>
    </r>
    <r>
      <rPr>
        <b/>
        <sz val="11"/>
        <color theme="1"/>
        <rFont val="Santander Text"/>
        <family val="2"/>
      </rPr>
      <t>2. Testes:</t>
    </r>
    <r>
      <rPr>
        <sz val="11"/>
        <color theme="1"/>
        <rFont val="Santander Text"/>
        <family val="2"/>
      </rPr>
      <t xml:space="preserve">
</t>
    </r>
    <r>
      <rPr>
        <b/>
        <sz val="11"/>
        <color theme="1"/>
        <rFont val="Santander Text"/>
        <family val="2"/>
      </rPr>
      <t>- Campos comuns ao GD :</t>
    </r>
    <r>
      <rPr>
        <sz val="11"/>
        <color theme="1"/>
        <rFont val="Santander Text"/>
        <family val="2"/>
      </rPr>
      <t xml:space="preserve"> Campos em Correção de modo a manter a corência com o reportado no GD (3 campos)
</t>
    </r>
    <r>
      <rPr>
        <b/>
        <sz val="11"/>
        <color theme="1"/>
        <rFont val="Santander Text"/>
        <family val="2"/>
      </rPr>
      <t>- Campos Tabela Protection (lt004_protection):</t>
    </r>
    <r>
      <rPr>
        <sz val="11"/>
        <color theme="1"/>
        <rFont val="Santander Text"/>
        <family val="2"/>
      </rPr>
      <t xml:space="preserve"> i) Necessidade de acrescentar novo universo de garantias pessoais e financeiras; ii) Necessidade de reprocessar MBI E MV para Outubro uma vez que não existiam dados de viaturas no MUG para setembro; iii) Testes só iniciados na sexta-feira devido a erros de processamento e erro no universo da Loan Tape (sem garantias móveis) (7 campos)</t>
    </r>
  </si>
  <si>
    <r>
      <t>1.</t>
    </r>
    <r>
      <rPr>
        <b/>
        <sz val="11"/>
        <color theme="1"/>
        <rFont val="Santander Text"/>
        <family val="2"/>
      </rPr>
      <t xml:space="preserve"> Datas de entrega de Tecnologia:
Inputs: 
- </t>
    </r>
    <r>
      <rPr>
        <sz val="11"/>
        <color theme="1"/>
        <rFont val="Santander Text"/>
        <family val="2"/>
      </rPr>
      <t xml:space="preserve">Atualização + tabela de parametrização: 07/11 (16 campos)  </t>
    </r>
    <r>
      <rPr>
        <sz val="11"/>
        <rFont val="Santander Text"/>
        <family val="2"/>
      </rPr>
      <t xml:space="preserve">-&gt; </t>
    </r>
    <r>
      <rPr>
        <b/>
        <sz val="11"/>
        <rFont val="Santander Text"/>
        <family val="2"/>
      </rPr>
      <t>Entregue no dia 08/11</t>
    </r>
    <r>
      <rPr>
        <b/>
        <sz val="11"/>
        <color theme="7"/>
        <rFont val="Santander Text"/>
        <family val="2"/>
      </rPr>
      <t xml:space="preserve">
</t>
    </r>
    <r>
      <rPr>
        <sz val="11"/>
        <rFont val="Santander Text"/>
        <family val="2"/>
      </rPr>
      <t>- Input Munich Re</t>
    </r>
    <r>
      <rPr>
        <sz val="11"/>
        <color theme="8"/>
        <rFont val="Santander Text"/>
        <family val="2"/>
      </rPr>
      <t>:</t>
    </r>
    <r>
      <rPr>
        <b/>
        <sz val="11"/>
        <color theme="8"/>
        <rFont val="Santander Text"/>
        <family val="2"/>
      </rPr>
      <t xml:space="preserve"> </t>
    </r>
    <r>
      <rPr>
        <b/>
        <sz val="11"/>
        <color theme="7"/>
        <rFont val="Santander Text"/>
        <family val="2"/>
      </rPr>
      <t>05/12</t>
    </r>
    <r>
      <rPr>
        <b/>
        <sz val="11"/>
        <color theme="1"/>
        <rFont val="Santander Text"/>
        <family val="2"/>
      </rPr>
      <t xml:space="preserve">
Tabela de Bens Imóveis (modesg_out_bens_imoveis):
</t>
    </r>
    <r>
      <rPr>
        <sz val="11"/>
        <color theme="1"/>
        <rFont val="Santander Text"/>
        <family val="2"/>
      </rPr>
      <t>- Emissões de Bens Imóveis: 04/11 (8 campos) -&gt;</t>
    </r>
    <r>
      <rPr>
        <b/>
        <sz val="11"/>
        <color theme="1"/>
        <rFont val="Santander Text"/>
        <family val="2"/>
      </rPr>
      <t xml:space="preserve"> Entregue no dia 05/11</t>
    </r>
    <r>
      <rPr>
        <sz val="11"/>
        <color theme="1"/>
        <rFont val="Santander Text"/>
        <family val="2"/>
      </rPr>
      <t xml:space="preserve">
- Risco Físico de Bens Imóveis:</t>
    </r>
    <r>
      <rPr>
        <sz val="11"/>
        <color theme="7"/>
        <rFont val="Santander Text"/>
        <family val="2"/>
      </rPr>
      <t xml:space="preserve"> </t>
    </r>
    <r>
      <rPr>
        <b/>
        <sz val="11"/>
        <color theme="7"/>
        <rFont val="Santander Text"/>
        <family val="2"/>
      </rPr>
      <t>05/12 (4 campos)</t>
    </r>
    <r>
      <rPr>
        <b/>
        <sz val="11"/>
        <color theme="1"/>
        <rFont val="Santander Text"/>
        <family val="2"/>
      </rPr>
      <t xml:space="preserve">
Tabela de Veículos (modesg_out_ems_vcls):</t>
    </r>
    <r>
      <rPr>
        <sz val="11"/>
        <color theme="1"/>
        <rFont val="Santander Text"/>
        <family val="2"/>
      </rPr>
      <t xml:space="preserve">
- Universo e Emissões de veículos: 11/11 (7 campos) </t>
    </r>
    <r>
      <rPr>
        <sz val="11"/>
        <rFont val="Santander Text"/>
        <family val="2"/>
      </rPr>
      <t xml:space="preserve">-&gt; </t>
    </r>
    <r>
      <rPr>
        <b/>
        <sz val="11"/>
        <rFont val="Santander Text"/>
        <family val="2"/>
      </rPr>
      <t>Entregue no dia 12/11</t>
    </r>
    <r>
      <rPr>
        <sz val="11"/>
        <color theme="1"/>
        <rFont val="Santander Text"/>
        <family val="2"/>
      </rPr>
      <t xml:space="preserve">
</t>
    </r>
    <r>
      <rPr>
        <b/>
        <sz val="11"/>
        <color theme="1"/>
        <rFont val="Santander Text"/>
        <family val="2"/>
      </rPr>
      <t xml:space="preserve">
Tabela de Clientes (modesg_out_empr_info_nfin):</t>
    </r>
    <r>
      <rPr>
        <sz val="11"/>
        <color theme="1"/>
        <rFont val="Santander Text"/>
        <family val="2"/>
      </rPr>
      <t xml:space="preserve">
- Clientes (Cod_nace_esg , Exclusão de Paris, NFRD e rácios de eligibilidade): 18/11 (20 campos) </t>
    </r>
    <r>
      <rPr>
        <b/>
        <sz val="11"/>
        <color theme="1"/>
        <rFont val="Santander Text"/>
        <family val="2"/>
      </rPr>
      <t>-&gt; Entregue no dia 19/11</t>
    </r>
    <r>
      <rPr>
        <sz val="11"/>
        <color theme="1"/>
        <rFont val="Santander Text"/>
        <family val="2"/>
      </rPr>
      <t xml:space="preserve">
- Emissões de Clientes: 25/11 (6 campos)</t>
    </r>
    <r>
      <rPr>
        <b/>
        <sz val="11"/>
        <color theme="7"/>
        <rFont val="Santander Text"/>
        <family val="2"/>
      </rPr>
      <t xml:space="preserve"> -&gt; Entregue no dia 26/11</t>
    </r>
    <r>
      <rPr>
        <sz val="11"/>
        <color theme="1"/>
        <rFont val="Santander Text"/>
        <family val="2"/>
      </rPr>
      <t xml:space="preserve">
- Risco Físico Clientes:</t>
    </r>
    <r>
      <rPr>
        <b/>
        <sz val="11"/>
        <color theme="8"/>
        <rFont val="Santander Text"/>
        <family val="2"/>
      </rPr>
      <t xml:space="preserve"> </t>
    </r>
    <r>
      <rPr>
        <b/>
        <sz val="11"/>
        <color theme="7"/>
        <rFont val="Santander Text"/>
        <family val="2"/>
      </rPr>
      <t>12/12 (4 campos)</t>
    </r>
    <r>
      <rPr>
        <sz val="11"/>
        <color theme="1"/>
        <rFont val="Santander Text"/>
        <family val="2"/>
      </rPr>
      <t xml:space="preserve">
</t>
    </r>
    <r>
      <rPr>
        <b/>
        <sz val="11"/>
        <color theme="1"/>
        <rFont val="Santander Text"/>
        <family val="2"/>
      </rPr>
      <t>Marcação Verde (modesg_out_sfcs_taxon_europeia):</t>
    </r>
    <r>
      <rPr>
        <sz val="11"/>
        <color theme="1"/>
        <rFont val="Santander Text"/>
        <family val="2"/>
      </rPr>
      <t xml:space="preserve">
- Marcação Verde (tabela de contratos): </t>
    </r>
    <r>
      <rPr>
        <b/>
        <sz val="11"/>
        <color theme="7"/>
        <rFont val="Santander Text"/>
        <family val="2"/>
      </rPr>
      <t>02/12 (12 campos)</t>
    </r>
    <r>
      <rPr>
        <b/>
        <sz val="11"/>
        <color theme="1"/>
        <rFont val="Santander Text"/>
        <family val="2"/>
      </rPr>
      <t xml:space="preserve">
2. Testes:
- Tabela de Parametrização Marcação Verde: </t>
    </r>
    <r>
      <rPr>
        <sz val="11"/>
        <color theme="1"/>
        <rFont val="Santander Text"/>
        <family val="2"/>
      </rPr>
      <t xml:space="preserve">1 campo pendente da reunião com CdG para ver tema da categoria
</t>
    </r>
    <r>
      <rPr>
        <b/>
        <sz val="11"/>
        <color theme="1"/>
        <rFont val="Santander Text"/>
        <family val="2"/>
      </rPr>
      <t>- Tabela de Output de Bens Móveis:</t>
    </r>
    <r>
      <rPr>
        <sz val="11"/>
        <color theme="1"/>
        <rFont val="Santander Text"/>
        <family val="2"/>
      </rPr>
      <t xml:space="preserve"> Início dos testes na quarta-feira por necessidade de reprocessamento da tabela para Outubro pela equipa de Tecnologia, uma vez que no MUG não existiam dados para o mês entregue (setembro)
</t>
    </r>
  </si>
  <si>
    <t>Nova data de entrega &gt; de 28/11 para 02/12</t>
  </si>
  <si>
    <t>Nova data de entrega de  15/11 para 05/12</t>
  </si>
  <si>
    <t>IT - Em Correção</t>
  </si>
  <si>
    <t>Entrega #1 (Incidências)</t>
  </si>
  <si>
    <t>Nova data de entrega (incidencias) &gt; de 11/11 para 29/11</t>
  </si>
  <si>
    <t>Re-especificação sobre campos de scopes sobre tipo de propriedade. Nova data de entrega de 31/10 para 05/12</t>
  </si>
  <si>
    <t>29/11: Conclusão de teste aos campos</t>
  </si>
  <si>
    <t>Entrega #1 (Pendência Negócio)</t>
  </si>
  <si>
    <t>Pendente de alteração de parametrizaçao de marcação verde com CdG (categorias SFICS)</t>
  </si>
  <si>
    <t>Esconder</t>
  </si>
  <si>
    <t>Data Fim Testes (prevista)</t>
  </si>
  <si>
    <t>Data Correção (Prevista)</t>
  </si>
  <si>
    <t>Data Correção (Real)</t>
  </si>
  <si>
    <t>Entrega #1 (Dependências)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</si>
</sst>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numFmt numFmtId="165" formatCode="ddd"/>
    <numFmt numFmtId="166" formatCode="0.0"/>
  </numFmts>
  <fonts count="70" x14ac:knownFonts="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9"/>
      <name val="Santander Text"/>
      <family val="2"/>
    </font>
    <font>
      <b/>
      <sz val="11"/>
      <color theme="8"/>
      <name val="Santander Text"/>
      <family val="2"/>
    </font>
    <font>
      <sz val="11"/>
      <color theme="7"/>
      <name val="Santander Text"/>
      <family val="2"/>
    </font>
    <font>
      <sz val="11"/>
      <color theme="8"/>
      <name val="Santander Text"/>
      <family val="2"/>
    </font>
    <font>
      <b/>
      <sz val="10"/>
      <color theme="4"/>
      <name val="Santander Text"/>
      <family val="2"/>
    </font>
    <font>
      <sz val="10"/>
      <color theme="4"/>
      <name val="Santander Text"/>
      <family val="2"/>
    </font>
    <font>
      <b/>
      <sz val="10"/>
      <color rgb="FFFF0000"/>
      <name val="Santander Text"/>
      <family val="2"/>
    </font>
    <font>
      <sz val="10"/>
      <color rgb="FFFF0000"/>
      <name val="Santander Text"/>
      <family val="2"/>
    </font>
  </fonts>
  <fills count="2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367">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7"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8"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60" fillId="0" borderId="25" xfId="0" applyFont="1" applyBorder="1" applyAlignment="1">
      <alignment horizontal="left" vertical="center" readingOrder="1"/>
    </xf>
    <xf numFmtId="0" fontId="60"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1" fillId="0" borderId="0" xfId="0" applyFont="1"/>
    <xf numFmtId="0" fontId="43" fillId="0" borderId="0" xfId="0" applyFont="1"/>
    <xf numFmtId="0" fontId="2" fillId="3" borderId="4" xfId="0" applyFont="1" applyFill="1" applyBorder="1" applyAlignment="1">
      <alignment vertical="center"/>
    </xf>
    <xf numFmtId="0" fontId="62" fillId="0" borderId="0" xfId="0" applyFont="1"/>
    <xf numFmtId="0" fontId="63" fillId="0" borderId="0" xfId="0" applyFont="1"/>
    <xf numFmtId="0" fontId="60"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14" borderId="32" xfId="1" applyFont="1" applyFill="1" applyBorder="1" applyAlignment="1">
      <alignment horizontal="left" vertical="center" wrapText="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8"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6" fillId="0" borderId="25" xfId="0" applyNumberFormat="1" applyFont="1" applyBorder="1" applyAlignment="1">
      <alignment vertical="center"/>
    </xf>
    <xf numFmtId="0" fontId="0" fillId="3" borderId="14" xfId="0" applyFill="1" applyBorder="1" applyAlignment="1">
      <alignment vertical="center"/>
    </xf>
    <xf numFmtId="14" fontId="67" fillId="0" borderId="25" xfId="0" applyNumberFormat="1" applyFont="1" applyBorder="1" applyAlignment="1">
      <alignment vertical="center"/>
    </xf>
    <xf numFmtId="0" fontId="29" fillId="14" borderId="25" xfId="0" applyFont="1" applyFill="1" applyBorder="1" applyAlignment="1">
      <alignment vertical="center"/>
    </xf>
    <xf numFmtId="0" fontId="58" fillId="7" borderId="0" xfId="0" applyFont="1" applyFill="1" applyAlignment="1">
      <alignment vertical="center"/>
    </xf>
    <xf numFmtId="0" fontId="58"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14" fontId="29" fillId="20" borderId="32" xfId="0" applyNumberFormat="1" applyFont="1" applyFill="1" applyBorder="1" applyAlignment="1">
      <alignment vertical="center"/>
    </xf>
    <xf numFmtId="0" fontId="10" fillId="7" borderId="14" xfId="0" applyFont="1" applyFill="1" applyBorder="1" applyAlignment="1">
      <alignment vertical="center"/>
    </xf>
    <xf numFmtId="0" fontId="58"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8" fillId="3" borderId="0" xfId="0" applyFont="1" applyFill="1" applyAlignment="1">
      <alignment vertical="center"/>
    </xf>
    <xf numFmtId="14" fontId="60"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8" fillId="0" borderId="25" xfId="0" applyNumberFormat="1" applyFont="1" applyBorder="1" applyAlignment="1">
      <alignment vertical="center"/>
    </xf>
    <xf numFmtId="14" fontId="69" fillId="0" borderId="25" xfId="0" applyNumberFormat="1" applyFont="1" applyBorder="1" applyAlignment="1">
      <alignment vertical="center"/>
    </xf>
    <xf numFmtId="9" fontId="29" fillId="0" borderId="32" xfId="1" applyFont="1" applyFill="1" applyBorder="1" applyAlignment="1">
      <alignment horizontal="center" vertical="center"/>
    </xf>
    <xf numFmtId="14" fontId="68" fillId="0" borderId="32" xfId="0" applyNumberFormat="1" applyFont="1" applyBorder="1" applyAlignment="1">
      <alignment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9" fontId="28" fillId="14" borderId="32" xfId="1" applyFont="1" applyFill="1" applyBorder="1" applyAlignment="1">
      <alignment horizontal="center" vertical="center"/>
    </xf>
    <xf numFmtId="14" fontId="60"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39" fillId="0" borderId="0" xfId="0" applyFont="1" applyAlignment="1">
      <alignment horizontal="center" vertical="center"/>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2" fillId="14" borderId="25" xfId="0" applyFont="1" applyFill="1" applyBorder="1" applyAlignment="1">
      <alignment horizontal="left" vertical="top" wrapText="1"/>
    </xf>
    <xf numFmtId="0" fontId="47" fillId="14" borderId="25" xfId="0" applyFont="1" applyFill="1" applyBorder="1" applyAlignment="1">
      <alignment horizontal="left" vertical="top" wrapText="1"/>
    </xf>
    <xf numFmtId="0" fontId="0" fillId="0" borderId="14" xfId="0" applyFill="1" applyBorder="1" applyAlignment="1">
      <alignment vertical="center"/>
    </xf>
    <xf numFmtId="0" fontId="10" fillId="0" borderId="14" xfId="0" applyFont="1" applyFill="1" applyBorder="1" applyAlignment="1">
      <alignment vertical="center"/>
    </xf>
  </cellXfs>
  <cellStyles count="4">
    <cellStyle name="Normal" xfId="0" builtinId="0"/>
    <cellStyle name="Normal 2" xfId="3" xr:uid="{00000000-0005-0000-0000-000001000000}"/>
    <cellStyle name="Normal 3" xfId="2" xr:uid="{00000000-0005-0000-0000-000002000000}"/>
    <cellStyle name="Percent" xfId="1" builtinId="5"/>
  </cellStyles>
  <dxfs count="200">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connections" Target="connections.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eetMetadata" Target="metadata.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trabalho_V3.4.xlsx]Aux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1"/>
          </a:solidFill>
          <a:ln>
            <a:noFill/>
          </a:ln>
          <a:effectLst/>
        </c:spPr>
      </c:pivotFmt>
      <c:pivotFmt>
        <c:idx val="48"/>
        <c:spPr>
          <a:solidFill>
            <a:schemeClr val="accent6"/>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1"/>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Pivots2'!$B$28:$B$31</c:f>
              <c:strCache>
                <c:ptCount val="3"/>
                <c:pt idx="0">
                  <c:v>0. Cancelado</c:v>
                </c:pt>
                <c:pt idx="1">
                  <c:v>1. Concluído</c:v>
                </c:pt>
                <c:pt idx="2">
                  <c:v>6. Em implementação (re-especificação)</c:v>
                </c:pt>
              </c:strCache>
            </c:strRef>
          </c:cat>
          <c:val>
            <c:numRef>
              <c:f>'Aux - Pivots2'!$C$28:$C$31</c:f>
              <c:numCache>
                <c:formatCode>General</c:formatCode>
                <c:ptCount val="3"/>
                <c:pt idx="0">
                  <c:v>10</c:v>
                </c:pt>
                <c:pt idx="1">
                  <c:v>124</c:v>
                </c:pt>
                <c:pt idx="2">
                  <c:v>35</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trabalho_V3.4.xlsx]Aux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dLbl>
          <c:idx val="0"/>
          <c:layout>
            <c:manualLayout>
              <c:x val="-2.1664047932473673E-3"/>
              <c:y val="-1.7707102283186959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27</c:v>
                </c:pt>
                <c:pt idx="1">
                  <c:v>1</c:v>
                </c:pt>
                <c:pt idx="2">
                  <c:v>11</c:v>
                </c:pt>
                <c:pt idx="3">
                  <c:v>2</c:v>
                </c:pt>
                <c:pt idx="4">
                  <c:v>14</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3">
                  <c:v>26</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dLbl>
              <c:idx val="0"/>
              <c:layout>
                <c:manualLayout>
                  <c:x val="-2.1664047932473673E-3"/>
                  <c:y val="-1.7707102283186959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8C3-49E5-8E7A-5E4DCD040C6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5. Em Correção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2">
                  <c:v>4</c:v>
                </c:pt>
              </c:numCache>
            </c:numRef>
          </c:val>
          <c:extLst>
            <c:ext xmlns:c16="http://schemas.microsoft.com/office/drawing/2014/chart" uri="{C3380CC4-5D6E-409C-BE32-E72D297353CC}">
              <c16:uniqueId val="{00000003-84A5-4640-977D-C90F23D65B8C}"/>
            </c:ext>
          </c:extLst>
        </c:ser>
        <c:ser>
          <c:idx val="5"/>
          <c:order val="5"/>
          <c:tx>
            <c:strRef>
              <c:f>'Aux - Pivots2'!$H$48:$H$49</c:f>
              <c:strCache>
                <c:ptCount val="1"/>
                <c:pt idx="0">
                  <c:v>6. Em implementação (re-especificação)</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Pivots2'!$H$50:$H$63</c:f>
              <c:numCache>
                <c:formatCode>General</c:formatCode>
                <c:ptCount val="13"/>
                <c:pt idx="1">
                  <c:v>12</c:v>
                </c:pt>
                <c:pt idx="3">
                  <c:v>4</c:v>
                </c:pt>
                <c:pt idx="4">
                  <c:v>4</c:v>
                </c:pt>
              </c:numCache>
            </c:numRef>
          </c:val>
          <c:extLst>
            <c:ext xmlns:c16="http://schemas.microsoft.com/office/drawing/2014/chart" uri="{C3380CC4-5D6E-409C-BE32-E72D297353CC}">
              <c16:uniqueId val="{00000004-65B6-441E-BE0F-D9C14BA7E877}"/>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trabalho_V3.4.xlsx]Aux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6"/>
          </a:solidFill>
          <a:ln>
            <a:solidFill>
              <a:schemeClr val="bg1"/>
            </a:solidFill>
          </a:ln>
          <a:effectLst/>
        </c:spPr>
      </c:pivotFmt>
      <c:pivotFmt>
        <c:idx val="43"/>
        <c:spPr>
          <a:solidFill>
            <a:schemeClr val="accent5"/>
          </a:solidFill>
          <a:ln>
            <a:solidFill>
              <a:schemeClr val="bg1"/>
            </a:solidFill>
          </a:ln>
          <a:effectLst/>
        </c:spPr>
        <c:dLbl>
          <c:idx val="0"/>
          <c:layout>
            <c:manualLayout>
              <c:x val="-3.695971427521675E-2"/>
              <c:y val="-1.78331651235245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4"/>
        <c:spPr>
          <a:solidFill>
            <a:schemeClr val="accent1">
              <a:lumMod val="75000"/>
            </a:schemeClr>
          </a:solidFill>
          <a:ln>
            <a:solidFill>
              <a:schemeClr val="bg1"/>
            </a:solidFill>
          </a:ln>
          <a:effectLst/>
        </c:spPr>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1">
                  <a:lumMod val="75000"/>
                </a:schemeClr>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1"/>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3"/>
              <c:layout>
                <c:manualLayout>
                  <c:x val="-3.695971427521675E-2"/>
                  <c:y val="-1.78331651235245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F-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Pivots2'!$B$73:$B$79</c:f>
              <c:strCache>
                <c:ptCount val="6"/>
                <c:pt idx="0">
                  <c:v>0. Cancelado</c:v>
                </c:pt>
                <c:pt idx="1">
                  <c:v>1. Concluído</c:v>
                </c:pt>
                <c:pt idx="2">
                  <c:v>2.1 Em Teste</c:v>
                </c:pt>
                <c:pt idx="3">
                  <c:v>4. Validação EF</c:v>
                </c:pt>
                <c:pt idx="4">
                  <c:v>5. Em Correção</c:v>
                </c:pt>
                <c:pt idx="5">
                  <c:v>6. Em implementação (re-especificação)</c:v>
                </c:pt>
              </c:strCache>
            </c:strRef>
          </c:cat>
          <c:val>
            <c:numRef>
              <c:f>'Aux - Pivots2'!$C$73:$C$79</c:f>
              <c:numCache>
                <c:formatCode>General</c:formatCode>
                <c:ptCount val="6"/>
                <c:pt idx="0">
                  <c:v>14</c:v>
                </c:pt>
                <c:pt idx="1">
                  <c:v>180</c:v>
                </c:pt>
                <c:pt idx="2">
                  <c:v>26</c:v>
                </c:pt>
                <c:pt idx="3">
                  <c:v>1</c:v>
                </c:pt>
                <c:pt idx="4">
                  <c:v>4</c:v>
                </c:pt>
                <c:pt idx="5">
                  <c:v>20</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trabalho_V3.4.xlsx]Aux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3"/>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Pivots2'!$C$96:$C$104</c:f>
              <c:numCache>
                <c:formatCode>General</c:formatCode>
                <c:ptCount val="8"/>
                <c:pt idx="0">
                  <c:v>21</c:v>
                </c:pt>
                <c:pt idx="1">
                  <c:v>12</c:v>
                </c:pt>
                <c:pt idx="2">
                  <c:v>2</c:v>
                </c:pt>
                <c:pt idx="3">
                  <c:v>5</c:v>
                </c:pt>
                <c:pt idx="4">
                  <c:v>5</c:v>
                </c:pt>
                <c:pt idx="6">
                  <c:v>9</c:v>
                </c:pt>
                <c:pt idx="7">
                  <c:v>15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Pivots2'!$D$96:$D$104</c:f>
              <c:numCache>
                <c:formatCode>General</c:formatCode>
                <c:ptCount val="8"/>
                <c:pt idx="0">
                  <c:v>2</c:v>
                </c:pt>
                <c:pt idx="1">
                  <c:v>28</c:v>
                </c:pt>
                <c:pt idx="2">
                  <c:v>7</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Pivots2'!$E$96:$E$104</c:f>
              <c:numCache>
                <c:formatCode>General</c:formatCode>
                <c:ptCount val="8"/>
                <c:pt idx="1">
                  <c:v>2</c:v>
                </c:pt>
                <c:pt idx="2">
                  <c:v>3</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2"/>
            <c:invertIfNegative val="0"/>
            <c:bubble3D val="0"/>
            <c:extLst>
              <c:ext xmlns:c16="http://schemas.microsoft.com/office/drawing/2014/chart" uri="{C3380CC4-5D6E-409C-BE32-E72D297353CC}">
                <c16:uniqueId val="{00000003-BB7D-4E56-A212-F28BC47DA877}"/>
              </c:ext>
            </c:extLst>
          </c:dPt>
          <c:dLbls>
            <c:dLbl>
              <c:idx val="0"/>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F80-4C6D-A0A0-D247D194EFA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Pivots2'!$F$96:$F$104</c:f>
              <c:numCache>
                <c:formatCode>General</c:formatCode>
                <c:ptCount val="8"/>
                <c:pt idx="0">
                  <c:v>3</c:v>
                </c:pt>
              </c:numCache>
            </c:numRef>
          </c:val>
          <c:extLst>
            <c:ext xmlns:c16="http://schemas.microsoft.com/office/drawing/2014/chart" uri="{C3380CC4-5D6E-409C-BE32-E72D297353CC}">
              <c16:uniqueId val="{00000002-2B3A-4128-86BF-65BFE73D6DB8}"/>
            </c:ext>
          </c:extLst>
        </c:ser>
        <c:ser>
          <c:idx val="4"/>
          <c:order val="4"/>
          <c:tx>
            <c:strRef>
              <c:f>'Aux - Pivots2'!$G$94:$G$95</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Pivots2'!$G$96:$G$104</c:f>
              <c:numCache>
                <c:formatCode>General</c:formatCode>
                <c:ptCount val="8"/>
                <c:pt idx="0">
                  <c:v>4</c:v>
                </c:pt>
                <c:pt idx="1">
                  <c:v>1</c:v>
                </c:pt>
                <c:pt idx="2">
                  <c:v>12</c:v>
                </c:pt>
                <c:pt idx="5">
                  <c:v>4</c:v>
                </c:pt>
              </c:numCache>
            </c:numRef>
          </c:val>
          <c:extLst>
            <c:ext xmlns:c16="http://schemas.microsoft.com/office/drawing/2014/chart" uri="{C3380CC4-5D6E-409C-BE32-E72D297353CC}">
              <c16:uniqueId val="{00000003-7F80-4C6D-A0A0-D247D194EFAA}"/>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trabalho_V3.4.xlsx]Aux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
        <c:idx val="29"/>
        <c:spPr>
          <a:solidFill>
            <a:srgbClr val="C00000"/>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rgbClr val="FF0000"/>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6"/>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rgbClr val="C00000"/>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Pivots2'!$B$116:$B$121</c:f>
              <c:strCache>
                <c:ptCount val="5"/>
                <c:pt idx="0">
                  <c:v>1. Concluído</c:v>
                </c:pt>
                <c:pt idx="1">
                  <c:v>6. Em implementação (re-especificação)</c:v>
                </c:pt>
                <c:pt idx="2">
                  <c:v>3. Pendente de outros desenvolvimentos</c:v>
                </c:pt>
                <c:pt idx="3">
                  <c:v>2.1 Em Teste</c:v>
                </c:pt>
                <c:pt idx="4">
                  <c:v>5. Em Correção</c:v>
                </c:pt>
              </c:strCache>
            </c:strRef>
          </c:cat>
          <c:val>
            <c:numRef>
              <c:f>'Aux - Pivots2'!$C$116:$C$121</c:f>
              <c:numCache>
                <c:formatCode>General</c:formatCode>
                <c:ptCount val="5"/>
                <c:pt idx="0">
                  <c:v>69</c:v>
                </c:pt>
                <c:pt idx="1">
                  <c:v>21</c:v>
                </c:pt>
                <c:pt idx="2">
                  <c:v>5</c:v>
                </c:pt>
                <c:pt idx="3">
                  <c:v>37</c:v>
                </c:pt>
                <c:pt idx="4">
                  <c:v>3</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trabalho_V3.4.xlsx]Aux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pt idx="2">
                  <c:v>1</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3.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16</xdr:row>
      <xdr:rowOff>0</xdr:rowOff>
    </xdr:from>
    <xdr:to>
      <xdr:col>6</xdr:col>
      <xdr:colOff>151318</xdr:colOff>
      <xdr:row>27</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17</xdr:row>
      <xdr:rowOff>56603</xdr:rowOff>
    </xdr:from>
    <xdr:to>
      <xdr:col>14</xdr:col>
      <xdr:colOff>631909</xdr:colOff>
      <xdr:row>17</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18</xdr:row>
      <xdr:rowOff>58238</xdr:rowOff>
    </xdr:from>
    <xdr:to>
      <xdr:col>14</xdr:col>
      <xdr:colOff>628099</xdr:colOff>
      <xdr:row>18</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19</xdr:row>
      <xdr:rowOff>56063</xdr:rowOff>
    </xdr:from>
    <xdr:to>
      <xdr:col>14</xdr:col>
      <xdr:colOff>628099</xdr:colOff>
      <xdr:row>19</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21</xdr:row>
      <xdr:rowOff>59332</xdr:rowOff>
    </xdr:from>
    <xdr:to>
      <xdr:col>14</xdr:col>
      <xdr:colOff>628099</xdr:colOff>
      <xdr:row>21</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23</xdr:row>
      <xdr:rowOff>58791</xdr:rowOff>
    </xdr:from>
    <xdr:to>
      <xdr:col>14</xdr:col>
      <xdr:colOff>628099</xdr:colOff>
      <xdr:row>23</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25</xdr:row>
      <xdr:rowOff>60155</xdr:rowOff>
    </xdr:from>
    <xdr:to>
      <xdr:col>14</xdr:col>
      <xdr:colOff>631909</xdr:colOff>
      <xdr:row>25</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24</xdr:row>
      <xdr:rowOff>58521</xdr:rowOff>
    </xdr:from>
    <xdr:to>
      <xdr:col>14</xdr:col>
      <xdr:colOff>628099</xdr:colOff>
      <xdr:row>24</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43</xdr:row>
      <xdr:rowOff>60414</xdr:rowOff>
    </xdr:from>
    <xdr:to>
      <xdr:col>14</xdr:col>
      <xdr:colOff>621111</xdr:colOff>
      <xdr:row>43</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44</xdr:row>
      <xdr:rowOff>56941</xdr:rowOff>
    </xdr:from>
    <xdr:to>
      <xdr:col>14</xdr:col>
      <xdr:colOff>624921</xdr:colOff>
      <xdr:row>44</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45</xdr:row>
      <xdr:rowOff>62994</xdr:rowOff>
    </xdr:from>
    <xdr:to>
      <xdr:col>14</xdr:col>
      <xdr:colOff>624921</xdr:colOff>
      <xdr:row>45</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47</xdr:row>
      <xdr:rowOff>66849</xdr:rowOff>
    </xdr:from>
    <xdr:to>
      <xdr:col>14</xdr:col>
      <xdr:colOff>625339</xdr:colOff>
      <xdr:row>47</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48</xdr:row>
      <xdr:rowOff>61051</xdr:rowOff>
    </xdr:from>
    <xdr:to>
      <xdr:col>14</xdr:col>
      <xdr:colOff>624921</xdr:colOff>
      <xdr:row>48</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49</xdr:row>
      <xdr:rowOff>63293</xdr:rowOff>
    </xdr:from>
    <xdr:to>
      <xdr:col>14</xdr:col>
      <xdr:colOff>624921</xdr:colOff>
      <xdr:row>49</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56346</xdr:rowOff>
    </xdr:from>
    <xdr:to>
      <xdr:col>14</xdr:col>
      <xdr:colOff>621111</xdr:colOff>
      <xdr:row>51</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50</xdr:row>
      <xdr:rowOff>63629</xdr:rowOff>
    </xdr:from>
    <xdr:to>
      <xdr:col>14</xdr:col>
      <xdr:colOff>624921</xdr:colOff>
      <xdr:row>50</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78</xdr:row>
      <xdr:rowOff>56604</xdr:rowOff>
    </xdr:from>
    <xdr:to>
      <xdr:col>14</xdr:col>
      <xdr:colOff>624919</xdr:colOff>
      <xdr:row>78</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79</xdr:row>
      <xdr:rowOff>58608</xdr:rowOff>
    </xdr:from>
    <xdr:to>
      <xdr:col>14</xdr:col>
      <xdr:colOff>628729</xdr:colOff>
      <xdr:row>79</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80</xdr:row>
      <xdr:rowOff>54897</xdr:rowOff>
    </xdr:from>
    <xdr:to>
      <xdr:col>14</xdr:col>
      <xdr:colOff>628729</xdr:colOff>
      <xdr:row>80</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82</xdr:row>
      <xdr:rowOff>63989</xdr:rowOff>
    </xdr:from>
    <xdr:to>
      <xdr:col>14</xdr:col>
      <xdr:colOff>625339</xdr:colOff>
      <xdr:row>82</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83</xdr:row>
      <xdr:rowOff>56048</xdr:rowOff>
    </xdr:from>
    <xdr:to>
      <xdr:col>14</xdr:col>
      <xdr:colOff>628729</xdr:colOff>
      <xdr:row>83</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84</xdr:row>
      <xdr:rowOff>56146</xdr:rowOff>
    </xdr:from>
    <xdr:to>
      <xdr:col>14</xdr:col>
      <xdr:colOff>628729</xdr:colOff>
      <xdr:row>84</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60156</xdr:rowOff>
    </xdr:from>
    <xdr:to>
      <xdr:col>14</xdr:col>
      <xdr:colOff>624919</xdr:colOff>
      <xdr:row>86</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85</xdr:row>
      <xdr:rowOff>54340</xdr:rowOff>
    </xdr:from>
    <xdr:to>
      <xdr:col>14</xdr:col>
      <xdr:colOff>628729</xdr:colOff>
      <xdr:row>85</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42</xdr:row>
      <xdr:rowOff>76535</xdr:rowOff>
    </xdr:from>
    <xdr:to>
      <xdr:col>14</xdr:col>
      <xdr:colOff>246753</xdr:colOff>
      <xdr:row>65</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41</xdr:row>
      <xdr:rowOff>95817</xdr:rowOff>
    </xdr:from>
    <xdr:to>
      <xdr:col>6</xdr:col>
      <xdr:colOff>67836</xdr:colOff>
      <xdr:row>54</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77</xdr:row>
      <xdr:rowOff>37660</xdr:rowOff>
    </xdr:from>
    <xdr:to>
      <xdr:col>14</xdr:col>
      <xdr:colOff>401732</xdr:colOff>
      <xdr:row>97</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72</xdr:row>
      <xdr:rowOff>111815</xdr:rowOff>
    </xdr:from>
    <xdr:to>
      <xdr:col>6</xdr:col>
      <xdr:colOff>22915</xdr:colOff>
      <xdr:row>94</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116</xdr:row>
      <xdr:rowOff>60414</xdr:rowOff>
    </xdr:from>
    <xdr:to>
      <xdr:col>14</xdr:col>
      <xdr:colOff>621111</xdr:colOff>
      <xdr:row>116</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117</xdr:row>
      <xdr:rowOff>57538</xdr:rowOff>
    </xdr:from>
    <xdr:to>
      <xdr:col>14</xdr:col>
      <xdr:colOff>621111</xdr:colOff>
      <xdr:row>117</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118</xdr:row>
      <xdr:rowOff>56118</xdr:rowOff>
    </xdr:from>
    <xdr:to>
      <xdr:col>14</xdr:col>
      <xdr:colOff>621111</xdr:colOff>
      <xdr:row>118</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119</xdr:row>
      <xdr:rowOff>60189</xdr:rowOff>
    </xdr:from>
    <xdr:to>
      <xdr:col>14</xdr:col>
      <xdr:colOff>632959</xdr:colOff>
      <xdr:row>119</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120</xdr:row>
      <xdr:rowOff>74234</xdr:rowOff>
    </xdr:from>
    <xdr:to>
      <xdr:col>14</xdr:col>
      <xdr:colOff>621111</xdr:colOff>
      <xdr:row>120</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121</xdr:row>
      <xdr:rowOff>74943</xdr:rowOff>
    </xdr:from>
    <xdr:to>
      <xdr:col>14</xdr:col>
      <xdr:colOff>621111</xdr:colOff>
      <xdr:row>121</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123</xdr:row>
      <xdr:rowOff>56346</xdr:rowOff>
    </xdr:from>
    <xdr:to>
      <xdr:col>14</xdr:col>
      <xdr:colOff>621111</xdr:colOff>
      <xdr:row>123</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122</xdr:row>
      <xdr:rowOff>92090</xdr:rowOff>
    </xdr:from>
    <xdr:to>
      <xdr:col>14</xdr:col>
      <xdr:colOff>621111</xdr:colOff>
      <xdr:row>122</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118</xdr:row>
      <xdr:rowOff>130394</xdr:rowOff>
    </xdr:from>
    <xdr:to>
      <xdr:col>14</xdr:col>
      <xdr:colOff>369793</xdr:colOff>
      <xdr:row>121</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114</xdr:row>
      <xdr:rowOff>78081</xdr:rowOff>
    </xdr:from>
    <xdr:to>
      <xdr:col>6</xdr:col>
      <xdr:colOff>327030</xdr:colOff>
      <xdr:row>126</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16</xdr:row>
      <xdr:rowOff>85830</xdr:rowOff>
    </xdr:from>
    <xdr:to>
      <xdr:col>14</xdr:col>
      <xdr:colOff>352159</xdr:colOff>
      <xdr:row>27</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20</xdr:row>
      <xdr:rowOff>53887</xdr:rowOff>
    </xdr:from>
    <xdr:to>
      <xdr:col>14</xdr:col>
      <xdr:colOff>628099</xdr:colOff>
      <xdr:row>20</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22</xdr:row>
      <xdr:rowOff>62872</xdr:rowOff>
    </xdr:from>
    <xdr:to>
      <xdr:col>14</xdr:col>
      <xdr:colOff>628099</xdr:colOff>
      <xdr:row>22</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46</xdr:row>
      <xdr:rowOff>59522</xdr:rowOff>
    </xdr:from>
    <xdr:to>
      <xdr:col>14</xdr:col>
      <xdr:colOff>634864</xdr:colOff>
      <xdr:row>46</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81</xdr:row>
      <xdr:rowOff>56900</xdr:rowOff>
    </xdr:from>
    <xdr:to>
      <xdr:col>14</xdr:col>
      <xdr:colOff>645244</xdr:colOff>
      <xdr:row>81</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982540</xdr:colOff>
      <xdr:row>1</xdr:row>
      <xdr:rowOff>0</xdr:rowOff>
    </xdr:from>
    <xdr:to>
      <xdr:col>3</xdr:col>
      <xdr:colOff>612497</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21433" y="204107"/>
          <a:ext cx="1140350" cy="411084"/>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49</xdr:col>
      <xdr:colOff>219075</xdr:colOff>
      <xdr:row>12</xdr:row>
      <xdr:rowOff>19050</xdr:rowOff>
    </xdr:from>
    <xdr:to>
      <xdr:col>49</xdr:col>
      <xdr:colOff>219075</xdr:colOff>
      <xdr:row>241</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4890075" y="1295400"/>
          <a:ext cx="0" cy="8782052"/>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625.322563888891" backgroundQuery="1" createdVersion="8" refreshedVersion="8" minRefreshableVersion="3" recordCount="0" supportSubquery="1" supportAdvancedDrill="1" xr:uid="{00000000-000A-0000-FFFF-FFFF3D000000}">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7" level="32767"/>
    <cacheField name="[Measures].[Max of Data de incidência / pedido esclarecimento 2]" caption="Max of Data de incidência / pedido esclarecimento 2" numFmtId="0" hierarchy="63" level="32767"/>
    <cacheField name="[Measures].[Max of Data de correção/resposta prevista]" caption="Max of Data de correção/resposta prevista" numFmtId="0" hierarchy="64" level="32767"/>
    <cacheField name="[Measures].[Max of Data de correção/resposta efetiva]" caption="Max of Data de correção/resposta efetiva" numFmtId="0" hierarchy="65"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625.322571643519" backgroundQuery="1" createdVersion="8" refreshedVersion="8" minRefreshableVersion="3" recordCount="0" supportSubquery="1" supportAdvancedDrill="1" xr:uid="{00000000-000A-0000-FFFF-FFFF40000000}">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59" level="32767"/>
    <cacheField name="[Table4].[Status Atual].[Status Atual]" caption="Status Atual" numFmtId="0" hierarchy="40" level="1">
      <sharedItems count="6">
        <s v="1. Concluído"/>
        <s v="2.1 Em Teste"/>
        <s v="3. Pendente de outros desenvolvimentos"/>
        <s v="5. Em Correção"/>
        <s v="6. Em implementação (re-especificação)"/>
        <s v="0. Cancelad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625.322574421298" backgroundQuery="1" createdVersion="8" refreshedVersion="8" minRefreshableVersion="3" recordCount="0" supportSubquery="1" supportAdvancedDrill="1" xr:uid="{00000000-000A-0000-FFFF-FFFF43000000}">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59" level="32767"/>
    <cacheField name="[Table4].[Status Atual].[Status Atual]" caption="Status Atual" numFmtId="0" hierarchy="40" level="1">
      <sharedItems count="6">
        <s v="0. Cancelado"/>
        <s v="1. Concluído"/>
        <s v="6. Em implementação (re-especificação)"/>
        <s v="2.1 Em Teste" u="1"/>
        <s v="4. Validação EF" u="1"/>
        <s v="3. Pendente de outros desenvolvimentos"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625.322576273145" backgroundQuery="1" createdVersion="8" refreshedVersion="8" minRefreshableVersion="3" recordCount="0" supportSubquery="1" supportAdvancedDrill="1" xr:uid="{00000000-000A-0000-FFFF-FFFF46000000}">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6">
        <s v="1. Concluído"/>
        <s v="2.1 Em Teste"/>
        <s v="3. Pendente de outros desenvolvimentos"/>
        <s v="5. Em Correção"/>
        <s v="6. Em implementação (re-especificação)"/>
        <s v="0. Cancelado" u="1"/>
      </sharedItems>
    </cacheField>
    <cacheField name="[Measures].[Count of Campo 4]" caption="Count of Campo 4" numFmtId="0" hierarchy="59"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625.322578009262" backgroundQuery="1" createdVersion="8" refreshedVersion="8" minRefreshableVersion="3" recordCount="0" supportSubquery="1" supportAdvancedDrill="1" xr:uid="{00000000-000A-0000-FFFF-FFFF49000000}">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6">
        <s v="0. Cancelado"/>
        <s v="1. Concluído"/>
        <s v="2.1 Em Teste"/>
        <s v="4. Validação EF"/>
        <s v="5. Em Correção"/>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625.32258078704" backgroundQuery="1" createdVersion="8" refreshedVersion="8" minRefreshableVersion="3" recordCount="0" supportSubquery="1" supportAdvancedDrill="1" xr:uid="{00000000-000A-0000-FFFF-FFFF4C000000}">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59" level="32767"/>
    <cacheField name="[Table4].[Status Atual].[Status Atual]" caption="Status Atual" numFmtId="0" hierarchy="40" level="1">
      <sharedItems count="6">
        <s v="0. Cancelado"/>
        <s v="1. Concluído"/>
        <s v="2.1 Em Teste"/>
        <s v="4. Validação EF"/>
        <s v="5. Em Correção"/>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625.322582291665" backgroundQuery="1" createdVersion="8" refreshedVersion="8" minRefreshableVersion="3" recordCount="0" supportSubquery="1" supportAdvancedDrill="1" xr:uid="{00000000-000A-0000-FFFF-FFFF4F000000}">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6. Em implementação (re-especificação)"/>
        <s v="2.1 Em Teste" u="1"/>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6000000}" name="PivotTable7"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B48:I6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14">
    <i>
      <x/>
    </i>
    <i>
      <x v="1"/>
    </i>
    <i>
      <x v="2"/>
    </i>
    <i>
      <x v="3"/>
    </i>
    <i>
      <x v="4"/>
    </i>
    <i>
      <x v="5"/>
    </i>
    <i>
      <x v="6"/>
    </i>
    <i>
      <x v="7"/>
    </i>
    <i>
      <x v="8"/>
    </i>
    <i>
      <x v="9"/>
    </i>
    <i>
      <x v="10"/>
    </i>
    <i>
      <x v="11"/>
    </i>
    <i>
      <x v="12"/>
    </i>
    <i t="grand">
      <x/>
    </i>
  </rowItems>
  <colFields count="1">
    <field x="5"/>
  </colFields>
  <colItems count="7">
    <i>
      <x/>
    </i>
    <i>
      <x v="1"/>
    </i>
    <i>
      <x v="2"/>
    </i>
    <i>
      <x v="3"/>
    </i>
    <i>
      <x v="4"/>
    </i>
    <i>
      <x v="5"/>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7">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5"/>
          </reference>
        </references>
      </pivotArea>
    </chartFormat>
    <chartFormat chart="3" format="49" series="1">
      <pivotArea type="data" outline="0" fieldPosition="0">
        <references count="2">
          <reference field="4294967294" count="1" selected="0">
            <x v="0"/>
          </reference>
          <reference field="5" count="1" selected="0">
            <x v="2"/>
          </reference>
        </references>
      </pivotArea>
    </chartFormat>
    <chartFormat chart="3" format="50" series="1">
      <pivotArea type="data" outline="0" fieldPosition="0">
        <references count="2">
          <reference field="4294967294" count="1" selected="0">
            <x v="0"/>
          </reference>
          <reference field="5" count="1" selected="0">
            <x v="3"/>
          </reference>
        </references>
      </pivotArea>
    </chartFormat>
    <chartFormat chart="3" format="51">
      <pivotArea type="data" outline="0" fieldPosition="0">
        <references count="3">
          <reference field="4294967294" count="1" selected="0">
            <x v="0"/>
          </reference>
          <reference field="3" count="1" selected="0">
            <x v="0"/>
          </reference>
          <reference field="5" count="1" selected="0">
            <x v="3"/>
          </reference>
        </references>
      </pivotArea>
    </chartFormat>
    <chartFormat chart="3" format="52" series="1">
      <pivotArea type="data" outline="0" fieldPosition="0">
        <references count="2">
          <reference field="4294967294" count="1" selected="0">
            <x v="0"/>
          </reference>
          <reference field="5"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5"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9">
  <location ref="B27:C3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4">
    <i>
      <x/>
    </i>
    <i>
      <x v="1"/>
    </i>
    <i>
      <x v="2"/>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6">
    <chartFormat chart="6" format="43">
      <pivotArea type="data" outline="0" fieldPosition="0">
        <references count="2">
          <reference field="4294967294" count="1" selected="0">
            <x v="0"/>
          </reference>
          <reference field="6" count="1" selected="0">
            <x v="1"/>
          </reference>
        </references>
      </pivotArea>
    </chartFormat>
    <chartFormat chart="6" format="44">
      <pivotArea type="data" outline="0" fieldPosition="0">
        <references count="2">
          <reference field="4294967294" count="1" selected="0">
            <x v="0"/>
          </reference>
          <reference field="6" count="1" selected="0">
            <x v="2"/>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4"/>
          </reference>
        </references>
      </pivotArea>
    </chartFormat>
    <chartFormat chart="6" format="48">
      <pivotArea type="data" outline="0" fieldPosition="0">
        <references count="2">
          <reference field="4294967294" count="1" selected="0">
            <x v="0"/>
          </reference>
          <reference field="6" count="1" selected="0">
            <x v="3"/>
          </reference>
        </references>
      </pivotArea>
    </chartFormat>
  </chartFormats>
  <pivotHierarchies count="70">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9"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B94:H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9">
    <i>
      <x/>
    </i>
    <i>
      <x v="1"/>
    </i>
    <i>
      <x v="2"/>
    </i>
    <i>
      <x v="3"/>
    </i>
    <i>
      <x v="4"/>
    </i>
    <i>
      <x v="5"/>
    </i>
    <i>
      <x v="6"/>
    </i>
    <i>
      <x v="7"/>
    </i>
    <i t="grand">
      <x/>
    </i>
  </rowItems>
  <colFields count="1">
    <field x="5"/>
  </colFields>
  <colItems count="6">
    <i>
      <x/>
    </i>
    <i>
      <x v="1"/>
    </i>
    <i>
      <x v="2"/>
    </i>
    <i>
      <x v="3"/>
    </i>
    <i>
      <x v="4"/>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0">
    <chartFormat chart="7" format="22" series="1">
      <pivotArea type="data" outline="0" fieldPosition="0">
        <references count="2">
          <reference field="4294967294" count="1" selected="0">
            <x v="0"/>
          </reference>
          <reference field="5" count="1" selected="0">
            <x v="0"/>
          </reference>
        </references>
      </pivotArea>
    </chartFormat>
    <chartFormat chart="7" format="25" series="1">
      <pivotArea type="data" outline="0" fieldPosition="0">
        <references count="2">
          <reference field="4294967294" count="1" selected="0">
            <x v="0"/>
          </reference>
          <reference field="5" count="1" selected="0">
            <x v="4"/>
          </reference>
        </references>
      </pivotArea>
    </chartFormat>
    <chartFormat chart="7" format="26">
      <pivotArea type="data" outline="0" fieldPosition="0">
        <references count="3">
          <reference field="4294967294" count="1" selected="0">
            <x v="0"/>
          </reference>
          <reference field="3" count="1" selected="0">
            <x v="0"/>
          </reference>
          <reference field="5" count="1" selected="0">
            <x v="4"/>
          </reference>
        </references>
      </pivotArea>
    </chartFormat>
    <chartFormat chart="7" format="28" series="1">
      <pivotArea type="data" outline="0" fieldPosition="0">
        <references count="2">
          <reference field="4294967294" count="1" selected="0">
            <x v="0"/>
          </reference>
          <reference field="5" count="1" selected="0">
            <x v="2"/>
          </reference>
        </references>
      </pivotArea>
    </chartFormat>
    <chartFormat chart="7" format="33" series="1">
      <pivotArea type="data" outline="0" fieldPosition="0">
        <references count="2">
          <reference field="4294967294" count="1" selected="0">
            <x v="0"/>
          </reference>
          <reference field="5" count="1" selected="0">
            <x v="5"/>
          </reference>
        </references>
      </pivotArea>
    </chartFormat>
    <chartFormat chart="7" format="35">
      <pivotArea type="data" outline="0" fieldPosition="0">
        <references count="3">
          <reference field="4294967294" count="1" selected="0">
            <x v="0"/>
          </reference>
          <reference field="3" count="1" selected="0">
            <x v="0"/>
          </reference>
          <reference field="5" count="1" selected="0">
            <x v="5"/>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 chart="7" format="42" series="1">
      <pivotArea type="data" outline="0" fieldPosition="0">
        <references count="2">
          <reference field="4294967294" count="1" selected="0">
            <x v="0"/>
          </reference>
          <reference field="5" count="1" selected="0">
            <x v="3"/>
          </reference>
        </references>
      </pivotArea>
    </chartFormat>
    <chartFormat chart="7" format="43">
      <pivotArea type="data" outline="0" fieldPosition="0">
        <references count="3">
          <reference field="4294967294" count="1" selected="0">
            <x v="0"/>
          </reference>
          <reference field="3" count="1" selected="0">
            <x v="0"/>
          </reference>
          <reference field="5"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1"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B9:F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0">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 chart="6" format="22">
      <pivotArea type="data" outline="0" fieldPosition="0">
        <references count="3">
          <reference field="4294967294" count="1" selected="0">
            <x v="0"/>
          </reference>
          <reference field="3" count="1" selected="0">
            <x v="1"/>
          </reference>
          <reference field="5" count="1" selected="0">
            <x v="2"/>
          </reference>
        </references>
      </pivotArea>
    </chartFormat>
    <chartFormat chart="6" format="23" series="1">
      <pivotArea type="data" outline="0" fieldPosition="0">
        <references count="2">
          <reference field="4294967294" count="1" selected="0">
            <x v="0"/>
          </reference>
          <reference field="5" count="1" selected="0">
            <x v="3"/>
          </reference>
        </references>
      </pivotArea>
    </chartFormat>
    <chartFormat chart="6" format="24">
      <pivotArea type="data" outline="0" fieldPosition="0">
        <references count="3">
          <reference field="4294967294" count="1" selected="0">
            <x v="0"/>
          </reference>
          <reference field="3" count="1" selected="0">
            <x v="1"/>
          </reference>
          <reference field="5" count="1" selected="0">
            <x v="3"/>
          </reference>
        </references>
      </pivotArea>
    </chartFormat>
    <chartFormat chart="6" format="25" series="1">
      <pivotArea type="data" outline="0" fieldPosition="0">
        <references count="2">
          <reference field="4294967294" count="1" selected="0">
            <x v="0"/>
          </reference>
          <reference field="5" count="1" selected="0">
            <x v="4"/>
          </reference>
        </references>
      </pivotArea>
    </chartFormat>
    <chartFormat chart="6" format="26">
      <pivotArea type="data" outline="0" fieldPosition="0">
        <references count="3">
          <reference field="4294967294" count="1" selected="0">
            <x v="0"/>
          </reference>
          <reference field="3" count="1" selected="0">
            <x v="1"/>
          </reference>
          <reference field="5"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10"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B115:C12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0"/>
        <item x="4"/>
        <item x="2"/>
        <item x="5"/>
        <item x="1"/>
        <item x="3"/>
      </items>
    </pivotField>
    <pivotField dataField="1" subtotalTop="0" showAll="0" defaultSubtotal="0"/>
  </pivotFields>
  <rowFields count="1">
    <field x="3"/>
  </rowFields>
  <rowItems count="6">
    <i>
      <x/>
    </i>
    <i>
      <x v="1"/>
    </i>
    <i>
      <x v="2"/>
    </i>
    <i>
      <x v="4"/>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5">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3"/>
          </reference>
        </references>
      </pivotArea>
    </chartFormat>
    <chartFormat chart="6" format="28">
      <pivotArea type="data" outline="0" fieldPosition="0">
        <references count="2">
          <reference field="4294967294" count="1" selected="0">
            <x v="0"/>
          </reference>
          <reference field="3" count="1" selected="0">
            <x v="4"/>
          </reference>
        </references>
      </pivotArea>
    </chartFormat>
    <chartFormat chart="6" format="29">
      <pivotArea type="data" outline="0" fieldPosition="0">
        <references count="2">
          <reference field="4294967294" count="1" selected="0">
            <x v="0"/>
          </reference>
          <reference field="3" count="1" selected="0">
            <x v="5"/>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8"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B72:C79"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4"/>
  </rowFields>
  <rowItems count="7">
    <i>
      <x/>
    </i>
    <i>
      <x v="1"/>
    </i>
    <i>
      <x v="2"/>
    </i>
    <i>
      <x v="3"/>
    </i>
    <i>
      <x v="4"/>
    </i>
    <i>
      <x v="5"/>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7">
    <chartFormat chart="6" format="35">
      <pivotArea type="data" outline="0" fieldPosition="0">
        <references count="2">
          <reference field="4294967294" count="1" selected="0">
            <x v="0"/>
          </reference>
          <reference field="4" count="1" selected="0">
            <x v="1"/>
          </reference>
        </references>
      </pivotArea>
    </chartFormat>
    <chartFormat chart="6" format="39">
      <pivotArea type="data" outline="0" fieldPosition="0">
        <references count="2">
          <reference field="4294967294" count="1" selected="0">
            <x v="0"/>
          </reference>
          <reference field="4" count="1" selected="0">
            <x v="5"/>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2"/>
          </reference>
        </references>
      </pivotArea>
    </chartFormat>
    <chartFormat chart="6" format="43">
      <pivotArea type="data" outline="0" fieldPosition="0">
        <references count="2">
          <reference field="4294967294" count="1" selected="0">
            <x v="0"/>
          </reference>
          <reference field="4" count="1" selected="0">
            <x v="3"/>
          </reference>
        </references>
      </pivotArea>
    </chartFormat>
    <chartFormat chart="6" format="44">
      <pivotArea type="data" outline="0" fieldPosition="0">
        <references count="2">
          <reference field="4294967294" count="1" selected="0">
            <x v="0"/>
          </reference>
          <reference field="4"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B6:N574" totalsRowShown="0" headerRowDxfId="199" tableBorderDxfId="198">
  <autoFilter ref="B6:N574" xr:uid="{00000000-0009-0000-0100-000004000000}">
    <filterColumn colId="1">
      <filters>
        <filter val="Pilar III"/>
      </filters>
    </filterColumn>
    <filterColumn colId="3">
      <filters>
        <filter val="lt004_protection"/>
      </filters>
    </filterColumn>
    <filterColumn colId="4">
      <filters>
        <filter val="typ_prtctn"/>
      </filters>
    </filterColumn>
  </autoFilter>
  <tableColumns count="13">
    <tableColumn id="1" xr3:uid="{00000000-0010-0000-0000-000001000000}" name="Âmbito" dataDxfId="197"/>
    <tableColumn id="2" xr3:uid="{00000000-0010-0000-0000-000002000000}" name="Sub-âmbito" dataDxfId="196"/>
    <tableColumn id="3" xr3:uid="{00000000-0010-0000-0000-000003000000}" name="Tipo de teste" dataDxfId="195"/>
    <tableColumn id="4" xr3:uid="{00000000-0010-0000-0000-000004000000}" name="Tabela" dataDxfId="194"/>
    <tableColumn id="5" xr3:uid="{00000000-0010-0000-0000-000005000000}" name="Campo" dataDxfId="193"/>
    <tableColumn id="6" xr3:uid="{00000000-0010-0000-0000-000006000000}" name="Status Atual" dataDxfId="192"/>
    <tableColumn id="7" xr3:uid="{00000000-0010-0000-0000-000007000000}" name="Status Anterior" dataDxfId="191"/>
    <tableColumn id="8" xr3:uid="{00000000-0010-0000-0000-000008000000}" name="Observações" dataDxfId="190"/>
    <tableColumn id="9" xr3:uid="{00000000-0010-0000-0000-000009000000}" name="Data de Pedido correção/esclarecimento" dataDxfId="189">
      <calculatedColumnFormula>IF(VLOOKUP(A7,'Aux - pivots1'!$A:$E,3,0)=0, "",VLOOKUP(A7,'Aux - pivots1'!$A:$E,3,0))</calculatedColumnFormula>
    </tableColumn>
    <tableColumn id="10" xr3:uid="{00000000-0010-0000-0000-00000A000000}" name="Data de correção prevista" dataDxfId="188">
      <calculatedColumnFormula>IF(VLOOKUP(A7,'Aux - pivots1'!$A:$E,4,0)=0, "",VLOOKUP(A7,'Aux - pivots1'!$A:$E,4,0))</calculatedColumnFormula>
    </tableColumn>
    <tableColumn id="11" xr3:uid="{00000000-0010-0000-0000-00000B000000}" name="Data de correção efetiva" dataDxfId="187">
      <calculatedColumnFormula>IF(VLOOKUP(A7,'Aux - pivots1'!$A:$E,5,0)=0, "",VLOOKUP(A7,'Aux - pivots1'!$A:$E,5,0))</calculatedColumnFormula>
    </tableColumn>
    <tableColumn id="12" xr3:uid="{00000000-0010-0000-0000-00000C000000}" name="Data Prevista de Re-especificação" dataDxfId="186"/>
    <tableColumn id="13" xr3:uid="{00000000-0010-0000-0000-00000D000000}" name="Data Prevista de Teste" dataDxfId="18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8:X1320" headerRowDxfId="184" dataDxfId="182" totalsRowDxfId="180" headerRowBorderDxfId="183" tableBorderDxfId="181" totalsRowBorderDxfId="179">
  <autoFilter ref="B8:X1320" xr:uid="{00000000-0009-0000-0100-000001000000}"/>
  <tableColumns count="23">
    <tableColumn id="1" xr3:uid="{00000000-0010-0000-0100-000001000000}" name="Âmbito" dataDxfId="178" totalsRowDxfId="177"/>
    <tableColumn id="12" xr3:uid="{00000000-0010-0000-0100-00000C000000}" name="Sub-âmbito" dataDxfId="176" totalsRowDxfId="175"/>
    <tableColumn id="2" xr3:uid="{00000000-0010-0000-0100-000002000000}" name="Origem" dataDxfId="174" totalsRowDxfId="173"/>
    <tableColumn id="18" xr3:uid="{00000000-0010-0000-0100-000012000000}" name="Campo Origem" dataDxfId="172" totalsRowDxfId="171"/>
    <tableColumn id="5" xr3:uid="{00000000-0010-0000-0100-000005000000}" name="Tabela" dataDxfId="170" totalsRowDxfId="169"/>
    <tableColumn id="3" xr3:uid="{00000000-0010-0000-0100-000003000000}" name="Campo" dataDxfId="168" totalsRowDxfId="167"/>
    <tableColumn id="20" xr3:uid="{00000000-0010-0000-0100-000014000000}" name="concat" dataDxfId="166" totalsRowDxfId="165">
      <calculatedColumnFormula>Table1[[#This Row],[Tabela]]&amp;Table1[[#This Row],[Campo]]</calculatedColumnFormula>
    </tableColumn>
    <tableColumn id="4" xr3:uid="{00000000-0010-0000-0100-000004000000}" name="Status" dataDxfId="164" totalsRowDxfId="163"/>
    <tableColumn id="19" xr3:uid="{00000000-0010-0000-0100-000013000000}" name="Status2" dataDxfId="162">
      <calculatedColumnFormula>VLOOKUP(Table1[[#This Row],[Status]],Auxiliar!$B$16:$C$24,2,0)</calculatedColumnFormula>
    </tableColumn>
    <tableColumn id="6" xr3:uid="{00000000-0010-0000-0100-000006000000}" name="Tipologia_Testes" dataDxfId="161" totalsRowDxfId="160"/>
    <tableColumn id="10" xr3:uid="{00000000-0010-0000-0100-00000A000000}" name="Necessidade de re-especificação? (campo)" dataDxfId="159" totalsRowDxfId="158"/>
    <tableColumn id="9" xr3:uid="{00000000-0010-0000-0100-000009000000}" name="Complexidade" dataDxfId="157" totalsRowDxfId="156"/>
    <tableColumn id="17" xr3:uid="{00000000-0010-0000-0100-000011000000}" name="Data de Alteração Status" dataDxfId="155" totalsRowDxfId="154"/>
    <tableColumn id="8" xr3:uid="{00000000-0010-0000-0100-000008000000}" name="Estimação (horas)" totalsRowFunction="custom" dataDxfId="153" totalsRowDxfId="152">
      <calculatedColumnFormula>INDEX(Auxiliar!$D$5:$F$11,MATCH(Table1[[#This Row],[Tipologia_Testes]],Auxiliar!$B$5:$B$11,0),MATCH(Table1[[#This Row],[Complexidade]],Auxiliar!$D$4:$F$4,0))</calculatedColumnFormula>
      <totalsRowFormula>SUMIF(Table1[Estimação (horas)],"&gt;0")</totalsRowFormula>
    </tableColumn>
    <tableColumn id="7" xr3:uid="{00000000-0010-0000-0100-000007000000}" name="Notas" dataDxfId="151" totalsRowDxfId="150"/>
    <tableColumn id="11" xr3:uid="{00000000-0010-0000-0100-00000B000000}" name="Owner" dataDxfId="149" totalsRowDxfId="148"/>
    <tableColumn id="21" xr3:uid="{00000000-0010-0000-0100-000015000000}" name="Data alteração especificação" dataDxfId="147" totalsRowDxfId="146"/>
    <tableColumn id="13" xr3:uid="{00000000-0010-0000-0100-00000D000000}" name="Data de inicio testes" dataDxfId="145" totalsRowDxfId="144"/>
    <tableColumn id="14" xr3:uid="{00000000-0010-0000-0100-00000E000000}" name="Data de incidência / pedido esclarecimento" dataDxfId="143" totalsRowDxfId="142"/>
    <tableColumn id="15" xr3:uid="{00000000-0010-0000-0100-00000F000000}" name="Data de correção/resposta prevista" dataDxfId="141" totalsRowDxfId="140"/>
    <tableColumn id="22" xr3:uid="{00000000-0010-0000-0100-000016000000}" name="Data de correção/resposta efetiva" dataDxfId="139" totalsRowDxfId="138"/>
    <tableColumn id="23" xr3:uid="{00000000-0010-0000-0100-000017000000}" name="Horas efetivas" dataDxfId="137" totalsRowDxfId="136">
      <calculatedColumnFormula>VLOOKUP(Table1[[#This Row],[Status]],Auxiliar!$B$16:$D$24,3,0)*Table1[[#This Row],[Estimação (horas)]]</calculatedColumnFormula>
    </tableColumn>
    <tableColumn id="16" xr3:uid="{00000000-0010-0000-0100-000010000000}" name="Query" dataDxfId="135" totalsRowDxfId="134"/>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6.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FL639"/>
  <sheetViews>
    <sheetView showGridLines="0" zoomScale="70" zoomScaleNormal="70"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x14ac:dyDescent="0.45"/>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x14ac:dyDescent="0.45">
      <c r="AF1" s="118"/>
    </row>
    <row r="2" spans="1:168" s="26" customFormat="1" x14ac:dyDescent="0.45"/>
    <row r="3" spans="1:168" s="26" customFormat="1" x14ac:dyDescent="0.45"/>
    <row r="4" spans="1:168" s="26" customFormat="1" ht="4.95" customHeight="1" x14ac:dyDescent="0.45">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x14ac:dyDescent="0.45">
      <c r="M5" s="91"/>
    </row>
    <row r="6" spans="1:168" hidden="1" x14ac:dyDescent="0.45">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x14ac:dyDescent="0.45">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x14ac:dyDescent="0.45"/>
    <row r="9" spans="1:168" hidden="1" x14ac:dyDescent="0.45"/>
    <row r="10" spans="1:168" hidden="1" x14ac:dyDescent="0.45">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x14ac:dyDescent="0.45">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x14ac:dyDescent="0.45">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x14ac:dyDescent="0.25">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x14ac:dyDescent="0.45">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x14ac:dyDescent="0.45">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x14ac:dyDescent="0.45">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x14ac:dyDescent="0.45">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x14ac:dyDescent="0.45">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x14ac:dyDescent="0.45">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x14ac:dyDescent="0.45">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x14ac:dyDescent="0.45">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x14ac:dyDescent="0.45">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x14ac:dyDescent="0.45">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x14ac:dyDescent="0.45">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x14ac:dyDescent="0.45">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x14ac:dyDescent="0.45">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x14ac:dyDescent="0.45">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x14ac:dyDescent="0.45">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x14ac:dyDescent="0.45">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x14ac:dyDescent="0.45">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x14ac:dyDescent="0.45">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x14ac:dyDescent="0.45">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x14ac:dyDescent="0.45">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x14ac:dyDescent="0.45">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x14ac:dyDescent="0.45">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x14ac:dyDescent="0.45">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x14ac:dyDescent="0.45">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x14ac:dyDescent="0.45">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x14ac:dyDescent="0.45">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x14ac:dyDescent="0.45">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x14ac:dyDescent="0.45">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x14ac:dyDescent="0.45">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x14ac:dyDescent="0.45">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x14ac:dyDescent="0.45">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x14ac:dyDescent="0.45">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x14ac:dyDescent="0.45">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x14ac:dyDescent="0.45">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x14ac:dyDescent="0.45">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x14ac:dyDescent="0.45">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x14ac:dyDescent="0.45">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x14ac:dyDescent="0.45">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x14ac:dyDescent="0.45">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x14ac:dyDescent="0.45">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x14ac:dyDescent="0.45">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x14ac:dyDescent="0.45">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x14ac:dyDescent="0.45">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x14ac:dyDescent="0.45">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x14ac:dyDescent="0.45">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x14ac:dyDescent="0.45">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x14ac:dyDescent="0.45">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x14ac:dyDescent="0.45">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x14ac:dyDescent="0.45">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x14ac:dyDescent="0.45">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x14ac:dyDescent="0.45">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x14ac:dyDescent="0.45">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x14ac:dyDescent="0.45">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x14ac:dyDescent="0.45">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x14ac:dyDescent="0.45">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x14ac:dyDescent="0.45">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x14ac:dyDescent="0.45">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x14ac:dyDescent="0.45">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x14ac:dyDescent="0.45">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x14ac:dyDescent="0.45">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x14ac:dyDescent="0.45">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x14ac:dyDescent="0.45">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x14ac:dyDescent="0.45">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x14ac:dyDescent="0.45">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x14ac:dyDescent="0.45">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x14ac:dyDescent="0.45">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x14ac:dyDescent="0.45">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x14ac:dyDescent="0.45">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x14ac:dyDescent="0.45">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x14ac:dyDescent="0.45">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x14ac:dyDescent="0.45">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x14ac:dyDescent="0.45">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x14ac:dyDescent="0.45">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x14ac:dyDescent="0.45">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x14ac:dyDescent="0.45">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x14ac:dyDescent="0.45">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x14ac:dyDescent="0.45">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x14ac:dyDescent="0.45">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x14ac:dyDescent="0.45">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x14ac:dyDescent="0.45">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x14ac:dyDescent="0.45">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x14ac:dyDescent="0.45">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x14ac:dyDescent="0.45">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x14ac:dyDescent="0.45">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x14ac:dyDescent="0.45">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x14ac:dyDescent="0.45">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x14ac:dyDescent="0.45">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x14ac:dyDescent="0.45">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x14ac:dyDescent="0.45">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x14ac:dyDescent="0.45">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x14ac:dyDescent="0.45">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x14ac:dyDescent="0.45">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x14ac:dyDescent="0.45">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x14ac:dyDescent="0.45">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x14ac:dyDescent="0.45">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x14ac:dyDescent="0.45">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x14ac:dyDescent="0.45">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x14ac:dyDescent="0.45">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x14ac:dyDescent="0.45">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x14ac:dyDescent="0.45">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x14ac:dyDescent="0.45">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x14ac:dyDescent="0.45">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x14ac:dyDescent="0.45">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x14ac:dyDescent="0.45">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x14ac:dyDescent="0.45">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x14ac:dyDescent="0.45">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x14ac:dyDescent="0.45">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x14ac:dyDescent="0.45">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x14ac:dyDescent="0.45">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x14ac:dyDescent="0.45">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x14ac:dyDescent="0.45">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x14ac:dyDescent="0.45">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x14ac:dyDescent="0.45">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x14ac:dyDescent="0.45">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x14ac:dyDescent="0.45">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x14ac:dyDescent="0.45">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x14ac:dyDescent="0.45">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x14ac:dyDescent="0.45">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x14ac:dyDescent="0.45">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x14ac:dyDescent="0.45">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x14ac:dyDescent="0.45">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x14ac:dyDescent="0.45">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x14ac:dyDescent="0.45">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x14ac:dyDescent="0.45">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x14ac:dyDescent="0.45">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x14ac:dyDescent="0.45">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x14ac:dyDescent="0.45">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x14ac:dyDescent="0.45">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x14ac:dyDescent="0.45">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x14ac:dyDescent="0.45">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x14ac:dyDescent="0.45">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x14ac:dyDescent="0.45">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x14ac:dyDescent="0.45">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x14ac:dyDescent="0.45">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x14ac:dyDescent="0.45">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x14ac:dyDescent="0.45">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x14ac:dyDescent="0.45">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x14ac:dyDescent="0.45">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x14ac:dyDescent="0.45">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x14ac:dyDescent="0.45">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x14ac:dyDescent="0.45">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x14ac:dyDescent="0.45">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x14ac:dyDescent="0.45">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x14ac:dyDescent="0.45">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x14ac:dyDescent="0.45">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x14ac:dyDescent="0.45">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x14ac:dyDescent="0.45">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x14ac:dyDescent="0.45">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x14ac:dyDescent="0.45">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x14ac:dyDescent="0.45">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x14ac:dyDescent="0.45">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x14ac:dyDescent="0.45">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x14ac:dyDescent="0.45">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x14ac:dyDescent="0.45">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x14ac:dyDescent="0.45">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x14ac:dyDescent="0.45">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x14ac:dyDescent="0.45">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x14ac:dyDescent="0.45">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x14ac:dyDescent="0.45">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x14ac:dyDescent="0.45">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x14ac:dyDescent="0.45">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x14ac:dyDescent="0.45">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x14ac:dyDescent="0.45">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x14ac:dyDescent="0.45">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x14ac:dyDescent="0.45">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x14ac:dyDescent="0.45">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x14ac:dyDescent="0.45">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x14ac:dyDescent="0.45">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x14ac:dyDescent="0.45">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x14ac:dyDescent="0.45">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x14ac:dyDescent="0.45">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x14ac:dyDescent="0.45">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x14ac:dyDescent="0.45">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x14ac:dyDescent="0.45">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x14ac:dyDescent="0.45">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x14ac:dyDescent="0.45">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x14ac:dyDescent="0.45">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x14ac:dyDescent="0.45">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x14ac:dyDescent="0.45">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x14ac:dyDescent="0.45">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x14ac:dyDescent="0.45">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x14ac:dyDescent="0.45">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x14ac:dyDescent="0.45">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x14ac:dyDescent="0.45">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x14ac:dyDescent="0.45">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x14ac:dyDescent="0.45">
      <c r="A199" s="30" t="str">
        <f t="shared" si="22"/>
        <v>modesg_param_sfcs_taxon_europeian.a.</v>
      </c>
      <c r="B199" s="68" t="s">
        <v>26</v>
      </c>
      <c r="C199" s="69" t="s">
        <v>181</v>
      </c>
      <c r="D199" s="65" t="s">
        <v>36</v>
      </c>
      <c r="E199" s="67" t="s">
        <v>182</v>
      </c>
      <c r="F199" s="65" t="s">
        <v>38</v>
      </c>
      <c r="G199" s="65" t="str">
        <f>INDEX(Auxiliar!$B$16:$B$24,MATCH(Plano_V1!H199,Auxiliar!$C$16:$C$24,0),1)</f>
        <v>1. Concluído</v>
      </c>
      <c r="H199" s="65">
        <f>VLOOKUP(A199,'Aux - pivots1'!$A:$B,2,0)</f>
        <v>1</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x14ac:dyDescent="0.45">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x14ac:dyDescent="0.45">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x14ac:dyDescent="0.45">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x14ac:dyDescent="0.45">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x14ac:dyDescent="0.45">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x14ac:dyDescent="0.45">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x14ac:dyDescent="0.45">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x14ac:dyDescent="0.45">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x14ac:dyDescent="0.45">
      <c r="A208" s="30" t="str">
        <f t="shared" si="22"/>
        <v>modesg_param_sfcs_taxon_europeiacod_regra</v>
      </c>
      <c r="B208" s="68" t="s">
        <v>26</v>
      </c>
      <c r="C208" s="69" t="s">
        <v>181</v>
      </c>
      <c r="D208" s="65" t="s">
        <v>40</v>
      </c>
      <c r="E208" s="67" t="s">
        <v>182</v>
      </c>
      <c r="F208" s="65" t="s">
        <v>191</v>
      </c>
      <c r="G208" s="65" t="str">
        <f>INDEX(Auxiliar!$B$16:$B$24,MATCH(Plano_V1!H208,Auxiliar!$C$16:$C$24,0),1)</f>
        <v>1. Concluído</v>
      </c>
      <c r="H208" s="65">
        <f>VLOOKUP(A208,'Aux - pivots1'!$A:$B,2,0)</f>
        <v>1</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x14ac:dyDescent="0.45">
      <c r="A209" s="30" t="str">
        <f t="shared" si="22"/>
        <v>modesg_param_sfcs_taxon_europeiacomite</v>
      </c>
      <c r="B209" s="68" t="s">
        <v>26</v>
      </c>
      <c r="C209" s="69" t="s">
        <v>181</v>
      </c>
      <c r="D209" s="65" t="s">
        <v>40</v>
      </c>
      <c r="E209" s="67" t="s">
        <v>182</v>
      </c>
      <c r="F209" s="65" t="s">
        <v>192</v>
      </c>
      <c r="G209" s="65" t="str">
        <f>INDEX(Auxiliar!$B$16:$B$24,MATCH(Plano_V1!H209,Auxiliar!$C$16:$C$24,0),1)</f>
        <v>1. Concluído</v>
      </c>
      <c r="H209" s="65">
        <f>VLOOKUP(A209,'Aux - pivots1'!$A:$B,2,0)</f>
        <v>1</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x14ac:dyDescent="0.45">
      <c r="A210" s="30" t="str">
        <f t="shared" si="22"/>
        <v>modesg_param_sfcs_taxon_europeiadata_aprvc</v>
      </c>
      <c r="B210" s="68" t="s">
        <v>26</v>
      </c>
      <c r="C210" s="69" t="s">
        <v>181</v>
      </c>
      <c r="D210" s="65" t="s">
        <v>40</v>
      </c>
      <c r="E210" s="67" t="s">
        <v>182</v>
      </c>
      <c r="F210" s="65" t="s">
        <v>193</v>
      </c>
      <c r="G210" s="65" t="str">
        <f>INDEX(Auxiliar!$B$16:$B$24,MATCH(Plano_V1!H210,Auxiliar!$C$16:$C$24,0),1)</f>
        <v>1. Concluído</v>
      </c>
      <c r="H210" s="65">
        <f>VLOOKUP(A210,'Aux - pivots1'!$A:$B,2,0)</f>
        <v>1</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x14ac:dyDescent="0.45">
      <c r="A211" s="30" t="str">
        <f t="shared" si="22"/>
        <v>modesg_param_sfcs_taxon_europeiadata_final</v>
      </c>
      <c r="B211" s="68" t="s">
        <v>26</v>
      </c>
      <c r="C211" s="69" t="s">
        <v>181</v>
      </c>
      <c r="D211" s="65" t="s">
        <v>40</v>
      </c>
      <c r="E211" s="67" t="s">
        <v>182</v>
      </c>
      <c r="F211" s="65" t="s">
        <v>194</v>
      </c>
      <c r="G211" s="65" t="str">
        <f>INDEX(Auxiliar!$B$16:$B$24,MATCH(Plano_V1!H211,Auxiliar!$C$16:$C$24,0),1)</f>
        <v>1. Concluído</v>
      </c>
      <c r="H211" s="65">
        <f>VLOOKUP(A211,'Aux - pivots1'!$A:$B,2,0)</f>
        <v>1</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x14ac:dyDescent="0.45">
      <c r="A212" s="30" t="str">
        <f t="shared" si="22"/>
        <v>modesg_param_sfcs_taxon_europeiadata_inicial</v>
      </c>
      <c r="B212" s="68" t="s">
        <v>26</v>
      </c>
      <c r="C212" s="69" t="s">
        <v>181</v>
      </c>
      <c r="D212" s="65" t="s">
        <v>40</v>
      </c>
      <c r="E212" s="67" t="s">
        <v>182</v>
      </c>
      <c r="F212" s="65" t="s">
        <v>195</v>
      </c>
      <c r="G212" s="65" t="str">
        <f>INDEX(Auxiliar!$B$16:$B$24,MATCH(Plano_V1!H212,Auxiliar!$C$16:$C$24,0),1)</f>
        <v>1. Concluído</v>
      </c>
      <c r="H212" s="65">
        <f>VLOOKUP(A212,'Aux - pivots1'!$A:$B,2,0)</f>
        <v>1</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x14ac:dyDescent="0.45">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x14ac:dyDescent="0.45">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x14ac:dyDescent="0.45">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x14ac:dyDescent="0.45">
      <c r="A216" s="30" t="str">
        <f t="shared" si="22"/>
        <v>modesg_param_sfcs_taxon_europeiaflag_project_finance</v>
      </c>
      <c r="B216" s="68" t="s">
        <v>26</v>
      </c>
      <c r="C216" s="69" t="s">
        <v>181</v>
      </c>
      <c r="D216" s="65" t="s">
        <v>40</v>
      </c>
      <c r="E216" s="67" t="s">
        <v>182</v>
      </c>
      <c r="F216" s="65" t="s">
        <v>199</v>
      </c>
      <c r="G216" s="65" t="str">
        <f>INDEX(Auxiliar!$B$16:$B$24,MATCH(Plano_V1!H216,Auxiliar!$C$16:$C$24,0),1)</f>
        <v>1. Concluído</v>
      </c>
      <c r="H216" s="65">
        <f>VLOOKUP(A216,'Aux - pivots1'!$A:$B,2,0)</f>
        <v>1</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x14ac:dyDescent="0.45">
      <c r="A217" s="30" t="str">
        <f t="shared" si="22"/>
        <v>modesg_param_sfcs_taxon_europeiacfinalidad</v>
      </c>
      <c r="B217" s="68" t="s">
        <v>26</v>
      </c>
      <c r="C217" s="69" t="s">
        <v>181</v>
      </c>
      <c r="D217" s="65" t="s">
        <v>40</v>
      </c>
      <c r="E217" s="67" t="s">
        <v>182</v>
      </c>
      <c r="F217" s="65" t="s">
        <v>200</v>
      </c>
      <c r="G217" s="65" t="str">
        <f>INDEX(Auxiliar!$B$16:$B$24,MATCH(Plano_V1!H217,Auxiliar!$C$16:$C$24,0),1)</f>
        <v>1. Concluído</v>
      </c>
      <c r="H217" s="65">
        <f>VLOOKUP(A217,'Aux - pivots1'!$A:$B,2,0)</f>
        <v>1</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x14ac:dyDescent="0.45">
      <c r="A218" s="30" t="str">
        <f t="shared" si="22"/>
        <v>modesg_param_sfcs_taxon_europeiatipo_combust</v>
      </c>
      <c r="B218" s="68" t="s">
        <v>26</v>
      </c>
      <c r="C218" s="69" t="s">
        <v>181</v>
      </c>
      <c r="D218" s="65" t="s">
        <v>40</v>
      </c>
      <c r="E218" s="67" t="s">
        <v>182</v>
      </c>
      <c r="F218" s="65" t="s">
        <v>201</v>
      </c>
      <c r="G218" s="65" t="str">
        <f>INDEX(Auxiliar!$B$16:$B$24,MATCH(Plano_V1!H218,Auxiliar!$C$16:$C$24,0),1)</f>
        <v>1. Concluído</v>
      </c>
      <c r="H218" s="65">
        <f>VLOOKUP(A218,'Aux - pivots1'!$A:$B,2,0)</f>
        <v>1</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x14ac:dyDescent="0.45">
      <c r="A219" s="30" t="str">
        <f t="shared" si="22"/>
        <v>modesg_param_sfcs_taxon_europeiamontante_pndrc</v>
      </c>
      <c r="B219" s="68" t="s">
        <v>26</v>
      </c>
      <c r="C219" s="69" t="s">
        <v>181</v>
      </c>
      <c r="D219" s="65" t="s">
        <v>40</v>
      </c>
      <c r="E219" s="67" t="s">
        <v>182</v>
      </c>
      <c r="F219" s="65" t="s">
        <v>202</v>
      </c>
      <c r="G219" s="65" t="str">
        <f>INDEX(Auxiliar!$B$16:$B$24,MATCH(Plano_V1!H219,Auxiliar!$C$16:$C$24,0),1)</f>
        <v>1. Concluído</v>
      </c>
      <c r="H219" s="65">
        <f>VLOOKUP(A219,'Aux - pivots1'!$A:$B,2,0)</f>
        <v>1</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x14ac:dyDescent="0.45">
      <c r="A220" s="30" t="str">
        <f t="shared" si="22"/>
        <v>modesg_param_sfcs_taxon_europeianome_ctgr_sfcs</v>
      </c>
      <c r="B220" s="68" t="s">
        <v>26</v>
      </c>
      <c r="C220" s="69" t="s">
        <v>181</v>
      </c>
      <c r="D220" s="65" t="s">
        <v>40</v>
      </c>
      <c r="E220" s="67" t="s">
        <v>182</v>
      </c>
      <c r="F220" s="65" t="s">
        <v>203</v>
      </c>
      <c r="G220" s="65" t="str">
        <f>INDEX(Auxiliar!$B$16:$B$24,MATCH(Plano_V1!H220,Auxiliar!$C$16:$C$24,0),1)</f>
        <v>4. Validação EF</v>
      </c>
      <c r="H220" s="65">
        <f>VLOOKUP(A220,'Aux - pivots1'!$A:$B,2,0)</f>
        <v>5</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x14ac:dyDescent="0.45">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1. Concluído</v>
      </c>
      <c r="H221" s="65">
        <f>VLOOKUP(A221,'Aux - pivots1'!$A:$B,2,0)</f>
        <v>1</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x14ac:dyDescent="0.45">
      <c r="A222" s="30" t="str">
        <f t="shared" si="26"/>
        <v>modesg_param_sfcs_taxon_europeianome_purpose_esg</v>
      </c>
      <c r="B222" s="68" t="s">
        <v>26</v>
      </c>
      <c r="C222" s="69" t="s">
        <v>181</v>
      </c>
      <c r="D222" s="65" t="s">
        <v>40</v>
      </c>
      <c r="E222" s="67" t="s">
        <v>182</v>
      </c>
      <c r="F222" s="65" t="s">
        <v>205</v>
      </c>
      <c r="G222" s="65" t="str">
        <f>INDEX(Auxiliar!$B$16:$B$24,MATCH(Plano_V1!H222,Auxiliar!$C$16:$C$24,0),1)</f>
        <v>1. Concluído</v>
      </c>
      <c r="H222" s="65">
        <f>VLOOKUP(A222,'Aux - pivots1'!$A:$B,2,0)</f>
        <v>1</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x14ac:dyDescent="0.45">
      <c r="A223" s="30" t="str">
        <f t="shared" si="26"/>
        <v>modesg_param_sfcs_taxon_europeianome_specific_eligible</v>
      </c>
      <c r="B223" s="68" t="s">
        <v>26</v>
      </c>
      <c r="C223" s="69" t="s">
        <v>181</v>
      </c>
      <c r="D223" s="65" t="s">
        <v>40</v>
      </c>
      <c r="E223" s="67" t="s">
        <v>182</v>
      </c>
      <c r="F223" s="65" t="s">
        <v>206</v>
      </c>
      <c r="G223" s="65" t="str">
        <f>INDEX(Auxiliar!$B$16:$B$24,MATCH(Plano_V1!H223,Auxiliar!$C$16:$C$24,0),1)</f>
        <v>1. Concluído</v>
      </c>
      <c r="H223" s="65">
        <f>VLOOKUP(A223,'Aux - pivots1'!$A:$B,2,0)</f>
        <v>1</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x14ac:dyDescent="0.45">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1. Concluído</v>
      </c>
      <c r="H224" s="65">
        <f>VLOOKUP(A224,'Aux - pivots1'!$A:$B,2,0)</f>
        <v>1</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x14ac:dyDescent="0.45">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x14ac:dyDescent="0.45">
      <c r="A226" s="30" t="str">
        <f t="shared" si="26"/>
        <v>modesg_param_sfcs_taxon_europeiazcliente</v>
      </c>
      <c r="B226" s="68" t="s">
        <v>26</v>
      </c>
      <c r="C226" s="69" t="s">
        <v>181</v>
      </c>
      <c r="D226" s="65" t="s">
        <v>40</v>
      </c>
      <c r="E226" s="67" t="s">
        <v>182</v>
      </c>
      <c r="F226" s="65" t="s">
        <v>209</v>
      </c>
      <c r="G226" s="65" t="str">
        <f>INDEX(Auxiliar!$B$16:$B$24,MATCH(Plano_V1!H226,Auxiliar!$C$16:$C$24,0),1)</f>
        <v>1. Concluído</v>
      </c>
      <c r="H226" s="65">
        <f>VLOOKUP(A226,'Aux - pivots1'!$A:$B,2,0)</f>
        <v>1</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x14ac:dyDescent="0.45">
      <c r="A227" s="30" t="str">
        <f t="shared" si="26"/>
        <v>modesg_param_sfcs_taxon_europeiazdeposit</v>
      </c>
      <c r="B227" s="68" t="s">
        <v>26</v>
      </c>
      <c r="C227" s="69" t="s">
        <v>181</v>
      </c>
      <c r="D227" s="65" t="s">
        <v>40</v>
      </c>
      <c r="E227" s="67" t="s">
        <v>182</v>
      </c>
      <c r="F227" s="65" t="s">
        <v>210</v>
      </c>
      <c r="G227" s="65" t="str">
        <f>INDEX(Auxiliar!$B$16:$B$24,MATCH(Plano_V1!H227,Auxiliar!$C$16:$C$24,0),1)</f>
        <v>1. Concluído</v>
      </c>
      <c r="H227" s="65">
        <f>VLOOKUP(A227,'Aux - pivots1'!$A:$B,2,0)</f>
        <v>1</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x14ac:dyDescent="0.45">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x14ac:dyDescent="0.45">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x14ac:dyDescent="0.45">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x14ac:dyDescent="0.45">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x14ac:dyDescent="0.45">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x14ac:dyDescent="0.45">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x14ac:dyDescent="0.45">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x14ac:dyDescent="0.45">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x14ac:dyDescent="0.45">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x14ac:dyDescent="0.45">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x14ac:dyDescent="0.45">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x14ac:dyDescent="0.45">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x14ac:dyDescent="0.45">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x14ac:dyDescent="0.45">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x14ac:dyDescent="0.45">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x14ac:dyDescent="0.45">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x14ac:dyDescent="0.45">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x14ac:dyDescent="0.45">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x14ac:dyDescent="0.45">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x14ac:dyDescent="0.45">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x14ac:dyDescent="0.45">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x14ac:dyDescent="0.45">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x14ac:dyDescent="0.45">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x14ac:dyDescent="0.45">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x14ac:dyDescent="0.45">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x14ac:dyDescent="0.45">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x14ac:dyDescent="0.45">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x14ac:dyDescent="0.45">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x14ac:dyDescent="0.45">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x14ac:dyDescent="0.45">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x14ac:dyDescent="0.45">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x14ac:dyDescent="0.45">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x14ac:dyDescent="0.45">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x14ac:dyDescent="0.45">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x14ac:dyDescent="0.45">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x14ac:dyDescent="0.45">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x14ac:dyDescent="0.45">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x14ac:dyDescent="0.45">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x14ac:dyDescent="0.45">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x14ac:dyDescent="0.45">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x14ac:dyDescent="0.45">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x14ac:dyDescent="0.45">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x14ac:dyDescent="0.45">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x14ac:dyDescent="0.45">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x14ac:dyDescent="0.45">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x14ac:dyDescent="0.45">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x14ac:dyDescent="0.45">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x14ac:dyDescent="0.45">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x14ac:dyDescent="0.45">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x14ac:dyDescent="0.45">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x14ac:dyDescent="0.45">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x14ac:dyDescent="0.45">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x14ac:dyDescent="0.45">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x14ac:dyDescent="0.45">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x14ac:dyDescent="0.45">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x14ac:dyDescent="0.45">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x14ac:dyDescent="0.45">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x14ac:dyDescent="0.45">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x14ac:dyDescent="0.45">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x14ac:dyDescent="0.45">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x14ac:dyDescent="0.45">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x14ac:dyDescent="0.45">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x14ac:dyDescent="0.45">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x14ac:dyDescent="0.45">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x14ac:dyDescent="0.45">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x14ac:dyDescent="0.45">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x14ac:dyDescent="0.45">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x14ac:dyDescent="0.45">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x14ac:dyDescent="0.45">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x14ac:dyDescent="0.45">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x14ac:dyDescent="0.45">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x14ac:dyDescent="0.45">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x14ac:dyDescent="0.45">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x14ac:dyDescent="0.45">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x14ac:dyDescent="0.45">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x14ac:dyDescent="0.45">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x14ac:dyDescent="0.45">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x14ac:dyDescent="0.45">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x14ac:dyDescent="0.45">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x14ac:dyDescent="0.45">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x14ac:dyDescent="0.45">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x14ac:dyDescent="0.45">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x14ac:dyDescent="0.45">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x14ac:dyDescent="0.45">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x14ac:dyDescent="0.45">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x14ac:dyDescent="0.45">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x14ac:dyDescent="0.45">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x14ac:dyDescent="0.45">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x14ac:dyDescent="0.45">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x14ac:dyDescent="0.45">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x14ac:dyDescent="0.45">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x14ac:dyDescent="0.45">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x14ac:dyDescent="0.45">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x14ac:dyDescent="0.45">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x14ac:dyDescent="0.45">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x14ac:dyDescent="0.45">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x14ac:dyDescent="0.45">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x14ac:dyDescent="0.45">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x14ac:dyDescent="0.45">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x14ac:dyDescent="0.45">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x14ac:dyDescent="0.45">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x14ac:dyDescent="0.45">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x14ac:dyDescent="0.45">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x14ac:dyDescent="0.45">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x14ac:dyDescent="0.45">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x14ac:dyDescent="0.45">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x14ac:dyDescent="0.45">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x14ac:dyDescent="0.45">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x14ac:dyDescent="0.45">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x14ac:dyDescent="0.45">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x14ac:dyDescent="0.45">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x14ac:dyDescent="0.45">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x14ac:dyDescent="0.45">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x14ac:dyDescent="0.45">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x14ac:dyDescent="0.45">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x14ac:dyDescent="0.45">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x14ac:dyDescent="0.45">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x14ac:dyDescent="0.45">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x14ac:dyDescent="0.45">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x14ac:dyDescent="0.45">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x14ac:dyDescent="0.45">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x14ac:dyDescent="0.45">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x14ac:dyDescent="0.45">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x14ac:dyDescent="0.45">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x14ac:dyDescent="0.45">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x14ac:dyDescent="0.45">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x14ac:dyDescent="0.45">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x14ac:dyDescent="0.45">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x14ac:dyDescent="0.45">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x14ac:dyDescent="0.45">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x14ac:dyDescent="0.45">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x14ac:dyDescent="0.45">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x14ac:dyDescent="0.45">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x14ac:dyDescent="0.45">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x14ac:dyDescent="0.45">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x14ac:dyDescent="0.45">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x14ac:dyDescent="0.45">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x14ac:dyDescent="0.45">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x14ac:dyDescent="0.45">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x14ac:dyDescent="0.45">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x14ac:dyDescent="0.45">
      <c r="A368" s="30" t="str">
        <f t="shared" si="32"/>
        <v>modesg_out_bens_imoveisflg_rsc_fsc_agd</v>
      </c>
      <c r="B368" s="68" t="s">
        <v>26</v>
      </c>
      <c r="C368" s="69" t="s">
        <v>311</v>
      </c>
      <c r="D368" s="65" t="s">
        <v>40</v>
      </c>
      <c r="E368" s="67" t="s">
        <v>312</v>
      </c>
      <c r="F368" s="65" t="s">
        <v>283</v>
      </c>
      <c r="G368" s="65" t="str">
        <f>INDEX(Auxiliar!$B$16:$B$24,MATCH(Plano_V1!H368,Auxiliar!$C$16:$C$24,0),1)</f>
        <v>6. Em implementação (re-especificação)</v>
      </c>
      <c r="H368" s="65">
        <f>VLOOKUP(A368,'Aux - pivots1'!$A:$B,2,0)</f>
        <v>7</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x14ac:dyDescent="0.45">
      <c r="A369" s="30" t="str">
        <f t="shared" si="32"/>
        <v>modesg_out_bens_imoveisflg_rsc_fsc_crnc</v>
      </c>
      <c r="B369" s="68" t="s">
        <v>26</v>
      </c>
      <c r="C369" s="69" t="s">
        <v>311</v>
      </c>
      <c r="D369" s="65" t="s">
        <v>40</v>
      </c>
      <c r="E369" s="67" t="s">
        <v>312</v>
      </c>
      <c r="F369" s="65" t="s">
        <v>284</v>
      </c>
      <c r="G369" s="65" t="str">
        <f>INDEX(Auxiliar!$B$16:$B$24,MATCH(Plano_V1!H369,Auxiliar!$C$16:$C$24,0),1)</f>
        <v>6. Em implementação (re-especificação)</v>
      </c>
      <c r="H369" s="65">
        <f>VLOOKUP(A369,'Aux - pivots1'!$A:$B,2,0)</f>
        <v>7</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x14ac:dyDescent="0.45">
      <c r="A370" s="30" t="str">
        <f t="shared" si="32"/>
        <v>modesg_out_bens_imoveisorigem_flg_rsc_fsc_agd</v>
      </c>
      <c r="B370" s="68" t="s">
        <v>26</v>
      </c>
      <c r="C370" s="69" t="s">
        <v>311</v>
      </c>
      <c r="D370" s="65" t="s">
        <v>40</v>
      </c>
      <c r="E370" s="67" t="s">
        <v>312</v>
      </c>
      <c r="F370" s="65" t="s">
        <v>318</v>
      </c>
      <c r="G370" s="65" t="str">
        <f>INDEX(Auxiliar!$B$16:$B$24,MATCH(Plano_V1!H370,Auxiliar!$C$16:$C$24,0),1)</f>
        <v>6. Em implementação (re-especificação)</v>
      </c>
      <c r="H370" s="65">
        <f>VLOOKUP(A370,'Aux - pivots1'!$A:$B,2,0)</f>
        <v>7</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x14ac:dyDescent="0.45">
      <c r="A371" s="30" t="str">
        <f t="shared" si="32"/>
        <v>modesg_out_bens_imoveisorigem_flg_rsc_fsc_crnc</v>
      </c>
      <c r="B371" s="68" t="s">
        <v>26</v>
      </c>
      <c r="C371" s="69" t="s">
        <v>311</v>
      </c>
      <c r="D371" s="65" t="s">
        <v>40</v>
      </c>
      <c r="E371" s="67" t="s">
        <v>312</v>
      </c>
      <c r="F371" s="65" t="s">
        <v>319</v>
      </c>
      <c r="G371" s="65" t="str">
        <f>INDEX(Auxiliar!$B$16:$B$24,MATCH(Plano_V1!H371,Auxiliar!$C$16:$C$24,0),1)</f>
        <v>6. Em implementação (re-especificação)</v>
      </c>
      <c r="H371" s="65">
        <f>VLOOKUP(A371,'Aux - pivots1'!$A:$B,2,0)</f>
        <v>7</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x14ac:dyDescent="0.45">
      <c r="A372" s="30" t="str">
        <f t="shared" si="32"/>
        <v>modesg_out_bens_imoveisorigem_scp1_emss</v>
      </c>
      <c r="B372" s="68" t="s">
        <v>26</v>
      </c>
      <c r="C372" s="69" t="s">
        <v>311</v>
      </c>
      <c r="D372" s="65" t="s">
        <v>40</v>
      </c>
      <c r="E372" s="67" t="s">
        <v>312</v>
      </c>
      <c r="F372" s="65" t="s">
        <v>320</v>
      </c>
      <c r="G372" s="65" t="str">
        <f>INDEX(Auxiliar!$B$16:$B$24,MATCH(Plano_V1!H372,Auxiliar!$C$16:$C$24,0),1)</f>
        <v>1. Concluído</v>
      </c>
      <c r="H372" s="65">
        <f>VLOOKUP(A372,'Aux - pivots1'!$A:$B,2,0)</f>
        <v>1</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x14ac:dyDescent="0.45">
      <c r="A373" s="30" t="str">
        <f t="shared" si="32"/>
        <v>modesg_out_bens_imoveisorigem_scp2_emss</v>
      </c>
      <c r="B373" s="68" t="s">
        <v>26</v>
      </c>
      <c r="C373" s="69" t="s">
        <v>311</v>
      </c>
      <c r="D373" s="65" t="s">
        <v>40</v>
      </c>
      <c r="E373" s="67" t="s">
        <v>312</v>
      </c>
      <c r="F373" s="65" t="s">
        <v>321</v>
      </c>
      <c r="G373" s="65" t="str">
        <f>INDEX(Auxiliar!$B$16:$B$24,MATCH(Plano_V1!H373,Auxiliar!$C$16:$C$24,0),1)</f>
        <v>1. Concluído</v>
      </c>
      <c r="H373" s="65">
        <f>VLOOKUP(A373,'Aux - pivots1'!$A:$B,2,0)</f>
        <v>1</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x14ac:dyDescent="0.45">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x14ac:dyDescent="0.45">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x14ac:dyDescent="0.45">
      <c r="A376" s="30" t="str">
        <f t="shared" si="32"/>
        <v>modesg_out_bens_imoveisscp1_emss</v>
      </c>
      <c r="B376" s="68" t="s">
        <v>26</v>
      </c>
      <c r="C376" s="69" t="s">
        <v>311</v>
      </c>
      <c r="D376" s="65" t="s">
        <v>40</v>
      </c>
      <c r="E376" s="67" t="s">
        <v>312</v>
      </c>
      <c r="F376" s="65" t="s">
        <v>286</v>
      </c>
      <c r="G376" s="65" t="str">
        <f>INDEX(Auxiliar!$B$16:$B$24,MATCH(Plano_V1!H376,Auxiliar!$C$16:$C$24,0),1)</f>
        <v>1. Concluído</v>
      </c>
      <c r="H376" s="65">
        <f>VLOOKUP(A376,'Aux - pivots1'!$A:$B,2,0)</f>
        <v>1</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x14ac:dyDescent="0.45">
      <c r="A377" s="30" t="str">
        <f t="shared" si="32"/>
        <v>modesg_out_bens_imoveisscp2_emss</v>
      </c>
      <c r="B377" s="68" t="s">
        <v>26</v>
      </c>
      <c r="C377" s="69" t="s">
        <v>311</v>
      </c>
      <c r="D377" s="65" t="s">
        <v>40</v>
      </c>
      <c r="E377" s="67" t="s">
        <v>312</v>
      </c>
      <c r="F377" s="65" t="s">
        <v>287</v>
      </c>
      <c r="G377" s="65" t="str">
        <f>INDEX(Auxiliar!$B$16:$B$24,MATCH(Plano_V1!H377,Auxiliar!$C$16:$C$24,0),1)</f>
        <v>1. Concluído</v>
      </c>
      <c r="H377" s="65">
        <f>VLOOKUP(A377,'Aux - pivots1'!$A:$B,2,0)</f>
        <v>1</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x14ac:dyDescent="0.45">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x14ac:dyDescent="0.45">
      <c r="A379" s="30" t="str">
        <f t="shared" si="32"/>
        <v>modesg_out_bens_imoveisunidade_funcional_scp1_emss</v>
      </c>
      <c r="B379" s="68" t="s">
        <v>26</v>
      </c>
      <c r="C379" s="69" t="s">
        <v>311</v>
      </c>
      <c r="D379" s="65" t="s">
        <v>40</v>
      </c>
      <c r="E379" s="67" t="s">
        <v>312</v>
      </c>
      <c r="F379" s="65" t="s">
        <v>323</v>
      </c>
      <c r="G379" s="65" t="str">
        <f>INDEX(Auxiliar!$B$16:$B$24,MATCH(Plano_V1!H379,Auxiliar!$C$16:$C$24,0),1)</f>
        <v>1. Concluído</v>
      </c>
      <c r="H379" s="65">
        <f>VLOOKUP(A379,'Aux - pivots1'!$A:$B,2,0)</f>
        <v>1</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x14ac:dyDescent="0.45">
      <c r="A380" s="30" t="str">
        <f t="shared" si="32"/>
        <v>modesg_out_bens_imoveisunidade_funcional_scp2_emss</v>
      </c>
      <c r="B380" s="68" t="s">
        <v>26</v>
      </c>
      <c r="C380" s="69" t="s">
        <v>311</v>
      </c>
      <c r="D380" s="65" t="s">
        <v>40</v>
      </c>
      <c r="E380" s="67" t="s">
        <v>312</v>
      </c>
      <c r="F380" s="65" t="s">
        <v>324</v>
      </c>
      <c r="G380" s="65" t="str">
        <f>INDEX(Auxiliar!$B$16:$B$24,MATCH(Plano_V1!H380,Auxiliar!$C$16:$C$24,0),1)</f>
        <v>1. Concluído</v>
      </c>
      <c r="H380" s="65">
        <f>VLOOKUP(A380,'Aux - pivots1'!$A:$B,2,0)</f>
        <v>1</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x14ac:dyDescent="0.45">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x14ac:dyDescent="0.45">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x14ac:dyDescent="0.45">
      <c r="A383" s="30" t="str">
        <f t="shared" si="32"/>
        <v>modesg_out_empr_info_nfincca_capex_enblng_algnd</v>
      </c>
      <c r="B383" s="68" t="s">
        <v>26</v>
      </c>
      <c r="C383" s="69" t="s">
        <v>311</v>
      </c>
      <c r="D383" s="65" t="s">
        <v>40</v>
      </c>
      <c r="E383" s="67" t="s">
        <v>326</v>
      </c>
      <c r="F383" s="65" t="s">
        <v>250</v>
      </c>
      <c r="G383" s="65" t="str">
        <f>INDEX(Auxiliar!$B$16:$B$24,MATCH(Plano_V1!H383,Auxiliar!$C$16:$C$24,0),1)</f>
        <v>2.1 Em Teste</v>
      </c>
      <c r="H383" s="65">
        <f>VLOOKUP(A383,'Aux - pivots1'!$A:$B,2,0)</f>
        <v>2</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x14ac:dyDescent="0.45">
      <c r="A384" s="30" t="str">
        <f t="shared" si="32"/>
        <v>modesg_out_empr_info_nfincca_capex_own_prfrmnce_algnd</v>
      </c>
      <c r="B384" s="68" t="s">
        <v>26</v>
      </c>
      <c r="C384" s="69" t="s">
        <v>311</v>
      </c>
      <c r="D384" s="65" t="s">
        <v>40</v>
      </c>
      <c r="E384" s="67" t="s">
        <v>326</v>
      </c>
      <c r="F384" s="65" t="s">
        <v>251</v>
      </c>
      <c r="G384" s="65" t="str">
        <f>INDEX(Auxiliar!$B$16:$B$24,MATCH(Plano_V1!H384,Auxiliar!$C$16:$C$24,0),1)</f>
        <v>2.1 Em Teste</v>
      </c>
      <c r="H384" s="65">
        <f>VLOOKUP(A384,'Aux - pivots1'!$A:$B,2,0)</f>
        <v>2</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x14ac:dyDescent="0.45">
      <c r="A385" s="30" t="str">
        <f t="shared" si="32"/>
        <v>modesg_out_empr_info_nfincca_capex_ttl_elgbl</v>
      </c>
      <c r="B385" s="68" t="s">
        <v>26</v>
      </c>
      <c r="C385" s="69" t="s">
        <v>311</v>
      </c>
      <c r="D385" s="65" t="s">
        <v>40</v>
      </c>
      <c r="E385" s="67" t="s">
        <v>326</v>
      </c>
      <c r="F385" s="65" t="s">
        <v>249</v>
      </c>
      <c r="G385" s="65" t="str">
        <f>INDEX(Auxiliar!$B$16:$B$24,MATCH(Plano_V1!H385,Auxiliar!$C$16:$C$24,0),1)</f>
        <v>2.1 Em Teste</v>
      </c>
      <c r="H385" s="65">
        <f>VLOOKUP(A385,'Aux - pivots1'!$A:$B,2,0)</f>
        <v>2</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x14ac:dyDescent="0.45">
      <c r="A386" s="30" t="str">
        <f t="shared" si="32"/>
        <v>modesg_out_empr_info_nfincca_trnvr_enblng_alignd</v>
      </c>
      <c r="B386" s="68" t="s">
        <v>26</v>
      </c>
      <c r="C386" s="69" t="s">
        <v>311</v>
      </c>
      <c r="D386" s="65" t="s">
        <v>40</v>
      </c>
      <c r="E386" s="67" t="s">
        <v>326</v>
      </c>
      <c r="F386" s="65" t="s">
        <v>247</v>
      </c>
      <c r="G386" s="65" t="str">
        <f>INDEX(Auxiliar!$B$16:$B$24,MATCH(Plano_V1!H386,Auxiliar!$C$16:$C$24,0),1)</f>
        <v>2.1 Em Teste</v>
      </c>
      <c r="H386" s="65">
        <f>VLOOKUP(A386,'Aux - pivots1'!$A:$B,2,0)</f>
        <v>2</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x14ac:dyDescent="0.45">
      <c r="A387" s="30" t="str">
        <f t="shared" si="32"/>
        <v>modesg_out_empr_info_nfincca_trnvr_ttl_elgbl</v>
      </c>
      <c r="B387" s="68" t="s">
        <v>26</v>
      </c>
      <c r="C387" s="69" t="s">
        <v>311</v>
      </c>
      <c r="D387" s="65" t="s">
        <v>40</v>
      </c>
      <c r="E387" s="67" t="s">
        <v>326</v>
      </c>
      <c r="F387" s="65" t="s">
        <v>246</v>
      </c>
      <c r="G387" s="65" t="str">
        <f>INDEX(Auxiliar!$B$16:$B$24,MATCH(Plano_V1!H387,Auxiliar!$C$16:$C$24,0),1)</f>
        <v>2.1 Em Teste</v>
      </c>
      <c r="H387" s="65">
        <f>VLOOKUP(A387,'Aux - pivots1'!$A:$B,2,0)</f>
        <v>2</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x14ac:dyDescent="0.45">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2.1 Em Teste</v>
      </c>
      <c r="H388" s="65">
        <f>VLOOKUP(A388,'Aux - pivots1'!$A:$B,2,0)</f>
        <v>2</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x14ac:dyDescent="0.45">
      <c r="A389" s="30" t="str">
        <f t="shared" si="32"/>
        <v>modesg_out_empr_info_nfinccm_capex_enblng_algnd</v>
      </c>
      <c r="B389" s="68" t="s">
        <v>26</v>
      </c>
      <c r="C389" s="69" t="s">
        <v>311</v>
      </c>
      <c r="D389" s="65" t="s">
        <v>40</v>
      </c>
      <c r="E389" s="67" t="s">
        <v>326</v>
      </c>
      <c r="F389" s="65" t="s">
        <v>257</v>
      </c>
      <c r="G389" s="65" t="str">
        <f>INDEX(Auxiliar!$B$16:$B$24,MATCH(Plano_V1!H389,Auxiliar!$C$16:$C$24,0),1)</f>
        <v>2.1 Em Teste</v>
      </c>
      <c r="H389" s="65">
        <f>VLOOKUP(A389,'Aux - pivots1'!$A:$B,2,0)</f>
        <v>2</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x14ac:dyDescent="0.45">
      <c r="A390" s="30" t="str">
        <f t="shared" si="32"/>
        <v>modesg_out_empr_info_nfinccm_capex_own_prfrmnce_algnd</v>
      </c>
      <c r="B390" s="68" t="s">
        <v>26</v>
      </c>
      <c r="C390" s="69" t="s">
        <v>311</v>
      </c>
      <c r="D390" s="65" t="s">
        <v>40</v>
      </c>
      <c r="E390" s="67" t="s">
        <v>326</v>
      </c>
      <c r="F390" s="65" t="s">
        <v>259</v>
      </c>
      <c r="G390" s="65" t="str">
        <f>INDEX(Auxiliar!$B$16:$B$24,MATCH(Plano_V1!H390,Auxiliar!$C$16:$C$24,0),1)</f>
        <v>2.1 Em Teste</v>
      </c>
      <c r="H390" s="65">
        <f>VLOOKUP(A390,'Aux - pivots1'!$A:$B,2,0)</f>
        <v>2</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x14ac:dyDescent="0.45">
      <c r="A391" s="30" t="str">
        <f t="shared" si="32"/>
        <v>modesg_out_empr_info_nfinccm_capex_trnstn_algnd</v>
      </c>
      <c r="B391" s="68" t="s">
        <v>26</v>
      </c>
      <c r="C391" s="69" t="s">
        <v>311</v>
      </c>
      <c r="D391" s="65" t="s">
        <v>40</v>
      </c>
      <c r="E391" s="67" t="s">
        <v>326</v>
      </c>
      <c r="F391" s="65" t="s">
        <v>258</v>
      </c>
      <c r="G391" s="65" t="str">
        <f>INDEX(Auxiliar!$B$16:$B$24,MATCH(Plano_V1!H391,Auxiliar!$C$16:$C$24,0),1)</f>
        <v>2.1 Em Teste</v>
      </c>
      <c r="H391" s="65">
        <f>VLOOKUP(A391,'Aux - pivots1'!$A:$B,2,0)</f>
        <v>2</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x14ac:dyDescent="0.45">
      <c r="A392" s="30" t="str">
        <f t="shared" si="32"/>
        <v>modesg_out_empr_info_nfinccm_capex_ttl_elgbl</v>
      </c>
      <c r="B392" s="68" t="s">
        <v>26</v>
      </c>
      <c r="C392" s="69" t="s">
        <v>311</v>
      </c>
      <c r="D392" s="65" t="s">
        <v>40</v>
      </c>
      <c r="E392" s="67" t="s">
        <v>326</v>
      </c>
      <c r="F392" s="65" t="s">
        <v>256</v>
      </c>
      <c r="G392" s="65" t="str">
        <f>INDEX(Auxiliar!$B$16:$B$24,MATCH(Plano_V1!H392,Auxiliar!$C$16:$C$24,0),1)</f>
        <v>2.1 Em Teste</v>
      </c>
      <c r="H392" s="65">
        <f>VLOOKUP(A392,'Aux - pivots1'!$A:$B,2,0)</f>
        <v>2</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x14ac:dyDescent="0.45">
      <c r="A393" s="30" t="str">
        <f t="shared" si="32"/>
        <v>modesg_out_empr_info_nfinccm_trnvr_enblng_algnd</v>
      </c>
      <c r="B393" s="68" t="s">
        <v>26</v>
      </c>
      <c r="C393" s="69" t="s">
        <v>311</v>
      </c>
      <c r="D393" s="65" t="s">
        <v>40</v>
      </c>
      <c r="E393" s="67" t="s">
        <v>326</v>
      </c>
      <c r="F393" s="65" t="s">
        <v>253</v>
      </c>
      <c r="G393" s="65" t="str">
        <f>INDEX(Auxiliar!$B$16:$B$24,MATCH(Plano_V1!H393,Auxiliar!$C$16:$C$24,0),1)</f>
        <v>2.1 Em Teste</v>
      </c>
      <c r="H393" s="65">
        <f>VLOOKUP(A393,'Aux - pivots1'!$A:$B,2,0)</f>
        <v>2</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x14ac:dyDescent="0.45">
      <c r="A394" s="30" t="str">
        <f t="shared" si="32"/>
        <v>modesg_out_empr_info_nfinccm_trnvr_own_prfrmnce_algnd</v>
      </c>
      <c r="B394" s="68" t="s">
        <v>26</v>
      </c>
      <c r="C394" s="69" t="s">
        <v>311</v>
      </c>
      <c r="D394" s="65" t="s">
        <v>40</v>
      </c>
      <c r="E394" s="67" t="s">
        <v>326</v>
      </c>
      <c r="F394" s="65" t="s">
        <v>255</v>
      </c>
      <c r="G394" s="65" t="str">
        <f>INDEX(Auxiliar!$B$16:$B$24,MATCH(Plano_V1!H394,Auxiliar!$C$16:$C$24,0),1)</f>
        <v>2.1 Em Teste</v>
      </c>
      <c r="H394" s="65">
        <f>VLOOKUP(A394,'Aux - pivots1'!$A:$B,2,0)</f>
        <v>2</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x14ac:dyDescent="0.45">
      <c r="A395" s="30" t="str">
        <f t="shared" si="32"/>
        <v>modesg_out_empr_info_nfinccm_trnvr_trnstn_alignd</v>
      </c>
      <c r="B395" s="68" t="s">
        <v>26</v>
      </c>
      <c r="C395" s="69" t="s">
        <v>311</v>
      </c>
      <c r="D395" s="65" t="s">
        <v>40</v>
      </c>
      <c r="E395" s="67" t="s">
        <v>326</v>
      </c>
      <c r="F395" s="65" t="s">
        <v>254</v>
      </c>
      <c r="G395" s="65" t="str">
        <f>INDEX(Auxiliar!$B$16:$B$24,MATCH(Plano_V1!H395,Auxiliar!$C$16:$C$24,0),1)</f>
        <v>2.1 Em Teste</v>
      </c>
      <c r="H395" s="65">
        <f>VLOOKUP(A395,'Aux - pivots1'!$A:$B,2,0)</f>
        <v>2</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x14ac:dyDescent="0.45">
      <c r="A396" s="30" t="str">
        <f t="shared" si="32"/>
        <v>modesg_out_empr_info_nfinccm_trnvr_ttl_elgbl</v>
      </c>
      <c r="B396" s="68" t="s">
        <v>26</v>
      </c>
      <c r="C396" s="69" t="s">
        <v>311</v>
      </c>
      <c r="D396" s="65" t="s">
        <v>40</v>
      </c>
      <c r="E396" s="67" t="s">
        <v>326</v>
      </c>
      <c r="F396" s="65" t="s">
        <v>252</v>
      </c>
      <c r="G396" s="65" t="str">
        <f>INDEX(Auxiliar!$B$16:$B$24,MATCH(Plano_V1!H396,Auxiliar!$C$16:$C$24,0),1)</f>
        <v>2.1 Em Teste</v>
      </c>
      <c r="H396" s="65">
        <f>VLOOKUP(A396,'Aux - pivots1'!$A:$B,2,0)</f>
        <v>2</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x14ac:dyDescent="0.45">
      <c r="A397" s="30" t="str">
        <f t="shared" si="32"/>
        <v>modesg_out_empr_info_nfincod_nace_esg</v>
      </c>
      <c r="B397" s="68" t="s">
        <v>26</v>
      </c>
      <c r="C397" s="69" t="s">
        <v>311</v>
      </c>
      <c r="D397" s="65" t="s">
        <v>40</v>
      </c>
      <c r="E397" s="67" t="s">
        <v>326</v>
      </c>
      <c r="F397" s="65" t="s">
        <v>282</v>
      </c>
      <c r="G397" s="65" t="str">
        <f>INDEX(Auxiliar!$B$16:$B$24,MATCH(Plano_V1!H397,Auxiliar!$C$16:$C$24,0),1)</f>
        <v>2.1 Em Teste</v>
      </c>
      <c r="H397" s="65">
        <f>VLOOKUP(A397,'Aux - pivots1'!$A:$B,2,0)</f>
        <v>2</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x14ac:dyDescent="0.45">
      <c r="A398" s="30" t="str">
        <f t="shared" si="32"/>
        <v>modesg_out_empr_info_nfinflg_emprs_excl_paris</v>
      </c>
      <c r="B398" s="68" t="s">
        <v>26</v>
      </c>
      <c r="C398" s="69" t="s">
        <v>311</v>
      </c>
      <c r="D398" s="65" t="s">
        <v>40</v>
      </c>
      <c r="E398" s="67" t="s">
        <v>326</v>
      </c>
      <c r="F398" s="65" t="s">
        <v>328</v>
      </c>
      <c r="G398" s="65" t="str">
        <f>INDEX(Auxiliar!$B$16:$B$24,MATCH(Plano_V1!H398,Auxiliar!$C$16:$C$24,0),1)</f>
        <v>2.1 Em Teste</v>
      </c>
      <c r="H398" s="65">
        <f>VLOOKUP(A398,'Aux - pivots1'!$A:$B,2,0)</f>
        <v>2</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x14ac:dyDescent="0.45">
      <c r="A399" s="30" t="str">
        <f t="shared" si="32"/>
        <v>modesg_out_empr_info_nfinflg_nfrd</v>
      </c>
      <c r="B399" s="68" t="s">
        <v>26</v>
      </c>
      <c r="C399" s="69" t="s">
        <v>311</v>
      </c>
      <c r="D399" s="65" t="s">
        <v>40</v>
      </c>
      <c r="E399" s="67" t="s">
        <v>326</v>
      </c>
      <c r="F399" s="65" t="s">
        <v>245</v>
      </c>
      <c r="G399" s="65" t="str">
        <f>INDEX(Auxiliar!$B$16:$B$24,MATCH(Plano_V1!H399,Auxiliar!$C$16:$C$24,0),1)</f>
        <v>2.1 Em Teste</v>
      </c>
      <c r="H399" s="65">
        <f>VLOOKUP(A399,'Aux - pivots1'!$A:$B,2,0)</f>
        <v>2</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x14ac:dyDescent="0.45">
      <c r="A400" s="30" t="str">
        <f t="shared" si="32"/>
        <v>modesg_out_empr_info_nfinflg_rsc_fsc_agd</v>
      </c>
      <c r="B400" s="68" t="s">
        <v>26</v>
      </c>
      <c r="C400" s="69" t="s">
        <v>311</v>
      </c>
      <c r="D400" s="65" t="s">
        <v>40</v>
      </c>
      <c r="E400" s="67" t="s">
        <v>326</v>
      </c>
      <c r="F400" s="65" t="s">
        <v>283</v>
      </c>
      <c r="G400" s="65" t="str">
        <f>INDEX(Auxiliar!$B$16:$B$24,MATCH(Plano_V1!H400,Auxiliar!$C$16:$C$24,0),1)</f>
        <v>6. Em implementação (re-especificação)</v>
      </c>
      <c r="H400" s="65">
        <f>VLOOKUP(A400,'Aux - pivots1'!$A:$B,2,0)</f>
        <v>7</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x14ac:dyDescent="0.45">
      <c r="A401" s="30" t="str">
        <f t="shared" si="32"/>
        <v>modesg_out_empr_info_nfinflg_rsc_fsc_crnc</v>
      </c>
      <c r="B401" s="68" t="s">
        <v>26</v>
      </c>
      <c r="C401" s="69" t="s">
        <v>311</v>
      </c>
      <c r="D401" s="65" t="s">
        <v>40</v>
      </c>
      <c r="E401" s="67" t="s">
        <v>326</v>
      </c>
      <c r="F401" s="65" t="s">
        <v>284</v>
      </c>
      <c r="G401" s="65" t="str">
        <f>INDEX(Auxiliar!$B$16:$B$24,MATCH(Plano_V1!H401,Auxiliar!$C$16:$C$24,0),1)</f>
        <v>6. Em implementação (re-especificação)</v>
      </c>
      <c r="H401" s="65">
        <f>VLOOKUP(A401,'Aux - pivots1'!$A:$B,2,0)</f>
        <v>7</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x14ac:dyDescent="0.45">
      <c r="A402" s="30" t="str">
        <f t="shared" si="32"/>
        <v>modesg_out_empr_info_nfinorigem_alinhamentos</v>
      </c>
      <c r="B402" s="68" t="s">
        <v>26</v>
      </c>
      <c r="C402" s="69" t="s">
        <v>311</v>
      </c>
      <c r="D402" s="65" t="s">
        <v>40</v>
      </c>
      <c r="E402" s="67" t="s">
        <v>326</v>
      </c>
      <c r="F402" s="65" t="s">
        <v>329</v>
      </c>
      <c r="G402" s="65" t="str">
        <f>INDEX(Auxiliar!$B$16:$B$24,MATCH(Plano_V1!H402,Auxiliar!$C$16:$C$24,0),1)</f>
        <v>2.1 Em Teste</v>
      </c>
      <c r="H402" s="65">
        <f>VLOOKUP(A402,'Aux - pivots1'!$A:$B,2,0)</f>
        <v>2</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x14ac:dyDescent="0.45">
      <c r="A403" s="30" t="str">
        <f t="shared" si="32"/>
        <v>modesg_out_empr_info_nfinorigem_flg_emprs_excl_paris</v>
      </c>
      <c r="B403" s="68" t="s">
        <v>26</v>
      </c>
      <c r="C403" s="69" t="s">
        <v>311</v>
      </c>
      <c r="D403" s="65" t="s">
        <v>40</v>
      </c>
      <c r="E403" s="67" t="s">
        <v>326</v>
      </c>
      <c r="F403" s="65" t="s">
        <v>330</v>
      </c>
      <c r="G403" s="65" t="str">
        <f>INDEX(Auxiliar!$B$16:$B$24,MATCH(Plano_V1!H403,Auxiliar!$C$16:$C$24,0),1)</f>
        <v>2.1 Em Teste</v>
      </c>
      <c r="H403" s="65">
        <f>VLOOKUP(A403,'Aux - pivots1'!$A:$B,2,0)</f>
        <v>2</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x14ac:dyDescent="0.45">
      <c r="A404" s="30" t="str">
        <f t="shared" si="32"/>
        <v>modesg_out_empr_info_nfinorigem_flg_nfrd</v>
      </c>
      <c r="B404" s="68" t="s">
        <v>26</v>
      </c>
      <c r="C404" s="69" t="s">
        <v>311</v>
      </c>
      <c r="D404" s="65" t="s">
        <v>40</v>
      </c>
      <c r="E404" s="67" t="s">
        <v>326</v>
      </c>
      <c r="F404" s="65" t="s">
        <v>331</v>
      </c>
      <c r="G404" s="65" t="str">
        <f>INDEX(Auxiliar!$B$16:$B$24,MATCH(Plano_V1!H404,Auxiliar!$C$16:$C$24,0),1)</f>
        <v>2.1 Em Teste</v>
      </c>
      <c r="H404" s="65">
        <f>VLOOKUP(A404,'Aux - pivots1'!$A:$B,2,0)</f>
        <v>2</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x14ac:dyDescent="0.45">
      <c r="A405" s="30" t="str">
        <f t="shared" si="32"/>
        <v>modesg_out_empr_info_nfinorigem_flg_rsc_fsc_agd</v>
      </c>
      <c r="B405" s="68" t="s">
        <v>26</v>
      </c>
      <c r="C405" s="69" t="s">
        <v>311</v>
      </c>
      <c r="D405" s="65" t="s">
        <v>40</v>
      </c>
      <c r="E405" s="67" t="s">
        <v>326</v>
      </c>
      <c r="F405" s="65" t="s">
        <v>318</v>
      </c>
      <c r="G405" s="65" t="str">
        <f>INDEX(Auxiliar!$B$16:$B$24,MATCH(Plano_V1!H405,Auxiliar!$C$16:$C$24,0),1)</f>
        <v>6. Em implementação (re-especificação)</v>
      </c>
      <c r="H405" s="65">
        <f>VLOOKUP(A405,'Aux - pivots1'!$A:$B,2,0)</f>
        <v>7</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x14ac:dyDescent="0.45">
      <c r="A406" s="30" t="str">
        <f t="shared" si="32"/>
        <v>modesg_out_empr_info_nfinorigem_flg_rsc_fsc_crnc</v>
      </c>
      <c r="B406" s="68" t="s">
        <v>26</v>
      </c>
      <c r="C406" s="69" t="s">
        <v>311</v>
      </c>
      <c r="D406" s="65" t="s">
        <v>40</v>
      </c>
      <c r="E406" s="67" t="s">
        <v>326</v>
      </c>
      <c r="F406" s="65" t="s">
        <v>319</v>
      </c>
      <c r="G406" s="65" t="str">
        <f>INDEX(Auxiliar!$B$16:$B$24,MATCH(Plano_V1!H406,Auxiliar!$C$16:$C$24,0),1)</f>
        <v>6. Em implementação (re-especificação)</v>
      </c>
      <c r="H406" s="65">
        <f>VLOOKUP(A406,'Aux - pivots1'!$A:$B,2,0)</f>
        <v>7</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x14ac:dyDescent="0.45">
      <c r="A407" s="30" t="str">
        <f t="shared" si="32"/>
        <v>modesg_out_empr_info_nfinorigem_scp1_emss</v>
      </c>
      <c r="B407" s="68" t="s">
        <v>26</v>
      </c>
      <c r="C407" s="69" t="s">
        <v>311</v>
      </c>
      <c r="D407" s="65" t="s">
        <v>40</v>
      </c>
      <c r="E407" s="67" t="s">
        <v>326</v>
      </c>
      <c r="F407" s="65" t="s">
        <v>320</v>
      </c>
      <c r="G407" s="65" t="str">
        <f>INDEX(Auxiliar!$B$16:$B$24,MATCH(Plano_V1!H407,Auxiliar!$C$16:$C$24,0),1)</f>
        <v>2.1 Em Teste</v>
      </c>
      <c r="H407" s="65">
        <f>VLOOKUP(A407,'Aux - pivots1'!$A:$B,2,0)</f>
        <v>2</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x14ac:dyDescent="0.45">
      <c r="A408" s="30" t="str">
        <f t="shared" si="32"/>
        <v>modesg_out_empr_info_nfinorigem_scp2_emss</v>
      </c>
      <c r="B408" s="68" t="s">
        <v>26</v>
      </c>
      <c r="C408" s="69" t="s">
        <v>311</v>
      </c>
      <c r="D408" s="65" t="s">
        <v>40</v>
      </c>
      <c r="E408" s="67" t="s">
        <v>326</v>
      </c>
      <c r="F408" s="65" t="s">
        <v>321</v>
      </c>
      <c r="G408" s="65" t="str">
        <f>INDEX(Auxiliar!$B$16:$B$24,MATCH(Plano_V1!H408,Auxiliar!$C$16:$C$24,0),1)</f>
        <v>2.1 Em Teste</v>
      </c>
      <c r="H408" s="65">
        <f>VLOOKUP(A408,'Aux - pivots1'!$A:$B,2,0)</f>
        <v>2</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x14ac:dyDescent="0.45">
      <c r="A409" s="30" t="str">
        <f t="shared" si="32"/>
        <v>modesg_out_empr_info_nfinorigem_scp3_emss</v>
      </c>
      <c r="B409" s="68" t="s">
        <v>26</v>
      </c>
      <c r="C409" s="69" t="s">
        <v>311</v>
      </c>
      <c r="D409" s="65" t="s">
        <v>40</v>
      </c>
      <c r="E409" s="67" t="s">
        <v>326</v>
      </c>
      <c r="F409" s="65" t="s">
        <v>322</v>
      </c>
      <c r="G409" s="65" t="str">
        <f>INDEX(Auxiliar!$B$16:$B$24,MATCH(Plano_V1!H409,Auxiliar!$C$16:$C$24,0),1)</f>
        <v>2.1 Em Teste</v>
      </c>
      <c r="H409" s="65">
        <f>VLOOKUP(A409,'Aux - pivots1'!$A:$B,2,0)</f>
        <v>2</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x14ac:dyDescent="0.45">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x14ac:dyDescent="0.45">
      <c r="A411" s="30" t="str">
        <f t="shared" si="32"/>
        <v>modesg_out_empr_info_nfinscp1_emss</v>
      </c>
      <c r="B411" s="68" t="s">
        <v>26</v>
      </c>
      <c r="C411" s="69" t="s">
        <v>311</v>
      </c>
      <c r="D411" s="65" t="s">
        <v>40</v>
      </c>
      <c r="E411" s="67" t="s">
        <v>326</v>
      </c>
      <c r="F411" s="65" t="s">
        <v>286</v>
      </c>
      <c r="G411" s="65" t="str">
        <f>INDEX(Auxiliar!$B$16:$B$24,MATCH(Plano_V1!H411,Auxiliar!$C$16:$C$24,0),1)</f>
        <v>2.1 Em Teste</v>
      </c>
      <c r="H411" s="65">
        <f>VLOOKUP(A411,'Aux - pivots1'!$A:$B,2,0)</f>
        <v>2</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x14ac:dyDescent="0.45">
      <c r="A412" s="30" t="str">
        <f t="shared" si="32"/>
        <v>modesg_out_empr_info_nfinscp2_emss</v>
      </c>
      <c r="B412" s="68" t="s">
        <v>26</v>
      </c>
      <c r="C412" s="69" t="s">
        <v>311</v>
      </c>
      <c r="D412" s="65" t="s">
        <v>40</v>
      </c>
      <c r="E412" s="67" t="s">
        <v>326</v>
      </c>
      <c r="F412" s="65" t="s">
        <v>287</v>
      </c>
      <c r="G412" s="65" t="str">
        <f>INDEX(Auxiliar!$B$16:$B$24,MATCH(Plano_V1!H412,Auxiliar!$C$16:$C$24,0),1)</f>
        <v>2.1 Em Teste</v>
      </c>
      <c r="H412" s="65">
        <f>VLOOKUP(A412,'Aux - pivots1'!$A:$B,2,0)</f>
        <v>2</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x14ac:dyDescent="0.45">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2.1 Em Teste</v>
      </c>
      <c r="H413" s="65">
        <f>VLOOKUP(A413,'Aux - pivots1'!$A:$B,2,0)</f>
        <v>2</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x14ac:dyDescent="0.45">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x14ac:dyDescent="0.45">
      <c r="A415" s="30" t="str">
        <f t="shared" si="35"/>
        <v>modesg_out_emss_vclsn.a.</v>
      </c>
      <c r="B415" s="68" t="s">
        <v>26</v>
      </c>
      <c r="C415" s="69" t="s">
        <v>311</v>
      </c>
      <c r="D415" s="65" t="s">
        <v>36</v>
      </c>
      <c r="E415" s="67" t="s">
        <v>332</v>
      </c>
      <c r="F415" s="65" t="s">
        <v>38</v>
      </c>
      <c r="G415" s="65" t="str">
        <f>INDEX(Auxiliar!$B$16:$B$24,MATCH(Plano_V1!H415,Auxiliar!$C$16:$C$24,0),1)</f>
        <v>2.1 Em Teste</v>
      </c>
      <c r="H415" s="65">
        <f>VLOOKUP(A415,'Aux - pivots1'!$A:$B,2,0)</f>
        <v>2</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x14ac:dyDescent="0.45">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x14ac:dyDescent="0.45">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x14ac:dyDescent="0.45">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x14ac:dyDescent="0.45">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x14ac:dyDescent="0.45">
      <c r="A420" s="30" t="str">
        <f t="shared" si="35"/>
        <v>modesg_out_emss_vclscnsm_co2</v>
      </c>
      <c r="B420" s="68" t="s">
        <v>26</v>
      </c>
      <c r="C420" s="69" t="s">
        <v>311</v>
      </c>
      <c r="D420" s="65" t="s">
        <v>40</v>
      </c>
      <c r="E420" s="67" t="s">
        <v>332</v>
      </c>
      <c r="F420" s="65" t="s">
        <v>188</v>
      </c>
      <c r="G420" s="65" t="str">
        <f>INDEX(Auxiliar!$B$16:$B$24,MATCH(Plano_V1!H420,Auxiliar!$C$16:$C$24,0),1)</f>
        <v>1. Concluído</v>
      </c>
      <c r="H420" s="65">
        <f>VLOOKUP(A420,'Aux - pivots1'!$A:$B,2,0)</f>
        <v>1</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x14ac:dyDescent="0.45">
      <c r="A421" s="30" t="str">
        <f t="shared" si="35"/>
        <v>modesg_out_emss_vclsorigem_scp1_emss</v>
      </c>
      <c r="B421" s="68" t="s">
        <v>26</v>
      </c>
      <c r="C421" s="69" t="s">
        <v>311</v>
      </c>
      <c r="D421" s="65" t="s">
        <v>40</v>
      </c>
      <c r="E421" s="67" t="s">
        <v>332</v>
      </c>
      <c r="F421" s="65" t="s">
        <v>320</v>
      </c>
      <c r="G421" s="65" t="str">
        <f>INDEX(Auxiliar!$B$16:$B$24,MATCH(Plano_V1!H421,Auxiliar!$C$16:$C$24,0),1)</f>
        <v>5. Em Correção</v>
      </c>
      <c r="H421" s="65">
        <f>VLOOKUP(A421,'Aux - pivots1'!$A:$B,2,0)</f>
        <v>6</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x14ac:dyDescent="0.45">
      <c r="A422" s="30" t="str">
        <f t="shared" si="35"/>
        <v>modesg_out_emss_vclsorigem_scp2_emss</v>
      </c>
      <c r="B422" s="68" t="s">
        <v>26</v>
      </c>
      <c r="C422" s="69" t="s">
        <v>311</v>
      </c>
      <c r="D422" s="65" t="s">
        <v>40</v>
      </c>
      <c r="E422" s="67" t="s">
        <v>332</v>
      </c>
      <c r="F422" s="65" t="s">
        <v>321</v>
      </c>
      <c r="G422" s="65" t="str">
        <f>INDEX(Auxiliar!$B$16:$B$24,MATCH(Plano_V1!H422,Auxiliar!$C$16:$C$24,0),1)</f>
        <v>5. Em Correção</v>
      </c>
      <c r="H422" s="65">
        <f>VLOOKUP(A422,'Aux - pivots1'!$A:$B,2,0)</f>
        <v>6</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x14ac:dyDescent="0.45">
      <c r="A423" s="30" t="str">
        <f t="shared" si="35"/>
        <v>modesg_out_emss_vclsorigem_scp3_emss</v>
      </c>
      <c r="B423" s="68" t="s">
        <v>26</v>
      </c>
      <c r="C423" s="69" t="s">
        <v>311</v>
      </c>
      <c r="D423" s="65" t="s">
        <v>40</v>
      </c>
      <c r="E423" s="67" t="s">
        <v>332</v>
      </c>
      <c r="F423" s="65" t="s">
        <v>322</v>
      </c>
      <c r="G423" s="65" t="str">
        <f>INDEX(Auxiliar!$B$16:$B$24,MATCH(Plano_V1!H423,Auxiliar!$C$16:$C$24,0),1)</f>
        <v>1. Concluído</v>
      </c>
      <c r="H423" s="65">
        <f>VLOOKUP(A423,'Aux - pivots1'!$A:$B,2,0)</f>
        <v>1</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x14ac:dyDescent="0.45">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x14ac:dyDescent="0.45">
      <c r="A425" s="30" t="str">
        <f t="shared" si="35"/>
        <v>modesg_out_emss_vclsscp1_emss</v>
      </c>
      <c r="B425" s="68" t="s">
        <v>26</v>
      </c>
      <c r="C425" s="69" t="s">
        <v>311</v>
      </c>
      <c r="D425" s="65" t="s">
        <v>40</v>
      </c>
      <c r="E425" s="67" t="s">
        <v>332</v>
      </c>
      <c r="F425" s="65" t="s">
        <v>286</v>
      </c>
      <c r="G425" s="65" t="str">
        <f>INDEX(Auxiliar!$B$16:$B$24,MATCH(Plano_V1!H425,Auxiliar!$C$16:$C$24,0),1)</f>
        <v>5. Em Correção</v>
      </c>
      <c r="H425" s="65">
        <f>VLOOKUP(A425,'Aux - pivots1'!$A:$B,2,0)</f>
        <v>6</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x14ac:dyDescent="0.45">
      <c r="A426" s="30" t="str">
        <f t="shared" si="35"/>
        <v>modesg_out_emss_vclsscp2_emss</v>
      </c>
      <c r="B426" s="68" t="s">
        <v>26</v>
      </c>
      <c r="C426" s="69" t="s">
        <v>311</v>
      </c>
      <c r="D426" s="65" t="s">
        <v>40</v>
      </c>
      <c r="E426" s="67" t="s">
        <v>332</v>
      </c>
      <c r="F426" s="65" t="s">
        <v>287</v>
      </c>
      <c r="G426" s="65" t="str">
        <f>INDEX(Auxiliar!$B$16:$B$24,MATCH(Plano_V1!H426,Auxiliar!$C$16:$C$24,0),1)</f>
        <v>5. Em Correção</v>
      </c>
      <c r="H426" s="65">
        <f>VLOOKUP(A426,'Aux - pivots1'!$A:$B,2,0)</f>
        <v>6</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x14ac:dyDescent="0.45">
      <c r="A427" s="30" t="str">
        <f t="shared" si="35"/>
        <v>modesg_out_emss_vclsscp3_emss</v>
      </c>
      <c r="B427" s="68" t="s">
        <v>26</v>
      </c>
      <c r="C427" s="69" t="s">
        <v>311</v>
      </c>
      <c r="D427" s="65" t="s">
        <v>40</v>
      </c>
      <c r="E427" s="67" t="s">
        <v>332</v>
      </c>
      <c r="F427" s="65" t="s">
        <v>288</v>
      </c>
      <c r="G427" s="65" t="str">
        <f>INDEX(Auxiliar!$B$16:$B$24,MATCH(Plano_V1!H427,Auxiliar!$C$16:$C$24,0),1)</f>
        <v>1. Concluído</v>
      </c>
      <c r="H427" s="65">
        <f>VLOOKUP(A427,'Aux - pivots1'!$A:$B,2,0)</f>
        <v>1</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x14ac:dyDescent="0.45">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x14ac:dyDescent="0.45">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x14ac:dyDescent="0.45">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x14ac:dyDescent="0.45">
      <c r="A431" s="30" t="str">
        <f t="shared" si="35"/>
        <v>modesg_out_sfcs_taxon_europeian.a.</v>
      </c>
      <c r="B431" s="68" t="s">
        <v>26</v>
      </c>
      <c r="C431" s="69" t="s">
        <v>311</v>
      </c>
      <c r="D431" s="65" t="s">
        <v>36</v>
      </c>
      <c r="E431" s="67" t="s">
        <v>334</v>
      </c>
      <c r="F431" s="65" t="s">
        <v>38</v>
      </c>
      <c r="G431" s="65" t="str">
        <f>INDEX(Auxiliar!$B$16:$B$24,MATCH(Plano_V1!H431,Auxiliar!$C$16:$C$24,0),1)</f>
        <v>6. Em implementação (re-especificação)</v>
      </c>
      <c r="H431" s="65">
        <f>VLOOKUP(A431,'Aux - pivots1'!$A:$B,2,0)</f>
        <v>7</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x14ac:dyDescent="0.45">
      <c r="A432" s="30" t="str">
        <f t="shared" si="35"/>
        <v>modesg_out_sfcs_taxon_europeiacbalcao</v>
      </c>
      <c r="B432" s="68" t="s">
        <v>26</v>
      </c>
      <c r="C432" s="69" t="s">
        <v>311</v>
      </c>
      <c r="D432" s="65" t="s">
        <v>40</v>
      </c>
      <c r="E432" s="67" t="s">
        <v>334</v>
      </c>
      <c r="F432" s="65" t="s">
        <v>183</v>
      </c>
      <c r="G432" s="65" t="str">
        <f>INDEX(Auxiliar!$B$16:$B$24,MATCH(Plano_V1!H432,Auxiliar!$C$16:$C$24,0),1)</f>
        <v>6. Em implementação (re-especificação)</v>
      </c>
      <c r="H432" s="65">
        <f>VLOOKUP(A432,'Aux - pivots1'!$A:$B,2,0)</f>
        <v>7</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x14ac:dyDescent="0.45">
      <c r="A433" s="30" t="str">
        <f t="shared" si="35"/>
        <v>modesg_out_sfcs_taxon_europeiacempresa</v>
      </c>
      <c r="B433" s="68" t="s">
        <v>26</v>
      </c>
      <c r="C433" s="69" t="s">
        <v>311</v>
      </c>
      <c r="D433" s="65" t="s">
        <v>40</v>
      </c>
      <c r="E433" s="67" t="s">
        <v>334</v>
      </c>
      <c r="F433" s="65" t="s">
        <v>184</v>
      </c>
      <c r="G433" s="65" t="str">
        <f>INDEX(Auxiliar!$B$16:$B$24,MATCH(Plano_V1!H433,Auxiliar!$C$16:$C$24,0),1)</f>
        <v>6. Em implementação (re-especificação)</v>
      </c>
      <c r="H433" s="65">
        <f>VLOOKUP(A433,'Aux - pivots1'!$A:$B,2,0)</f>
        <v>7</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x14ac:dyDescent="0.45">
      <c r="A434" s="30" t="str">
        <f t="shared" si="35"/>
        <v>modesg_out_sfcs_taxon_europeiacnumecta</v>
      </c>
      <c r="B434" s="68" t="s">
        <v>26</v>
      </c>
      <c r="C434" s="69" t="s">
        <v>311</v>
      </c>
      <c r="D434" s="65" t="s">
        <v>40</v>
      </c>
      <c r="E434" s="67" t="s">
        <v>334</v>
      </c>
      <c r="F434" s="65" t="s">
        <v>189</v>
      </c>
      <c r="G434" s="65" t="str">
        <f>INDEX(Auxiliar!$B$16:$B$24,MATCH(Plano_V1!H434,Auxiliar!$C$16:$C$24,0),1)</f>
        <v>6. Em implementação (re-especificação)</v>
      </c>
      <c r="H434" s="65">
        <f>VLOOKUP(A434,'Aux - pivots1'!$A:$B,2,0)</f>
        <v>7</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x14ac:dyDescent="0.45">
      <c r="A435" s="30" t="str">
        <f t="shared" si="35"/>
        <v>modesg_out_sfcs_taxon_europeiacod_regra</v>
      </c>
      <c r="B435" s="68" t="s">
        <v>26</v>
      </c>
      <c r="C435" s="69" t="s">
        <v>311</v>
      </c>
      <c r="D435" s="65" t="s">
        <v>40</v>
      </c>
      <c r="E435" s="67" t="s">
        <v>334</v>
      </c>
      <c r="F435" s="65" t="s">
        <v>191</v>
      </c>
      <c r="G435" s="65" t="str">
        <f>INDEX(Auxiliar!$B$16:$B$24,MATCH(Plano_V1!H435,Auxiliar!$C$16:$C$24,0),1)</f>
        <v>6. Em implementação (re-especificação)</v>
      </c>
      <c r="H435" s="65">
        <f>VLOOKUP(A435,'Aux - pivots1'!$A:$B,2,0)</f>
        <v>7</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x14ac:dyDescent="0.45">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x14ac:dyDescent="0.45">
      <c r="A437" s="30" t="str">
        <f t="shared" si="35"/>
        <v>modesg_out_sfcs_taxon_europeiamontante_pndrc</v>
      </c>
      <c r="B437" s="68" t="s">
        <v>26</v>
      </c>
      <c r="C437" s="69" t="s">
        <v>311</v>
      </c>
      <c r="D437" s="65" t="s">
        <v>40</v>
      </c>
      <c r="E437" s="67" t="s">
        <v>334</v>
      </c>
      <c r="F437" s="65" t="s">
        <v>202</v>
      </c>
      <c r="G437" s="65" t="str">
        <f>INDEX(Auxiliar!$B$16:$B$24,MATCH(Plano_V1!H437,Auxiliar!$C$16:$C$24,0),1)</f>
        <v>6. Em implementação (re-especificação)</v>
      </c>
      <c r="H437" s="65">
        <f>VLOOKUP(A437,'Aux - pivots1'!$A:$B,2,0)</f>
        <v>7</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x14ac:dyDescent="0.45">
      <c r="A438" s="30" t="str">
        <f t="shared" si="35"/>
        <v>modesg_out_sfcs_taxon_europeianome_ctgr_sfcs</v>
      </c>
      <c r="B438" s="68" t="s">
        <v>26</v>
      </c>
      <c r="C438" s="69" t="s">
        <v>311</v>
      </c>
      <c r="D438" s="65" t="s">
        <v>40</v>
      </c>
      <c r="E438" s="67" t="s">
        <v>334</v>
      </c>
      <c r="F438" s="65" t="s">
        <v>203</v>
      </c>
      <c r="G438" s="65" t="str">
        <f>INDEX(Auxiliar!$B$16:$B$24,MATCH(Plano_V1!H438,Auxiliar!$C$16:$C$24,0),1)</f>
        <v>6. Em implementação (re-especificação)</v>
      </c>
      <c r="H438" s="65">
        <f>VLOOKUP(A438,'Aux - pivots1'!$A:$B,2,0)</f>
        <v>7</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x14ac:dyDescent="0.45">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6. Em implementação (re-especificação)</v>
      </c>
      <c r="H439" s="65">
        <f>VLOOKUP(A439,'Aux - pivots1'!$A:$B,2,0)</f>
        <v>7</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x14ac:dyDescent="0.45">
      <c r="A440" s="30" t="str">
        <f t="shared" si="35"/>
        <v>modesg_out_sfcs_taxon_europeianome_purpose_esg</v>
      </c>
      <c r="B440" s="68" t="s">
        <v>26</v>
      </c>
      <c r="C440" s="69" t="s">
        <v>311</v>
      </c>
      <c r="D440" s="65" t="s">
        <v>40</v>
      </c>
      <c r="E440" s="67" t="s">
        <v>334</v>
      </c>
      <c r="F440" s="65" t="s">
        <v>205</v>
      </c>
      <c r="G440" s="65" t="str">
        <f>INDEX(Auxiliar!$B$16:$B$24,MATCH(Plano_V1!H440,Auxiliar!$C$16:$C$24,0),1)</f>
        <v>6. Em implementação (re-especificação)</v>
      </c>
      <c r="H440" s="65">
        <f>VLOOKUP(A440,'Aux - pivots1'!$A:$B,2,0)</f>
        <v>7</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x14ac:dyDescent="0.45">
      <c r="A441" s="30" t="str">
        <f t="shared" si="35"/>
        <v>modesg_out_sfcs_taxon_europeianome_specific_eligible</v>
      </c>
      <c r="B441" s="68" t="s">
        <v>26</v>
      </c>
      <c r="C441" s="69" t="s">
        <v>311</v>
      </c>
      <c r="D441" s="65" t="s">
        <v>40</v>
      </c>
      <c r="E441" s="67" t="s">
        <v>334</v>
      </c>
      <c r="F441" s="65" t="s">
        <v>206</v>
      </c>
      <c r="G441" s="65" t="str">
        <f>INDEX(Auxiliar!$B$16:$B$24,MATCH(Plano_V1!H441,Auxiliar!$C$16:$C$24,0),1)</f>
        <v>6. Em implementação (re-especificação)</v>
      </c>
      <c r="H441" s="65">
        <f>VLOOKUP(A441,'Aux - pivots1'!$A:$B,2,0)</f>
        <v>7</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x14ac:dyDescent="0.45">
      <c r="A442" s="30" t="str">
        <f t="shared" si="35"/>
        <v>modesg_out_sfcs_taxon_europeianome_specific_sustainable</v>
      </c>
      <c r="B442" s="68" t="s">
        <v>26</v>
      </c>
      <c r="C442" s="69" t="s">
        <v>311</v>
      </c>
      <c r="D442" s="65" t="s">
        <v>40</v>
      </c>
      <c r="E442" s="67" t="s">
        <v>334</v>
      </c>
      <c r="F442" s="65" t="s">
        <v>207</v>
      </c>
      <c r="G442" s="65" t="str">
        <f>INDEX(Auxiliar!$B$16:$B$24,MATCH(Plano_V1!H442,Auxiliar!$C$16:$C$24,0),1)</f>
        <v>6. Em implementação (re-especificação)</v>
      </c>
      <c r="H442" s="65">
        <f>VLOOKUP(A442,'Aux - pivots1'!$A:$B,2,0)</f>
        <v>7</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x14ac:dyDescent="0.45">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x14ac:dyDescent="0.45">
      <c r="A444" s="30" t="str">
        <f t="shared" si="35"/>
        <v>modesg_out_sfcs_taxon_europeiaref_date</v>
      </c>
      <c r="B444" s="68" t="s">
        <v>26</v>
      </c>
      <c r="C444" s="69" t="s">
        <v>311</v>
      </c>
      <c r="D444" s="65" t="s">
        <v>40</v>
      </c>
      <c r="E444" s="67" t="s">
        <v>334</v>
      </c>
      <c r="F444" s="65" t="s">
        <v>208</v>
      </c>
      <c r="G444" s="65" t="str">
        <f>INDEX(Auxiliar!$B$16:$B$24,MATCH(Plano_V1!H444,Auxiliar!$C$16:$C$24,0),1)</f>
        <v>6. Em implementação (re-especificação)</v>
      </c>
      <c r="H444" s="65">
        <f>VLOOKUP(A444,'Aux - pivots1'!$A:$B,2,0)</f>
        <v>7</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x14ac:dyDescent="0.45">
      <c r="A445" s="30" t="str">
        <f t="shared" si="35"/>
        <v>modesg_out_sfcs_taxon_europeiazdeposit</v>
      </c>
      <c r="B445" s="68" t="s">
        <v>26</v>
      </c>
      <c r="C445" s="69" t="s">
        <v>311</v>
      </c>
      <c r="D445" s="65" t="s">
        <v>40</v>
      </c>
      <c r="E445" s="67" t="s">
        <v>334</v>
      </c>
      <c r="F445" s="65" t="s">
        <v>210</v>
      </c>
      <c r="G445" s="65" t="str">
        <f>INDEX(Auxiliar!$B$16:$B$24,MATCH(Plano_V1!H445,Auxiliar!$C$16:$C$24,0),1)</f>
        <v>6. Em implementação (re-especificação)</v>
      </c>
      <c r="H445" s="65">
        <f>VLOOKUP(A445,'Aux - pivots1'!$A:$B,2,0)</f>
        <v>7</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x14ac:dyDescent="0.45">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x14ac:dyDescent="0.45">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x14ac:dyDescent="0.45">
      <c r="A448" s="30" t="str">
        <f t="shared" si="35"/>
        <v>lt003_entitynace_esg</v>
      </c>
      <c r="B448" s="68" t="s">
        <v>26</v>
      </c>
      <c r="C448" s="69" t="s">
        <v>26</v>
      </c>
      <c r="D448" s="65" t="s">
        <v>40</v>
      </c>
      <c r="E448" s="71" t="s">
        <v>336</v>
      </c>
      <c r="F448" s="72" t="s">
        <v>337</v>
      </c>
      <c r="G448" s="65" t="str">
        <f>INDEX(Auxiliar!$B$16:$B$24,MATCH(Plano_V1!H448,Auxiliar!$C$16:$C$24,0),1)</f>
        <v>2.1 Em Teste</v>
      </c>
      <c r="H448" s="65">
        <f>VLOOKUP(A448,'Aux - pivots1'!$A:$B,2,0)</f>
        <v>2</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x14ac:dyDescent="0.45">
      <c r="A449" s="30" t="str">
        <f t="shared" si="35"/>
        <v>lt003_entitytxnmy_elgbl_capex_ccm</v>
      </c>
      <c r="B449" s="68" t="s">
        <v>26</v>
      </c>
      <c r="C449" s="69" t="s">
        <v>26</v>
      </c>
      <c r="D449" s="65" t="s">
        <v>40</v>
      </c>
      <c r="E449" s="71" t="s">
        <v>336</v>
      </c>
      <c r="F449" s="72" t="s">
        <v>339</v>
      </c>
      <c r="G449" s="65" t="str">
        <f>INDEX(Auxiliar!$B$16:$B$24,MATCH(Plano_V1!H449,Auxiliar!$C$16:$C$24,0),1)</f>
        <v>2.1 Em Teste</v>
      </c>
      <c r="H449" s="65">
        <f>VLOOKUP(A449,'Aux - pivots1'!$A:$B,2,0)</f>
        <v>2</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x14ac:dyDescent="0.45">
      <c r="A450" s="30" t="str">
        <f t="shared" si="35"/>
        <v>lt003_entitytxnmy_elgbl_trnvr_ccm</v>
      </c>
      <c r="B450" s="68" t="s">
        <v>26</v>
      </c>
      <c r="C450" s="69" t="s">
        <v>26</v>
      </c>
      <c r="D450" s="65" t="s">
        <v>40</v>
      </c>
      <c r="E450" s="71" t="s">
        <v>336</v>
      </c>
      <c r="F450" s="72" t="s">
        <v>340</v>
      </c>
      <c r="G450" s="65" t="str">
        <f>INDEX(Auxiliar!$B$16:$B$24,MATCH(Plano_V1!H450,Auxiliar!$C$16:$C$24,0),1)</f>
        <v>2.1 Em Teste</v>
      </c>
      <c r="H450" s="65">
        <f>VLOOKUP(A450,'Aux - pivots1'!$A:$B,2,0)</f>
        <v>2</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x14ac:dyDescent="0.45">
      <c r="A451" s="30" t="str">
        <f t="shared" si="35"/>
        <v>lt003_entitytxnmy_elgbl_capex_cca</v>
      </c>
      <c r="B451" s="68" t="s">
        <v>26</v>
      </c>
      <c r="C451" s="69" t="s">
        <v>26</v>
      </c>
      <c r="D451" s="65" t="s">
        <v>40</v>
      </c>
      <c r="E451" s="71" t="s">
        <v>336</v>
      </c>
      <c r="F451" s="72" t="s">
        <v>341</v>
      </c>
      <c r="G451" s="65" t="str">
        <f>INDEX(Auxiliar!$B$16:$B$24,MATCH(Plano_V1!H451,Auxiliar!$C$16:$C$24,0),1)</f>
        <v>2.1 Em Teste</v>
      </c>
      <c r="H451" s="65">
        <f>VLOOKUP(A451,'Aux - pivots1'!$A:$B,2,0)</f>
        <v>2</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x14ac:dyDescent="0.45">
      <c r="A452" s="30" t="str">
        <f t="shared" si="35"/>
        <v>lt003_entitytxnmy_elgbl_trnvr_cca</v>
      </c>
      <c r="B452" s="68" t="s">
        <v>26</v>
      </c>
      <c r="C452" s="69" t="s">
        <v>26</v>
      </c>
      <c r="D452" s="65" t="s">
        <v>40</v>
      </c>
      <c r="E452" s="71" t="s">
        <v>336</v>
      </c>
      <c r="F452" s="72" t="s">
        <v>342</v>
      </c>
      <c r="G452" s="65" t="str">
        <f>INDEX(Auxiliar!$B$16:$B$24,MATCH(Plano_V1!H452,Auxiliar!$C$16:$C$24,0),1)</f>
        <v>2.1 Em Teste</v>
      </c>
      <c r="H452" s="65">
        <f>VLOOKUP(A452,'Aux - pivots1'!$A:$B,2,0)</f>
        <v>2</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x14ac:dyDescent="0.45">
      <c r="A453" s="30" t="str">
        <f t="shared" si="35"/>
        <v>lt003_entityenblng_capex_ccm</v>
      </c>
      <c r="B453" s="68" t="s">
        <v>26</v>
      </c>
      <c r="C453" s="69" t="s">
        <v>26</v>
      </c>
      <c r="D453" s="65" t="s">
        <v>40</v>
      </c>
      <c r="E453" s="71" t="s">
        <v>336</v>
      </c>
      <c r="F453" s="72" t="s">
        <v>343</v>
      </c>
      <c r="G453" s="65" t="str">
        <f>INDEX(Auxiliar!$B$16:$B$24,MATCH(Plano_V1!H453,Auxiliar!$C$16:$C$24,0),1)</f>
        <v>2.1 Em Teste</v>
      </c>
      <c r="H453" s="65">
        <f>VLOOKUP(A453,'Aux - pivots1'!$A:$B,2,0)</f>
        <v>2</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x14ac:dyDescent="0.45">
      <c r="A454" s="30" t="str">
        <f t="shared" si="35"/>
        <v>lt003_entityenblng_capex_cca</v>
      </c>
      <c r="B454" s="68" t="s">
        <v>26</v>
      </c>
      <c r="C454" s="69" t="s">
        <v>26</v>
      </c>
      <c r="D454" s="65" t="s">
        <v>40</v>
      </c>
      <c r="E454" s="71" t="s">
        <v>336</v>
      </c>
      <c r="F454" s="72" t="s">
        <v>344</v>
      </c>
      <c r="G454" s="65" t="str">
        <f>INDEX(Auxiliar!$B$16:$B$24,MATCH(Plano_V1!H454,Auxiliar!$C$16:$C$24,0),1)</f>
        <v>2.1 Em Teste</v>
      </c>
      <c r="H454" s="65">
        <f>VLOOKUP(A454,'Aux - pivots1'!$A:$B,2,0)</f>
        <v>2</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x14ac:dyDescent="0.45">
      <c r="A455" s="30" t="str">
        <f t="shared" si="35"/>
        <v>lt003_entitytrnstnl_capex</v>
      </c>
      <c r="B455" s="68" t="s">
        <v>26</v>
      </c>
      <c r="C455" s="69" t="s">
        <v>26</v>
      </c>
      <c r="D455" s="65" t="s">
        <v>40</v>
      </c>
      <c r="E455" s="71" t="s">
        <v>336</v>
      </c>
      <c r="F455" s="72" t="s">
        <v>345</v>
      </c>
      <c r="G455" s="65" t="str">
        <f>INDEX(Auxiliar!$B$16:$B$24,MATCH(Plano_V1!H455,Auxiliar!$C$16:$C$24,0),1)</f>
        <v>2.1 Em Teste</v>
      </c>
      <c r="H455" s="65">
        <f>VLOOKUP(A455,'Aux - pivots1'!$A:$B,2,0)</f>
        <v>2</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x14ac:dyDescent="0.45">
      <c r="A456" s="30" t="str">
        <f t="shared" si="35"/>
        <v>lt003_entitypure_capex_ccm</v>
      </c>
      <c r="B456" s="68" t="s">
        <v>26</v>
      </c>
      <c r="C456" s="69" t="s">
        <v>26</v>
      </c>
      <c r="D456" s="65" t="s">
        <v>40</v>
      </c>
      <c r="E456" s="71" t="s">
        <v>336</v>
      </c>
      <c r="F456" s="72" t="s">
        <v>346</v>
      </c>
      <c r="G456" s="65" t="str">
        <f>INDEX(Auxiliar!$B$16:$B$24,MATCH(Plano_V1!H456,Auxiliar!$C$16:$C$24,0),1)</f>
        <v>2.1 Em Teste</v>
      </c>
      <c r="H456" s="65">
        <f>VLOOKUP(A456,'Aux - pivots1'!$A:$B,2,0)</f>
        <v>2</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x14ac:dyDescent="0.45">
      <c r="A457" s="30" t="str">
        <f t="shared" si="35"/>
        <v>lt003_entitypure_capex_cca</v>
      </c>
      <c r="B457" s="68" t="s">
        <v>26</v>
      </c>
      <c r="C457" s="69" t="s">
        <v>26</v>
      </c>
      <c r="D457" s="65" t="s">
        <v>40</v>
      </c>
      <c r="E457" s="71" t="s">
        <v>336</v>
      </c>
      <c r="F457" s="72" t="s">
        <v>347</v>
      </c>
      <c r="G457" s="65" t="str">
        <f>INDEX(Auxiliar!$B$16:$B$24,MATCH(Plano_V1!H457,Auxiliar!$C$16:$C$24,0),1)</f>
        <v>2.1 Em Teste</v>
      </c>
      <c r="H457" s="65">
        <f>VLOOKUP(A457,'Aux - pivots1'!$A:$B,2,0)</f>
        <v>2</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x14ac:dyDescent="0.45">
      <c r="A458" s="30" t="str">
        <f t="shared" si="35"/>
        <v>lt003_entityenblng_trnvr_ccm</v>
      </c>
      <c r="B458" s="68" t="s">
        <v>26</v>
      </c>
      <c r="C458" s="69" t="s">
        <v>26</v>
      </c>
      <c r="D458" s="65" t="s">
        <v>40</v>
      </c>
      <c r="E458" s="71" t="s">
        <v>336</v>
      </c>
      <c r="F458" s="72" t="s">
        <v>348</v>
      </c>
      <c r="G458" s="65" t="str">
        <f>INDEX(Auxiliar!$B$16:$B$24,MATCH(Plano_V1!H458,Auxiliar!$C$16:$C$24,0),1)</f>
        <v>2.1 Em Teste</v>
      </c>
      <c r="H458" s="65">
        <f>VLOOKUP(A458,'Aux - pivots1'!$A:$B,2,0)</f>
        <v>2</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x14ac:dyDescent="0.45">
      <c r="A459" s="30" t="str">
        <f t="shared" si="35"/>
        <v>lt003_entityenblng_trnvr_cca</v>
      </c>
      <c r="B459" s="68" t="s">
        <v>26</v>
      </c>
      <c r="C459" s="69" t="s">
        <v>26</v>
      </c>
      <c r="D459" s="65" t="s">
        <v>40</v>
      </c>
      <c r="E459" s="71" t="s">
        <v>336</v>
      </c>
      <c r="F459" s="72" t="s">
        <v>349</v>
      </c>
      <c r="G459" s="65" t="str">
        <f>INDEX(Auxiliar!$B$16:$B$24,MATCH(Plano_V1!H459,Auxiliar!$C$16:$C$24,0),1)</f>
        <v>2.1 Em Teste</v>
      </c>
      <c r="H459" s="65">
        <f>VLOOKUP(A459,'Aux - pivots1'!$A:$B,2,0)</f>
        <v>2</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x14ac:dyDescent="0.45">
      <c r="A460" s="30" t="str">
        <f t="shared" si="35"/>
        <v>lt003_entitytrnstnl_trnvr</v>
      </c>
      <c r="B460" s="68" t="s">
        <v>26</v>
      </c>
      <c r="C460" s="69" t="s">
        <v>26</v>
      </c>
      <c r="D460" s="65" t="s">
        <v>40</v>
      </c>
      <c r="E460" s="71" t="s">
        <v>336</v>
      </c>
      <c r="F460" s="72" t="s">
        <v>350</v>
      </c>
      <c r="G460" s="65" t="str">
        <f>INDEX(Auxiliar!$B$16:$B$24,MATCH(Plano_V1!H460,Auxiliar!$C$16:$C$24,0),1)</f>
        <v>2.1 Em Teste</v>
      </c>
      <c r="H460" s="65">
        <f>VLOOKUP(A460,'Aux - pivots1'!$A:$B,2,0)</f>
        <v>2</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x14ac:dyDescent="0.45">
      <c r="A461" s="30" t="str">
        <f t="shared" si="35"/>
        <v>lt003_entitypure_trnvr_ccm</v>
      </c>
      <c r="B461" s="68" t="s">
        <v>26</v>
      </c>
      <c r="C461" s="69" t="s">
        <v>26</v>
      </c>
      <c r="D461" s="65" t="s">
        <v>40</v>
      </c>
      <c r="E461" s="71" t="s">
        <v>336</v>
      </c>
      <c r="F461" s="72" t="s">
        <v>351</v>
      </c>
      <c r="G461" s="65" t="str">
        <f>INDEX(Auxiliar!$B$16:$B$24,MATCH(Plano_V1!H461,Auxiliar!$C$16:$C$24,0),1)</f>
        <v>2.1 Em Teste</v>
      </c>
      <c r="H461" s="65">
        <f>VLOOKUP(A461,'Aux - pivots1'!$A:$B,2,0)</f>
        <v>2</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x14ac:dyDescent="0.45">
      <c r="A462" s="30" t="str">
        <f t="shared" si="35"/>
        <v>lt003_entitypure_trnvr_cca</v>
      </c>
      <c r="B462" s="68" t="s">
        <v>26</v>
      </c>
      <c r="C462" s="69" t="s">
        <v>26</v>
      </c>
      <c r="D462" s="65" t="s">
        <v>40</v>
      </c>
      <c r="E462" s="71" t="s">
        <v>336</v>
      </c>
      <c r="F462" s="72" t="s">
        <v>352</v>
      </c>
      <c r="G462" s="65" t="str">
        <f>INDEX(Auxiliar!$B$16:$B$24,MATCH(Plano_V1!H462,Auxiliar!$C$16:$C$24,0),1)</f>
        <v>2.1 Em Teste</v>
      </c>
      <c r="H462" s="65">
        <f>VLOOKUP(A462,'Aux - pivots1'!$A:$B,2,0)</f>
        <v>2</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x14ac:dyDescent="0.45">
      <c r="A463" s="30" t="str">
        <f t="shared" si="35"/>
        <v>lt003_entityflg_nfrd_applcblty</v>
      </c>
      <c r="B463" s="68" t="s">
        <v>26</v>
      </c>
      <c r="C463" s="69" t="s">
        <v>26</v>
      </c>
      <c r="D463" s="65" t="s">
        <v>40</v>
      </c>
      <c r="E463" s="71" t="s">
        <v>336</v>
      </c>
      <c r="F463" s="72" t="s">
        <v>353</v>
      </c>
      <c r="G463" s="65" t="str">
        <f>INDEX(Auxiliar!$B$16:$B$24,MATCH(Plano_V1!H463,Auxiliar!$C$16:$C$24,0),1)</f>
        <v>2.1 Em Teste</v>
      </c>
      <c r="H463" s="65">
        <f>VLOOKUP(A463,'Aux - pivots1'!$A:$B,2,0)</f>
        <v>2</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x14ac:dyDescent="0.45">
      <c r="A464" s="30" t="str">
        <f t="shared" si="35"/>
        <v>lt003_entitycntrprty_emssns_scp1</v>
      </c>
      <c r="B464" s="68" t="s">
        <v>26</v>
      </c>
      <c r="C464" s="69" t="s">
        <v>26</v>
      </c>
      <c r="D464" s="65" t="s">
        <v>40</v>
      </c>
      <c r="E464" s="71" t="s">
        <v>336</v>
      </c>
      <c r="F464" s="72" t="s">
        <v>354</v>
      </c>
      <c r="G464" s="65" t="str">
        <f>INDEX(Auxiliar!$B$16:$B$24,MATCH(Plano_V1!H464,Auxiliar!$C$16:$C$24,0),1)</f>
        <v>2.1 Em Teste</v>
      </c>
      <c r="H464" s="65">
        <f>VLOOKUP(A464,'Aux - pivots1'!$A:$B,2,0)</f>
        <v>2</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x14ac:dyDescent="0.45">
      <c r="A465" s="30" t="str">
        <f t="shared" si="35"/>
        <v>lt003_entitycntrprty_emssns_scp2</v>
      </c>
      <c r="B465" s="68" t="s">
        <v>26</v>
      </c>
      <c r="C465" s="69" t="s">
        <v>26</v>
      </c>
      <c r="D465" s="65" t="s">
        <v>40</v>
      </c>
      <c r="E465" s="71" t="s">
        <v>336</v>
      </c>
      <c r="F465" s="72" t="s">
        <v>355</v>
      </c>
      <c r="G465" s="65" t="str">
        <f>INDEX(Auxiliar!$B$16:$B$24,MATCH(Plano_V1!H465,Auxiliar!$C$16:$C$24,0),1)</f>
        <v>2.1 Em Teste</v>
      </c>
      <c r="H465" s="65">
        <f>VLOOKUP(A465,'Aux - pivots1'!$A:$B,2,0)</f>
        <v>2</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x14ac:dyDescent="0.45">
      <c r="A466" s="30" t="str">
        <f t="shared" si="35"/>
        <v>lt003_entitycntrprty_emssns_scp3</v>
      </c>
      <c r="B466" s="68" t="s">
        <v>26</v>
      </c>
      <c r="C466" s="69" t="s">
        <v>26</v>
      </c>
      <c r="D466" s="65" t="s">
        <v>40</v>
      </c>
      <c r="E466" s="71" t="s">
        <v>336</v>
      </c>
      <c r="F466" s="72" t="s">
        <v>356</v>
      </c>
      <c r="G466" s="65" t="str">
        <f>INDEX(Auxiliar!$B$16:$B$24,MATCH(Plano_V1!H466,Auxiliar!$C$16:$C$24,0),1)</f>
        <v>2.1 Em Teste</v>
      </c>
      <c r="H466" s="65">
        <f>VLOOKUP(A466,'Aux - pivots1'!$A:$B,2,0)</f>
        <v>2</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x14ac:dyDescent="0.45">
      <c r="A467" s="30" t="str">
        <f t="shared" si="35"/>
        <v>lt003_entityflg_excldd_eu_prs_algnd_bnchmrk</v>
      </c>
      <c r="B467" s="68" t="s">
        <v>26</v>
      </c>
      <c r="C467" s="69" t="s">
        <v>26</v>
      </c>
      <c r="D467" s="65" t="s">
        <v>40</v>
      </c>
      <c r="E467" s="71" t="s">
        <v>336</v>
      </c>
      <c r="F467" s="72" t="s">
        <v>357</v>
      </c>
      <c r="G467" s="65" t="str">
        <f>INDEX(Auxiliar!$B$16:$B$24,MATCH(Plano_V1!H467,Auxiliar!$C$16:$C$24,0),1)</f>
        <v>2.1 Em Teste</v>
      </c>
      <c r="H467" s="65">
        <f>VLOOKUP(A467,'Aux - pivots1'!$A:$B,2,0)</f>
        <v>2</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x14ac:dyDescent="0.45">
      <c r="A468" s="30" t="str">
        <f t="shared" si="35"/>
        <v>lt003_entityflg_act_physcl_rsk</v>
      </c>
      <c r="B468" s="68" t="s">
        <v>26</v>
      </c>
      <c r="C468" s="69" t="s">
        <v>26</v>
      </c>
      <c r="D468" s="65" t="s">
        <v>40</v>
      </c>
      <c r="E468" s="71" t="s">
        <v>336</v>
      </c>
      <c r="F468" s="72" t="s">
        <v>358</v>
      </c>
      <c r="G468" s="65" t="str">
        <f>INDEX(Auxiliar!$B$16:$B$24,MATCH(Plano_V1!H468,Auxiliar!$C$16:$C$24,0),1)</f>
        <v>3. Pendente de outros desenvolvimentos</v>
      </c>
      <c r="H468" s="65">
        <f>VLOOKUP(A468,'Aux - pivots1'!$A:$B,2,0)</f>
        <v>4</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x14ac:dyDescent="0.45">
      <c r="A469" s="30" t="str">
        <f t="shared" si="35"/>
        <v>lt003_entityflg_chrnc_physcl_rsk</v>
      </c>
      <c r="B469" s="68" t="s">
        <v>26</v>
      </c>
      <c r="C469" s="69" t="s">
        <v>26</v>
      </c>
      <c r="D469" s="65" t="s">
        <v>40</v>
      </c>
      <c r="E469" s="71" t="s">
        <v>336</v>
      </c>
      <c r="F469" s="72" t="s">
        <v>359</v>
      </c>
      <c r="G469" s="65" t="str">
        <f>INDEX(Auxiliar!$B$16:$B$24,MATCH(Plano_V1!H469,Auxiliar!$C$16:$C$24,0),1)</f>
        <v>3. Pendente de outros desenvolvimentos</v>
      </c>
      <c r="H469" s="65">
        <f>VLOOKUP(A469,'Aux - pivots1'!$A:$B,2,0)</f>
        <v>4</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x14ac:dyDescent="0.45">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x14ac:dyDescent="0.45">
      <c r="A471" s="30" t="str">
        <f t="shared" si="35"/>
        <v>lt003_entityesg_sbsctr</v>
      </c>
      <c r="B471" s="68" t="s">
        <v>26</v>
      </c>
      <c r="C471" s="69" t="s">
        <v>26</v>
      </c>
      <c r="D471" s="65" t="s">
        <v>40</v>
      </c>
      <c r="E471" s="71" t="s">
        <v>336</v>
      </c>
      <c r="F471" s="72" t="s">
        <v>361</v>
      </c>
      <c r="G471" s="65" t="str">
        <f>INDEX(Auxiliar!$B$16:$B$24,MATCH(Plano_V1!H471,Auxiliar!$C$16:$C$24,0),1)</f>
        <v>2.1 Em Teste</v>
      </c>
      <c r="H471" s="65">
        <f>VLOOKUP(A471,'Aux - pivots1'!$A:$B,2,0)</f>
        <v>2</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x14ac:dyDescent="0.45">
      <c r="A472" s="30" t="str">
        <f t="shared" si="35"/>
        <v>lt003_entityttl_lblty</v>
      </c>
      <c r="B472" s="68" t="s">
        <v>26</v>
      </c>
      <c r="C472" s="69" t="s">
        <v>26</v>
      </c>
      <c r="D472" s="65" t="s">
        <v>40</v>
      </c>
      <c r="E472" s="71" t="s">
        <v>336</v>
      </c>
      <c r="F472" s="72" t="s">
        <v>362</v>
      </c>
      <c r="G472" s="65" t="str">
        <f>INDEX(Auxiliar!$B$16:$B$24,MATCH(Plano_V1!H472,Auxiliar!$C$16:$C$24,0),1)</f>
        <v>6. Em implementação (re-especificação)</v>
      </c>
      <c r="H472" s="65">
        <f>VLOOKUP(A472,'Aux - pivots1'!$A:$B,2,0)</f>
        <v>7</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x14ac:dyDescent="0.45">
      <c r="A473" s="30" t="str">
        <f t="shared" si="35"/>
        <v>lt003_entityisin</v>
      </c>
      <c r="B473" s="68" t="s">
        <v>26</v>
      </c>
      <c r="C473" s="69" t="s">
        <v>26</v>
      </c>
      <c r="D473" s="65" t="s">
        <v>40</v>
      </c>
      <c r="E473" s="71" t="s">
        <v>336</v>
      </c>
      <c r="F473" s="72" t="s">
        <v>239</v>
      </c>
      <c r="G473" s="65" t="str">
        <f>INDEX(Auxiliar!$B$16:$B$24,MATCH(Plano_V1!H473,Auxiliar!$C$16:$C$24,0),1)</f>
        <v>2.1 Em Teste</v>
      </c>
      <c r="H473" s="65">
        <f>VLOOKUP(A473,'Aux - pivots1'!$A:$B,2,0)</f>
        <v>2</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x14ac:dyDescent="0.45">
      <c r="A474" s="30" t="str">
        <f t="shared" si="35"/>
        <v>lt003_entitygrp_annl_trnvr_le</v>
      </c>
      <c r="B474" s="68" t="s">
        <v>26</v>
      </c>
      <c r="C474" s="69" t="s">
        <v>26</v>
      </c>
      <c r="D474" s="65" t="s">
        <v>40</v>
      </c>
      <c r="E474" s="71" t="s">
        <v>336</v>
      </c>
      <c r="F474" s="72" t="s">
        <v>363</v>
      </c>
      <c r="G474" s="65" t="str">
        <f>INDEX(Auxiliar!$B$16:$B$24,MATCH(Plano_V1!H474,Auxiliar!$C$16:$C$24,0),1)</f>
        <v>2.1 Em Teste</v>
      </c>
      <c r="H474" s="65">
        <f>VLOOKUP(A474,'Aux - pivots1'!$A:$B,2,0)</f>
        <v>2</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x14ac:dyDescent="0.45">
      <c r="A475" s="30" t="str">
        <f t="shared" si="35"/>
        <v>lt003_entitygrp_ttl_lblty</v>
      </c>
      <c r="B475" s="68" t="s">
        <v>26</v>
      </c>
      <c r="C475" s="69" t="s">
        <v>26</v>
      </c>
      <c r="D475" s="65" t="s">
        <v>40</v>
      </c>
      <c r="E475" s="71" t="s">
        <v>336</v>
      </c>
      <c r="F475" s="72" t="s">
        <v>364</v>
      </c>
      <c r="G475" s="65" t="str">
        <f>INDEX(Auxiliar!$B$16:$B$24,MATCH(Plano_V1!H475,Auxiliar!$C$16:$C$24,0),1)</f>
        <v>2.1 Em Teste</v>
      </c>
      <c r="H475" s="65">
        <f>VLOOKUP(A475,'Aux - pivots1'!$A:$B,2,0)</f>
        <v>2</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x14ac:dyDescent="0.45">
      <c r="A476" s="30" t="str">
        <f t="shared" si="35"/>
        <v>lt003_entityflg_grp_nfrd_applcblty</v>
      </c>
      <c r="B476" s="68" t="s">
        <v>26</v>
      </c>
      <c r="C476" s="69" t="s">
        <v>26</v>
      </c>
      <c r="D476" s="65" t="s">
        <v>40</v>
      </c>
      <c r="E476" s="71" t="s">
        <v>336</v>
      </c>
      <c r="F476" s="72" t="s">
        <v>365</v>
      </c>
      <c r="G476" s="65" t="str">
        <f>INDEX(Auxiliar!$B$16:$B$24,MATCH(Plano_V1!H476,Auxiliar!$C$16:$C$24,0),1)</f>
        <v>2.1 Em Teste</v>
      </c>
      <c r="H476" s="65">
        <f>VLOOKUP(A476,'Aux - pivots1'!$A:$B,2,0)</f>
        <v>2</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x14ac:dyDescent="0.45">
      <c r="A477" s="30" t="str">
        <f t="shared" ref="A477:A598" si="38">E477&amp;F477</f>
        <v>lt003_entitygrp_emssns_scp1</v>
      </c>
      <c r="B477" s="68" t="s">
        <v>26</v>
      </c>
      <c r="C477" s="69" t="s">
        <v>26</v>
      </c>
      <c r="D477" s="65" t="s">
        <v>40</v>
      </c>
      <c r="E477" s="71" t="s">
        <v>336</v>
      </c>
      <c r="F477" s="72" t="s">
        <v>366</v>
      </c>
      <c r="G477" s="65" t="str">
        <f>INDEX(Auxiliar!$B$16:$B$24,MATCH(Plano_V1!H477,Auxiliar!$C$16:$C$24,0),1)</f>
        <v>2.1 Em Teste</v>
      </c>
      <c r="H477" s="65">
        <f>VLOOKUP(A477,'Aux - pivots1'!$A:$B,2,0)</f>
        <v>2</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x14ac:dyDescent="0.45">
      <c r="A478" s="30" t="str">
        <f t="shared" si="38"/>
        <v>lt003_entitygrp_emssns_scp2</v>
      </c>
      <c r="B478" s="68" t="s">
        <v>26</v>
      </c>
      <c r="C478" s="69" t="s">
        <v>26</v>
      </c>
      <c r="D478" s="65" t="s">
        <v>40</v>
      </c>
      <c r="E478" s="71" t="s">
        <v>336</v>
      </c>
      <c r="F478" s="72" t="s">
        <v>367</v>
      </c>
      <c r="G478" s="65" t="str">
        <f>INDEX(Auxiliar!$B$16:$B$24,MATCH(Plano_V1!H478,Auxiliar!$C$16:$C$24,0),1)</f>
        <v>2.1 Em Teste</v>
      </c>
      <c r="H478" s="65">
        <f>VLOOKUP(A478,'Aux - pivots1'!$A:$B,2,0)</f>
        <v>2</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x14ac:dyDescent="0.45">
      <c r="A479" s="30" t="str">
        <f t="shared" si="38"/>
        <v>lt003_entitygrp_emssns_scp3</v>
      </c>
      <c r="B479" s="68" t="s">
        <v>26</v>
      </c>
      <c r="C479" s="69" t="s">
        <v>26</v>
      </c>
      <c r="D479" s="65" t="s">
        <v>40</v>
      </c>
      <c r="E479" s="71" t="s">
        <v>336</v>
      </c>
      <c r="F479" s="72" t="s">
        <v>368</v>
      </c>
      <c r="G479" s="65" t="str">
        <f>INDEX(Auxiliar!$B$16:$B$24,MATCH(Plano_V1!H479,Auxiliar!$C$16:$C$24,0),1)</f>
        <v>2.1 Em Teste</v>
      </c>
      <c r="H479" s="65">
        <f>VLOOKUP(A479,'Aux - pivots1'!$A:$B,2,0)</f>
        <v>2</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x14ac:dyDescent="0.45">
      <c r="A480" s="30" t="str">
        <f t="shared" si="38"/>
        <v>lt004_protectiontyp_ep_scr</v>
      </c>
      <c r="B480" s="68" t="s">
        <v>26</v>
      </c>
      <c r="C480" s="69" t="s">
        <v>26</v>
      </c>
      <c r="D480" s="65" t="s">
        <v>40</v>
      </c>
      <c r="E480" s="71" t="s">
        <v>369</v>
      </c>
      <c r="F480" s="72" t="s">
        <v>370</v>
      </c>
      <c r="G480" s="65" t="str">
        <f>INDEX(Auxiliar!$B$16:$B$24,MATCH(Plano_V1!H480,Auxiliar!$C$16:$C$24,0),1)</f>
        <v>2.1 Em Teste</v>
      </c>
      <c r="H480" s="65">
        <f>VLOOKUP(A480,'Aux - pivots1'!$A:$B,2,0)</f>
        <v>2</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x14ac:dyDescent="0.45">
      <c r="A481" s="30" t="str">
        <f t="shared" si="38"/>
        <v>lt004_protectionep_scr</v>
      </c>
      <c r="B481" s="68" t="s">
        <v>26</v>
      </c>
      <c r="C481" s="69" t="s">
        <v>26</v>
      </c>
      <c r="D481" s="65" t="s">
        <v>40</v>
      </c>
      <c r="E481" s="71" t="s">
        <v>369</v>
      </c>
      <c r="F481" s="72" t="s">
        <v>371</v>
      </c>
      <c r="G481" s="65" t="str">
        <f>INDEX(Auxiliar!$B$16:$B$24,MATCH(Plano_V1!H481,Auxiliar!$C$16:$C$24,0),1)</f>
        <v>2.1 Em Teste</v>
      </c>
      <c r="H481" s="65">
        <f>VLOOKUP(A481,'Aux - pivots1'!$A:$B,2,0)</f>
        <v>2</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x14ac:dyDescent="0.45">
      <c r="A482" s="30" t="str">
        <f t="shared" si="38"/>
        <v>lt004_protectiontyp_epc_lbl</v>
      </c>
      <c r="B482" s="68" t="s">
        <v>26</v>
      </c>
      <c r="C482" s="69" t="s">
        <v>26</v>
      </c>
      <c r="D482" s="65" t="s">
        <v>40</v>
      </c>
      <c r="E482" s="71" t="s">
        <v>369</v>
      </c>
      <c r="F482" s="72" t="s">
        <v>372</v>
      </c>
      <c r="G482" s="65" t="str">
        <f>INDEX(Auxiliar!$B$16:$B$24,MATCH(Plano_V1!H482,Auxiliar!$C$16:$C$24,0),1)</f>
        <v>2.1 Em Teste</v>
      </c>
      <c r="H482" s="65">
        <f>VLOOKUP(A482,'Aux - pivots1'!$A:$B,2,0)</f>
        <v>2</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x14ac:dyDescent="0.45">
      <c r="A483" s="30" t="str">
        <f t="shared" si="38"/>
        <v>lt004_protectionepc_lbl</v>
      </c>
      <c r="B483" s="68" t="s">
        <v>26</v>
      </c>
      <c r="C483" s="69" t="s">
        <v>26</v>
      </c>
      <c r="D483" s="65" t="s">
        <v>40</v>
      </c>
      <c r="E483" s="71" t="s">
        <v>369</v>
      </c>
      <c r="F483" s="72" t="s">
        <v>373</v>
      </c>
      <c r="G483" s="65" t="str">
        <f>INDEX(Auxiliar!$B$16:$B$24,MATCH(Plano_V1!H483,Auxiliar!$C$16:$C$24,0),1)</f>
        <v>2.1 Em Teste</v>
      </c>
      <c r="H483" s="65">
        <f>VLOOKUP(A483,'Aux - pivots1'!$A:$B,2,0)</f>
        <v>2</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x14ac:dyDescent="0.45">
      <c r="A484" s="30" t="str">
        <f t="shared" si="38"/>
        <v>lt004_protectionemssns_scp1_prtctn</v>
      </c>
      <c r="B484" s="68" t="s">
        <v>26</v>
      </c>
      <c r="C484" s="69" t="s">
        <v>26</v>
      </c>
      <c r="D484" s="65" t="s">
        <v>40</v>
      </c>
      <c r="E484" s="71" t="s">
        <v>369</v>
      </c>
      <c r="F484" s="72" t="s">
        <v>374</v>
      </c>
      <c r="G484" s="65" t="str">
        <f>INDEX(Auxiliar!$B$16:$B$24,MATCH(Plano_V1!H484,Auxiliar!$C$16:$C$24,0),1)</f>
        <v>6. Em implementação (re-especificação)</v>
      </c>
      <c r="H484" s="65">
        <f>VLOOKUP(A484,'Aux - pivots1'!$A:$B,2,0)</f>
        <v>7</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x14ac:dyDescent="0.45">
      <c r="A485" s="30" t="str">
        <f t="shared" si="38"/>
        <v>lt004_protectionemssns_scp2_prtctn</v>
      </c>
      <c r="B485" s="68" t="s">
        <v>26</v>
      </c>
      <c r="C485" s="69" t="s">
        <v>26</v>
      </c>
      <c r="D485" s="65" t="s">
        <v>40</v>
      </c>
      <c r="E485" s="71" t="s">
        <v>369</v>
      </c>
      <c r="F485" s="72" t="s">
        <v>375</v>
      </c>
      <c r="G485" s="65" t="str">
        <f>INDEX(Auxiliar!$B$16:$B$24,MATCH(Plano_V1!H485,Auxiliar!$C$16:$C$24,0),1)</f>
        <v>6. Em implementação (re-especificação)</v>
      </c>
      <c r="H485" s="65">
        <f>VLOOKUP(A485,'Aux - pivots1'!$A:$B,2,0)</f>
        <v>7</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x14ac:dyDescent="0.45">
      <c r="A486" s="30" t="str">
        <f t="shared" si="38"/>
        <v>lt004_protectionemssns_scp3_prtctn</v>
      </c>
      <c r="B486" s="68" t="s">
        <v>26</v>
      </c>
      <c r="C486" s="69" t="s">
        <v>26</v>
      </c>
      <c r="D486" s="65" t="s">
        <v>40</v>
      </c>
      <c r="E486" s="71" t="s">
        <v>369</v>
      </c>
      <c r="F486" s="72" t="s">
        <v>376</v>
      </c>
      <c r="G486" s="65" t="str">
        <f>INDEX(Auxiliar!$B$16:$B$24,MATCH(Plano_V1!H486,Auxiliar!$C$16:$C$24,0),1)</f>
        <v>6. Em implementação (re-especificação)</v>
      </c>
      <c r="H486" s="65">
        <f>VLOOKUP(A486,'Aux - pivots1'!$A:$B,2,0)</f>
        <v>7</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x14ac:dyDescent="0.45">
      <c r="A487" s="30" t="str">
        <f t="shared" si="38"/>
        <v>lt004_protectionmthd_usd_prtctn_scp_1</v>
      </c>
      <c r="B487" s="68" t="s">
        <v>26</v>
      </c>
      <c r="C487" s="69" t="s">
        <v>26</v>
      </c>
      <c r="D487" s="65" t="s">
        <v>40</v>
      </c>
      <c r="E487" s="71" t="s">
        <v>369</v>
      </c>
      <c r="F487" s="72" t="s">
        <v>377</v>
      </c>
      <c r="G487" s="65" t="str">
        <f>INDEX(Auxiliar!$B$16:$B$24,MATCH(Plano_V1!H487,Auxiliar!$C$16:$C$24,0),1)</f>
        <v>6. Em implementação (re-especificação)</v>
      </c>
      <c r="H487" s="65">
        <f>VLOOKUP(A487,'Aux - pivots1'!$A:$B,2,0)</f>
        <v>7</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x14ac:dyDescent="0.45">
      <c r="A488" s="30" t="str">
        <f t="shared" si="38"/>
        <v>lt004_protectionmthd_usd_prtctn_scp_2</v>
      </c>
      <c r="B488" s="68" t="s">
        <v>26</v>
      </c>
      <c r="C488" s="69" t="s">
        <v>26</v>
      </c>
      <c r="D488" s="65" t="s">
        <v>40</v>
      </c>
      <c r="E488" s="71" t="s">
        <v>369</v>
      </c>
      <c r="F488" s="72" t="s">
        <v>378</v>
      </c>
      <c r="G488" s="65" t="str">
        <f>INDEX(Auxiliar!$B$16:$B$24,MATCH(Plano_V1!H488,Auxiliar!$C$16:$C$24,0),1)</f>
        <v>6. Em implementação (re-especificação)</v>
      </c>
      <c r="H488" s="65">
        <f>VLOOKUP(A488,'Aux - pivots1'!$A:$B,2,0)</f>
        <v>7</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x14ac:dyDescent="0.45">
      <c r="A489" s="30" t="str">
        <f t="shared" si="38"/>
        <v>lt004_protectionmthd_usd_prtctn_scp_3</v>
      </c>
      <c r="B489" s="68" t="s">
        <v>26</v>
      </c>
      <c r="C489" s="69" t="s">
        <v>26</v>
      </c>
      <c r="D489" s="65" t="s">
        <v>40</v>
      </c>
      <c r="E489" s="71" t="s">
        <v>369</v>
      </c>
      <c r="F489" s="72" t="s">
        <v>379</v>
      </c>
      <c r="G489" s="65" t="str">
        <f>INDEX(Auxiliar!$B$16:$B$24,MATCH(Plano_V1!H489,Auxiliar!$C$16:$C$24,0),1)</f>
        <v>6. Em implementação (re-especificação)</v>
      </c>
      <c r="H489" s="65">
        <f>VLOOKUP(A489,'Aux - pivots1'!$A:$B,2,0)</f>
        <v>7</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x14ac:dyDescent="0.45">
      <c r="A490" s="30" t="str">
        <f t="shared" si="38"/>
        <v>lt004_protectionflg_act_physcl_rsk</v>
      </c>
      <c r="B490" s="68" t="s">
        <v>26</v>
      </c>
      <c r="C490" s="69" t="s">
        <v>26</v>
      </c>
      <c r="D490" s="65" t="s">
        <v>40</v>
      </c>
      <c r="E490" s="71" t="s">
        <v>369</v>
      </c>
      <c r="F490" s="72" t="s">
        <v>358</v>
      </c>
      <c r="G490" s="65" t="str">
        <f>INDEX(Auxiliar!$B$16:$B$24,MATCH(Plano_V1!H490,Auxiliar!$C$16:$C$24,0),1)</f>
        <v>3. Pendente de outros desenvolvimentos</v>
      </c>
      <c r="H490" s="65">
        <f>VLOOKUP(A490,'Aux - pivots1'!$A:$B,2,0)</f>
        <v>4</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x14ac:dyDescent="0.45">
      <c r="A491" s="30" t="str">
        <f t="shared" si="38"/>
        <v>lt004_protectionflg_chrnc_physcl_rsk</v>
      </c>
      <c r="B491" s="68" t="s">
        <v>26</v>
      </c>
      <c r="C491" s="69" t="s">
        <v>26</v>
      </c>
      <c r="D491" s="65" t="s">
        <v>40</v>
      </c>
      <c r="E491" s="71" t="s">
        <v>369</v>
      </c>
      <c r="F491" s="72" t="s">
        <v>359</v>
      </c>
      <c r="G491" s="65" t="str">
        <f>INDEX(Auxiliar!$B$16:$B$24,MATCH(Plano_V1!H491,Auxiliar!$C$16:$C$24,0),1)</f>
        <v>3. Pendente de outros desenvolvimentos</v>
      </c>
      <c r="H491" s="65">
        <f>VLOOKUP(A491,'Aux - pivots1'!$A:$B,2,0)</f>
        <v>4</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x14ac:dyDescent="0.45">
      <c r="A492" s="30" t="str">
        <f t="shared" si="38"/>
        <v>lt002_instrumentrsk_mtgtd_cct</v>
      </c>
      <c r="B492" s="68" t="s">
        <v>26</v>
      </c>
      <c r="C492" s="69" t="s">
        <v>26</v>
      </c>
      <c r="D492" s="65" t="s">
        <v>40</v>
      </c>
      <c r="E492" s="71" t="s">
        <v>380</v>
      </c>
      <c r="F492" s="72" t="s">
        <v>381</v>
      </c>
      <c r="G492" s="65" t="str">
        <f>INDEX(Auxiliar!$B$16:$B$24,MATCH(Plano_V1!H492,Auxiliar!$C$16:$C$24,0),1)</f>
        <v>2.1 Em Teste</v>
      </c>
      <c r="H492" s="65">
        <f>VLOOKUP(A492,'Aux - pivots1'!$A:$B,2,0)</f>
        <v>2</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x14ac:dyDescent="0.45">
      <c r="A493" s="30" t="str">
        <f t="shared" si="38"/>
        <v>lt002_instrumentrsk_mtgtd_ccp</v>
      </c>
      <c r="B493" s="68" t="s">
        <v>26</v>
      </c>
      <c r="C493" s="69" t="s">
        <v>26</v>
      </c>
      <c r="D493" s="65" t="s">
        <v>40</v>
      </c>
      <c r="E493" s="71" t="s">
        <v>380</v>
      </c>
      <c r="F493" s="72" t="s">
        <v>382</v>
      </c>
      <c r="G493" s="65" t="str">
        <f>INDEX(Auxiliar!$B$16:$B$24,MATCH(Plano_V1!H493,Auxiliar!$C$16:$C$24,0),1)</f>
        <v>6. Em implementação (re-especificação)</v>
      </c>
      <c r="H493" s="65">
        <f>VLOOKUP(A493,'Aux - pivots1'!$A:$B,2,0)</f>
        <v>7</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x14ac:dyDescent="0.45">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x14ac:dyDescent="0.45">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x14ac:dyDescent="0.45">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x14ac:dyDescent="0.45">
      <c r="A497" s="30" t="str">
        <f t="shared" si="38"/>
        <v>lt002_instrumentmthd_usd_instrmnt_scp_1</v>
      </c>
      <c r="B497" s="68" t="s">
        <v>26</v>
      </c>
      <c r="C497" s="69" t="s">
        <v>26</v>
      </c>
      <c r="D497" s="65" t="s">
        <v>40</v>
      </c>
      <c r="E497" s="71" t="s">
        <v>380</v>
      </c>
      <c r="F497" s="72" t="s">
        <v>386</v>
      </c>
      <c r="G497" s="65" t="str">
        <f>INDEX(Auxiliar!$B$16:$B$24,MATCH(Plano_V1!H497,Auxiliar!$C$16:$C$24,0),1)</f>
        <v>6. Em implementação (re-especificação)</v>
      </c>
      <c r="H497" s="65">
        <f>VLOOKUP(A497,'Aux - pivots1'!$A:$B,2,0)</f>
        <v>7</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x14ac:dyDescent="0.45">
      <c r="A498" s="30" t="str">
        <f t="shared" si="38"/>
        <v>lt002_instrumentmthd_usd_instrmnt_scp_2</v>
      </c>
      <c r="B498" s="68" t="s">
        <v>26</v>
      </c>
      <c r="C498" s="69" t="s">
        <v>26</v>
      </c>
      <c r="D498" s="65" t="s">
        <v>40</v>
      </c>
      <c r="E498" s="71" t="s">
        <v>380</v>
      </c>
      <c r="F498" s="72" t="s">
        <v>387</v>
      </c>
      <c r="G498" s="65" t="str">
        <f>INDEX(Auxiliar!$B$16:$B$24,MATCH(Plano_V1!H498,Auxiliar!$C$16:$C$24,0),1)</f>
        <v>6. Em implementação (re-especificação)</v>
      </c>
      <c r="H498" s="65">
        <f>VLOOKUP(A498,'Aux - pivots1'!$A:$B,2,0)</f>
        <v>7</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x14ac:dyDescent="0.45">
      <c r="A499" s="30" t="str">
        <f t="shared" si="38"/>
        <v>lt002_instrumentmthd_usd_instrmnt_scp_3</v>
      </c>
      <c r="B499" s="68" t="s">
        <v>26</v>
      </c>
      <c r="C499" s="69" t="s">
        <v>26</v>
      </c>
      <c r="D499" s="65" t="s">
        <v>40</v>
      </c>
      <c r="E499" s="71" t="s">
        <v>380</v>
      </c>
      <c r="F499" s="72" t="s">
        <v>388</v>
      </c>
      <c r="G499" s="65" t="str">
        <f>INDEX(Auxiliar!$B$16:$B$24,MATCH(Plano_V1!H499,Auxiliar!$C$16:$C$24,0),1)</f>
        <v>6. Em implementação (re-especificação)</v>
      </c>
      <c r="H499" s="65">
        <f>VLOOKUP(A499,'Aux - pivots1'!$A:$B,2,0)</f>
        <v>7</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x14ac:dyDescent="0.45">
      <c r="A500" s="30" t="str">
        <f t="shared" si="38"/>
        <v>lt002_instrumentsstnbl_ctgry_txnmy</v>
      </c>
      <c r="B500" s="68" t="s">
        <v>26</v>
      </c>
      <c r="C500" s="69" t="s">
        <v>26</v>
      </c>
      <c r="D500" s="65" t="s">
        <v>40</v>
      </c>
      <c r="E500" s="71" t="s">
        <v>380</v>
      </c>
      <c r="F500" s="72" t="s">
        <v>389</v>
      </c>
      <c r="G500" s="65" t="str">
        <f>INDEX(Auxiliar!$B$16:$B$24,MATCH(Plano_V1!H500,Auxiliar!$C$16:$C$24,0),1)</f>
        <v>2.1 Em Teste</v>
      </c>
      <c r="H500" s="65">
        <f>VLOOKUP(A500,'Aux - pivots1'!$A:$B,2,0)</f>
        <v>2</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x14ac:dyDescent="0.45">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x14ac:dyDescent="0.45">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x14ac:dyDescent="0.45">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x14ac:dyDescent="0.45">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x14ac:dyDescent="0.45">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x14ac:dyDescent="0.45">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x14ac:dyDescent="0.45">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x14ac:dyDescent="0.45">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x14ac:dyDescent="0.45">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x14ac:dyDescent="0.45">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x14ac:dyDescent="0.45">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x14ac:dyDescent="0.45">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x14ac:dyDescent="0.45">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x14ac:dyDescent="0.45">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x14ac:dyDescent="0.45">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x14ac:dyDescent="0.45">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x14ac:dyDescent="0.45">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x14ac:dyDescent="0.45">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x14ac:dyDescent="0.45">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x14ac:dyDescent="0.45">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x14ac:dyDescent="0.45">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x14ac:dyDescent="0.45">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x14ac:dyDescent="0.45">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x14ac:dyDescent="0.45">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x14ac:dyDescent="0.45">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x14ac:dyDescent="0.45">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x14ac:dyDescent="0.45">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x14ac:dyDescent="0.45">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x14ac:dyDescent="0.45">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x14ac:dyDescent="0.45">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x14ac:dyDescent="0.45">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x14ac:dyDescent="0.45">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x14ac:dyDescent="0.45">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x14ac:dyDescent="0.45">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x14ac:dyDescent="0.45">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x14ac:dyDescent="0.45">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x14ac:dyDescent="0.45">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x14ac:dyDescent="0.45">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x14ac:dyDescent="0.45">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x14ac:dyDescent="0.45">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x14ac:dyDescent="0.45">
      <c r="A541" s="30" t="str">
        <f t="shared" si="38"/>
        <v>lt002_instrumentgrss_intrst_incm</v>
      </c>
      <c r="B541" s="68" t="s">
        <v>26</v>
      </c>
      <c r="C541" s="69" t="s">
        <v>26</v>
      </c>
      <c r="D541" s="65" t="s">
        <v>40</v>
      </c>
      <c r="E541" s="71" t="s">
        <v>380</v>
      </c>
      <c r="F541" s="72" t="s">
        <v>421</v>
      </c>
      <c r="G541" s="65" t="str">
        <f>INDEX(Auxiliar!$B$16:$B$24,MATCH(Plano_V1!H541,Auxiliar!$C$16:$C$24,0),1)</f>
        <v>5. Em Correção</v>
      </c>
      <c r="H541" s="65">
        <f>VLOOKUP(A541,'Aux - pivots1'!$A:$B,2,0)</f>
        <v>6</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x14ac:dyDescent="0.45">
      <c r="A542" s="30" t="str">
        <f t="shared" si="38"/>
        <v>lt002_instrumentgrss_cmmssn_incm</v>
      </c>
      <c r="B542" s="68" t="s">
        <v>26</v>
      </c>
      <c r="C542" s="69" t="s">
        <v>26</v>
      </c>
      <c r="D542" s="65" t="s">
        <v>40</v>
      </c>
      <c r="E542" s="71" t="s">
        <v>380</v>
      </c>
      <c r="F542" s="72" t="s">
        <v>422</v>
      </c>
      <c r="G542" s="65" t="str">
        <f>INDEX(Auxiliar!$B$16:$B$24,MATCH(Plano_V1!H542,Auxiliar!$C$16:$C$24,0),1)</f>
        <v>5. Em Correção</v>
      </c>
      <c r="H542" s="65">
        <f>VLOOKUP(A542,'Aux - pivots1'!$A:$B,2,0)</f>
        <v>6</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x14ac:dyDescent="0.45">
      <c r="A543" s="30" t="str">
        <f t="shared" si="38"/>
        <v>lt002_instrumentgrss_cmmssn_incm_off_blnc</v>
      </c>
      <c r="B543" s="68" t="s">
        <v>26</v>
      </c>
      <c r="C543" s="69" t="s">
        <v>26</v>
      </c>
      <c r="D543" s="65" t="s">
        <v>40</v>
      </c>
      <c r="E543" s="71" t="s">
        <v>380</v>
      </c>
      <c r="F543" s="72" t="s">
        <v>423</v>
      </c>
      <c r="G543" s="65" t="str">
        <f>INDEX(Auxiliar!$B$16:$B$24,MATCH(Plano_V1!H543,Auxiliar!$C$16:$C$24,0),1)</f>
        <v>5. Em Correção</v>
      </c>
      <c r="H543" s="65">
        <f>VLOOKUP(A543,'Aux - pivots1'!$A:$B,2,0)</f>
        <v>6</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x14ac:dyDescent="0.45">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x14ac:dyDescent="0.45">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x14ac:dyDescent="0.45">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x14ac:dyDescent="0.45">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x14ac:dyDescent="0.45">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x14ac:dyDescent="0.45">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x14ac:dyDescent="0.45">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x14ac:dyDescent="0.45">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x14ac:dyDescent="0.45">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x14ac:dyDescent="0.45">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x14ac:dyDescent="0.45">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x14ac:dyDescent="0.45">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x14ac:dyDescent="0.45">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x14ac:dyDescent="0.45">
      <c r="A557" s="30" t="str">
        <f t="shared" si="38"/>
        <v>lt004_protectionprtctn_id</v>
      </c>
      <c r="B557" s="68" t="s">
        <v>26</v>
      </c>
      <c r="C557" s="69" t="s">
        <v>26</v>
      </c>
      <c r="D557" s="65" t="s">
        <v>40</v>
      </c>
      <c r="E557" s="71" t="s">
        <v>369</v>
      </c>
      <c r="F557" s="72" t="s">
        <v>434</v>
      </c>
      <c r="G557" s="65" t="str">
        <f>INDEX(Auxiliar!$B$16:$B$24,MATCH(Plano_V1!H557,Auxiliar!$C$16:$C$24,0),1)</f>
        <v>2.1 Em Teste</v>
      </c>
      <c r="H557" s="65">
        <f>VLOOKUP(A557,'Aux - pivots1'!$A:$B,2,0)</f>
        <v>2</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x14ac:dyDescent="0.45">
      <c r="A558" s="30" t="str">
        <f t="shared" si="38"/>
        <v>lt004_protectionrl_estt_clltrl_lctn</v>
      </c>
      <c r="B558" s="68" t="s">
        <v>26</v>
      </c>
      <c r="C558" s="69" t="s">
        <v>26</v>
      </c>
      <c r="D558" s="65" t="s">
        <v>40</v>
      </c>
      <c r="E558" s="71" t="s">
        <v>369</v>
      </c>
      <c r="F558" s="72" t="s">
        <v>435</v>
      </c>
      <c r="G558" s="65" t="str">
        <f>INDEX(Auxiliar!$B$16:$B$24,MATCH(Plano_V1!H558,Auxiliar!$C$16:$C$24,0),1)</f>
        <v>2.1 Em Teste</v>
      </c>
      <c r="H558" s="65">
        <f>VLOOKUP(A558,'Aux - pivots1'!$A:$B,2,0)</f>
        <v>2</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x14ac:dyDescent="0.45">
      <c r="A559" s="30" t="str">
        <f t="shared" si="38"/>
        <v>lt004_protectionrl_estt_pst_cd</v>
      </c>
      <c r="B559" s="68" t="s">
        <v>26</v>
      </c>
      <c r="C559" s="69" t="s">
        <v>26</v>
      </c>
      <c r="D559" s="65" t="s">
        <v>40</v>
      </c>
      <c r="E559" s="71" t="s">
        <v>369</v>
      </c>
      <c r="F559" s="72" t="s">
        <v>436</v>
      </c>
      <c r="G559" s="65" t="str">
        <f>INDEX(Auxiliar!$B$16:$B$24,MATCH(Plano_V1!H559,Auxiliar!$C$16:$C$24,0),1)</f>
        <v>2.1 Em Teste</v>
      </c>
      <c r="H559" s="65">
        <f>VLOOKUP(A559,'Aux - pivots1'!$A:$B,2,0)</f>
        <v>2</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x14ac:dyDescent="0.45">
      <c r="A560" s="30" t="str">
        <f t="shared" si="38"/>
        <v>lt004_protectiontyp_prtctn</v>
      </c>
      <c r="B560" s="68" t="s">
        <v>26</v>
      </c>
      <c r="C560" s="69" t="s">
        <v>26</v>
      </c>
      <c r="D560" s="65" t="s">
        <v>40</v>
      </c>
      <c r="E560" s="71" t="s">
        <v>369</v>
      </c>
      <c r="F560" s="72" t="s">
        <v>437</v>
      </c>
      <c r="G560" s="65" t="str">
        <f>INDEX(Auxiliar!$B$16:$B$24,MATCH(Plano_V1!H560,Auxiliar!$C$16:$C$24,0),1)</f>
        <v>6. Em implementação (re-especificação)</v>
      </c>
      <c r="H560" s="65">
        <f>VLOOKUP(A560,'Aux - pivots1'!$A:$B,2,0)</f>
        <v>7</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x14ac:dyDescent="0.45">
      <c r="A561" s="30" t="str">
        <f t="shared" si="38"/>
        <v>lt004_protectionorgnl_prtctn_vl</v>
      </c>
      <c r="B561" s="68" t="s">
        <v>26</v>
      </c>
      <c r="C561" s="69" t="s">
        <v>26</v>
      </c>
      <c r="D561" s="65" t="s">
        <v>40</v>
      </c>
      <c r="E561" s="71" t="s">
        <v>369</v>
      </c>
      <c r="F561" s="72" t="s">
        <v>438</v>
      </c>
      <c r="G561" s="65" t="str">
        <f>INDEX(Auxiliar!$B$16:$B$24,MATCH(Plano_V1!H561,Auxiliar!$C$16:$C$24,0),1)</f>
        <v>3. Pendente de outros desenvolvimentos</v>
      </c>
      <c r="H561" s="65">
        <f>VLOOKUP(A561,'Aux - pivots1'!$A:$B,2,0)</f>
        <v>4</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x14ac:dyDescent="0.45">
      <c r="A562" s="30" t="str">
        <f t="shared" si="38"/>
        <v>lt004_protectionprtctn_vl</v>
      </c>
      <c r="B562" s="68" t="s">
        <v>26</v>
      </c>
      <c r="C562" s="69" t="s">
        <v>26</v>
      </c>
      <c r="D562" s="65" t="s">
        <v>40</v>
      </c>
      <c r="E562" s="71" t="s">
        <v>369</v>
      </c>
      <c r="F562" s="72" t="s">
        <v>439</v>
      </c>
      <c r="G562" s="65" t="str">
        <f>INDEX(Auxiliar!$B$16:$B$24,MATCH(Plano_V1!H562,Auxiliar!$C$16:$C$24,0),1)</f>
        <v>6. Em implementação (re-especificação)</v>
      </c>
      <c r="H562" s="65">
        <f>VLOOKUP(A562,'Aux - pivots1'!$A:$B,2,0)</f>
        <v>7</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x14ac:dyDescent="0.45">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x14ac:dyDescent="0.45">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x14ac:dyDescent="0.45">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x14ac:dyDescent="0.45">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x14ac:dyDescent="0.45">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x14ac:dyDescent="0.45">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x14ac:dyDescent="0.45">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x14ac:dyDescent="0.45">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x14ac:dyDescent="0.45">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x14ac:dyDescent="0.45">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x14ac:dyDescent="0.45">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x14ac:dyDescent="0.45">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x14ac:dyDescent="0.45">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x14ac:dyDescent="0.45">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x14ac:dyDescent="0.45">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x14ac:dyDescent="0.45">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x14ac:dyDescent="0.45">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x14ac:dyDescent="0.45">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x14ac:dyDescent="0.45">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x14ac:dyDescent="0.45">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x14ac:dyDescent="0.45">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x14ac:dyDescent="0.45">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x14ac:dyDescent="0.45">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x14ac:dyDescent="0.45">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x14ac:dyDescent="0.45">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x14ac:dyDescent="0.45">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x14ac:dyDescent="0.45">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x14ac:dyDescent="0.45">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x14ac:dyDescent="0.45">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x14ac:dyDescent="0.45">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x14ac:dyDescent="0.45">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x14ac:dyDescent="0.45">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x14ac:dyDescent="0.45">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x14ac:dyDescent="0.45">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x14ac:dyDescent="0.45">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x14ac:dyDescent="0.45">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x14ac:dyDescent="0.45">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x14ac:dyDescent="0.45">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x14ac:dyDescent="0.45">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x14ac:dyDescent="0.45">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x14ac:dyDescent="0.45">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x14ac:dyDescent="0.45">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x14ac:dyDescent="0.45">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x14ac:dyDescent="0.45">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x14ac:dyDescent="0.45">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x14ac:dyDescent="0.45">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x14ac:dyDescent="0.45">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x14ac:dyDescent="0.45">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x14ac:dyDescent="0.45">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x14ac:dyDescent="0.45">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x14ac:dyDescent="0.45">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x14ac:dyDescent="0.45">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x14ac:dyDescent="0.45">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x14ac:dyDescent="0.45">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x14ac:dyDescent="0.45">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x14ac:dyDescent="0.45">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x14ac:dyDescent="0.45">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x14ac:dyDescent="0.45">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x14ac:dyDescent="0.45">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x14ac:dyDescent="0.45">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x14ac:dyDescent="0.45">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x14ac:dyDescent="0.45">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x14ac:dyDescent="0.45">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x14ac:dyDescent="0.45">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x14ac:dyDescent="0.45">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x14ac:dyDescent="0.45">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x14ac:dyDescent="0.45">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x14ac:dyDescent="0.45">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x14ac:dyDescent="0.45">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x14ac:dyDescent="0.45">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x14ac:dyDescent="0.45">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x14ac:dyDescent="0.45">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x14ac:dyDescent="0.45">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x14ac:dyDescent="0.45">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x14ac:dyDescent="0.45">
      <c r="D639" s="12"/>
      <c r="AT639" t="s">
        <v>444</v>
      </c>
    </row>
  </sheetData>
  <autoFilter ref="B13:K636" xr:uid="{00000000-0009-0000-0000-000000000000}"/>
  <conditionalFormatting sqref="L15:L18 L26:L447">
    <cfRule type="cellIs" dxfId="126" priority="11" operator="notEqual">
      <formula>0</formula>
    </cfRule>
  </conditionalFormatting>
  <conditionalFormatting sqref="L21:L23">
    <cfRule type="cellIs" dxfId="125" priority="3" operator="notEqual">
      <formula>0</formula>
    </cfRule>
  </conditionalFormatting>
  <conditionalFormatting sqref="L577:L579">
    <cfRule type="cellIs" dxfId="124" priority="2" operator="notEqual">
      <formula>0</formula>
    </cfRule>
  </conditionalFormatting>
  <conditionalFormatting sqref="L582:L636">
    <cfRule type="cellIs" dxfId="123" priority="1" operator="notEqual">
      <formula>0</formula>
    </cfRule>
  </conditionalFormatting>
  <conditionalFormatting sqref="M5:M6 N6:FK6">
    <cfRule type="cellIs" dxfId="122" priority="12" operator="notEqual">
      <formula>0</formula>
    </cfRule>
  </conditionalFormatting>
  <conditionalFormatting sqref="M15:FK18 M21:FK23 M577:FK579 M636:FK636">
    <cfRule type="cellIs" dxfId="121" priority="10" operator="greaterThan">
      <formula>0</formula>
    </cfRule>
  </conditionalFormatting>
  <conditionalFormatting sqref="M26:FK27">
    <cfRule type="cellIs" dxfId="120" priority="9" operator="greaterThan">
      <formula>0</formula>
    </cfRule>
  </conditionalFormatting>
  <conditionalFormatting sqref="M42:FK42">
    <cfRule type="cellIs" dxfId="119" priority="8" operator="greaterThan">
      <formula>0</formula>
    </cfRule>
  </conditionalFormatting>
  <conditionalFormatting sqref="M198:FK198">
    <cfRule type="cellIs" dxfId="118" priority="7" operator="greaterThan">
      <formula>0</formula>
    </cfRule>
  </conditionalFormatting>
  <conditionalFormatting sqref="M362:FK362">
    <cfRule type="cellIs" dxfId="117" priority="6" operator="greaterThan">
      <formula>0</formula>
    </cfRule>
  </conditionalFormatting>
  <conditionalFormatting sqref="M447:FK447">
    <cfRule type="cellIs" dxfId="116" priority="5" operator="greaterThan">
      <formula>0</formula>
    </cfRule>
  </conditionalFormatting>
  <conditionalFormatting sqref="M582:FK583">
    <cfRule type="cellIs" dxfId="115"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AN153"/>
  <sheetViews>
    <sheetView showGridLines="0" topLeftCell="A57" zoomScale="70" zoomScaleNormal="70" workbookViewId="0">
      <selection activeCell="D58" sqref="D58"/>
    </sheetView>
  </sheetViews>
  <sheetFormatPr defaultColWidth="0" defaultRowHeight="17.399999999999999" zeroHeight="1" x14ac:dyDescent="0.45"/>
  <cols>
    <col min="1" max="2" width="3.69921875" style="26" customWidth="1"/>
    <col min="3"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x14ac:dyDescent="0.45"/>
    <row r="2" spans="1:34" x14ac:dyDescent="0.45"/>
    <row r="3" spans="1:34" x14ac:dyDescent="0.45"/>
    <row r="4" spans="1:34" ht="4.95" customHeight="1" x14ac:dyDescent="0.45">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x14ac:dyDescent="0.45">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x14ac:dyDescent="0.55000000000000004">
      <c r="A6" s="117"/>
      <c r="B6" s="127" t="s">
        <v>2034</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x14ac:dyDescent="0.45">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x14ac:dyDescent="0.45">
      <c r="A8" s="117"/>
      <c r="B8" s="336" t="s">
        <v>2031</v>
      </c>
      <c r="C8" s="337"/>
      <c r="D8" s="337"/>
      <c r="E8" s="337"/>
      <c r="F8" s="337"/>
      <c r="G8" s="337"/>
      <c r="H8" s="337"/>
      <c r="I8" s="337"/>
      <c r="J8" s="337"/>
      <c r="K8" s="337"/>
      <c r="L8" s="337"/>
      <c r="M8" s="337"/>
      <c r="N8" s="337"/>
      <c r="O8" s="337"/>
      <c r="P8" s="337"/>
      <c r="Q8" s="337"/>
      <c r="R8" s="337"/>
      <c r="S8" s="337"/>
      <c r="T8" s="337"/>
      <c r="U8" s="337"/>
      <c r="V8" s="337"/>
      <c r="W8" s="337"/>
      <c r="X8" s="337"/>
      <c r="Y8" s="337"/>
      <c r="Z8" s="337"/>
      <c r="AA8" s="337"/>
      <c r="AB8" s="337"/>
      <c r="AC8" s="337"/>
      <c r="AD8" s="337"/>
      <c r="AE8" s="337"/>
      <c r="AF8" s="337"/>
      <c r="AG8" s="338"/>
      <c r="AH8" s="117"/>
    </row>
    <row r="9" spans="1:34" ht="17.7" customHeight="1" x14ac:dyDescent="0.45">
      <c r="A9" s="117"/>
      <c r="B9" s="339"/>
      <c r="C9" s="340"/>
      <c r="D9" s="340"/>
      <c r="E9" s="340"/>
      <c r="F9" s="340"/>
      <c r="G9" s="340"/>
      <c r="H9" s="340"/>
      <c r="I9" s="340"/>
      <c r="J9" s="340"/>
      <c r="K9" s="340"/>
      <c r="L9" s="340"/>
      <c r="M9" s="340"/>
      <c r="N9" s="340"/>
      <c r="O9" s="340"/>
      <c r="P9" s="340"/>
      <c r="Q9" s="340"/>
      <c r="R9" s="340"/>
      <c r="S9" s="340"/>
      <c r="T9" s="340"/>
      <c r="U9" s="340"/>
      <c r="V9" s="340"/>
      <c r="W9" s="340"/>
      <c r="X9" s="340"/>
      <c r="Y9" s="340"/>
      <c r="Z9" s="340"/>
      <c r="AA9" s="340"/>
      <c r="AB9" s="340"/>
      <c r="AC9" s="340"/>
      <c r="AD9" s="340"/>
      <c r="AE9" s="340"/>
      <c r="AF9" s="340"/>
      <c r="AG9" s="341"/>
      <c r="AH9" s="117"/>
    </row>
    <row r="10" spans="1:34" ht="17.7" customHeight="1" x14ac:dyDescent="0.45">
      <c r="A10" s="117"/>
      <c r="B10" s="339"/>
      <c r="C10" s="340"/>
      <c r="D10" s="340"/>
      <c r="E10" s="340"/>
      <c r="F10" s="340"/>
      <c r="G10" s="340"/>
      <c r="H10" s="340"/>
      <c r="I10" s="340"/>
      <c r="J10" s="340"/>
      <c r="K10" s="340"/>
      <c r="L10" s="340"/>
      <c r="M10" s="340"/>
      <c r="N10" s="340"/>
      <c r="O10" s="340"/>
      <c r="P10" s="340"/>
      <c r="Q10" s="340"/>
      <c r="R10" s="340"/>
      <c r="S10" s="340"/>
      <c r="T10" s="340"/>
      <c r="U10" s="340"/>
      <c r="V10" s="340"/>
      <c r="W10" s="340"/>
      <c r="X10" s="340"/>
      <c r="Y10" s="340"/>
      <c r="Z10" s="340"/>
      <c r="AA10" s="340"/>
      <c r="AB10" s="340"/>
      <c r="AC10" s="340"/>
      <c r="AD10" s="340"/>
      <c r="AE10" s="340"/>
      <c r="AF10" s="340"/>
      <c r="AG10" s="341"/>
      <c r="AH10" s="117"/>
    </row>
    <row r="11" spans="1:34" ht="17.7" customHeight="1" x14ac:dyDescent="0.45">
      <c r="A11" s="117"/>
      <c r="B11" s="342"/>
      <c r="C11" s="343"/>
      <c r="D11" s="343"/>
      <c r="E11" s="343"/>
      <c r="F11" s="343"/>
      <c r="G11" s="343"/>
      <c r="H11" s="343"/>
      <c r="I11" s="343"/>
      <c r="J11" s="343"/>
      <c r="K11" s="343"/>
      <c r="L11" s="343"/>
      <c r="M11" s="343"/>
      <c r="N11" s="343"/>
      <c r="O11" s="343"/>
      <c r="P11" s="343"/>
      <c r="Q11" s="343"/>
      <c r="R11" s="343"/>
      <c r="S11" s="343"/>
      <c r="T11" s="343"/>
      <c r="U11" s="343"/>
      <c r="V11" s="343"/>
      <c r="W11" s="343"/>
      <c r="X11" s="343"/>
      <c r="Y11" s="343"/>
      <c r="Z11" s="343"/>
      <c r="AA11" s="343"/>
      <c r="AB11" s="343"/>
      <c r="AC11" s="343"/>
      <c r="AD11" s="343"/>
      <c r="AE11" s="343"/>
      <c r="AF11" s="343"/>
      <c r="AG11" s="344"/>
      <c r="AH11" s="117"/>
    </row>
    <row r="12" spans="1:34" x14ac:dyDescent="0.45">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7"/>
      <c r="AG12" s="117"/>
      <c r="AH12" s="117"/>
    </row>
    <row r="13" spans="1:34" x14ac:dyDescent="0.45">
      <c r="A13" s="117"/>
      <c r="B13" s="117"/>
      <c r="C13" s="117"/>
      <c r="D13" s="117"/>
      <c r="E13" s="117"/>
      <c r="F13" s="117"/>
      <c r="G13" s="117"/>
      <c r="H13" s="117"/>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row>
    <row r="14" spans="1:34" ht="22.2" x14ac:dyDescent="0.55000000000000004">
      <c r="A14" s="117"/>
      <c r="B14" s="127" t="s">
        <v>607</v>
      </c>
      <c r="C14" s="117"/>
      <c r="D14" s="117"/>
      <c r="E14" s="117"/>
      <c r="F14" s="117"/>
      <c r="G14" s="129" t="s">
        <v>34</v>
      </c>
      <c r="H14" s="129" t="s">
        <v>54</v>
      </c>
      <c r="I14" s="117"/>
      <c r="J14" s="117"/>
      <c r="K14" s="117"/>
      <c r="L14" s="117"/>
      <c r="M14" s="117"/>
      <c r="N14" s="117"/>
      <c r="O14" s="117"/>
      <c r="P14" s="117"/>
      <c r="Q14" s="117"/>
      <c r="R14" s="117"/>
      <c r="S14" s="117"/>
      <c r="T14" s="117"/>
      <c r="U14" s="117"/>
      <c r="V14" s="117"/>
      <c r="W14" s="117"/>
      <c r="X14" s="117"/>
      <c r="Y14" s="117"/>
      <c r="Z14" s="117"/>
      <c r="AA14" s="117"/>
      <c r="AB14" s="117"/>
      <c r="AC14" s="117"/>
      <c r="AD14" s="117"/>
      <c r="AE14" s="117"/>
      <c r="AF14" s="117"/>
      <c r="AG14" s="117"/>
      <c r="AH14" s="117"/>
    </row>
    <row r="15" spans="1:34" ht="4.95" customHeight="1" x14ac:dyDescent="0.45">
      <c r="A15" s="117"/>
      <c r="B15" s="117"/>
      <c r="C15" s="117"/>
      <c r="D15" s="117"/>
      <c r="E15" s="117"/>
      <c r="F15" s="117"/>
      <c r="G15" s="117"/>
      <c r="H15" s="117"/>
      <c r="I15" s="117"/>
      <c r="J15" s="117"/>
      <c r="K15" s="117"/>
      <c r="L15" s="117"/>
      <c r="M15" s="117"/>
      <c r="N15" s="117"/>
      <c r="O15" s="117"/>
      <c r="P15" s="117"/>
      <c r="Q15" s="117"/>
      <c r="R15" s="117"/>
      <c r="S15" s="117"/>
      <c r="T15" s="117"/>
      <c r="U15" s="117"/>
      <c r="V15" s="117"/>
      <c r="W15" s="117"/>
      <c r="X15" s="117"/>
      <c r="Y15" s="117"/>
      <c r="Z15" s="117"/>
      <c r="AA15" s="117"/>
      <c r="AB15" s="117"/>
      <c r="AC15" s="117"/>
      <c r="AD15" s="117"/>
      <c r="AE15" s="117"/>
      <c r="AF15" s="117"/>
      <c r="AG15" s="117"/>
      <c r="AH15" s="117"/>
    </row>
    <row r="16" spans="1:34" x14ac:dyDescent="0.45">
      <c r="A16" s="117"/>
      <c r="B16" s="119"/>
      <c r="C16" s="120"/>
      <c r="D16" s="120"/>
      <c r="E16" s="120"/>
      <c r="F16" s="120"/>
      <c r="G16" s="120"/>
      <c r="H16" s="120"/>
      <c r="I16" s="120"/>
      <c r="J16" s="120"/>
      <c r="K16" s="120"/>
      <c r="L16" s="120"/>
      <c r="M16" s="120"/>
      <c r="N16" s="120"/>
      <c r="O16" s="120"/>
      <c r="P16" s="120"/>
      <c r="Q16" s="120"/>
      <c r="R16" s="120"/>
      <c r="S16" s="120"/>
      <c r="T16" s="120"/>
      <c r="U16" s="120"/>
      <c r="V16" s="120"/>
      <c r="W16" s="120"/>
      <c r="X16" s="120"/>
      <c r="Y16" s="120"/>
      <c r="Z16" s="120"/>
      <c r="AA16" s="120"/>
      <c r="AB16" s="120"/>
      <c r="AC16" s="120"/>
      <c r="AD16" s="120"/>
      <c r="AE16" s="120"/>
      <c r="AF16" s="120"/>
      <c r="AG16" s="121"/>
      <c r="AH16" s="117"/>
    </row>
    <row r="17" spans="1:34" x14ac:dyDescent="0.45">
      <c r="A17" s="117"/>
      <c r="B17" s="122"/>
      <c r="C17" s="155" t="s">
        <v>608</v>
      </c>
      <c r="G17" s="155" t="s">
        <v>609</v>
      </c>
      <c r="P17" s="130" t="s">
        <v>610</v>
      </c>
      <c r="Q17" s="131"/>
      <c r="R17" s="130"/>
      <c r="S17" s="131"/>
      <c r="T17" s="132">
        <v>45618</v>
      </c>
      <c r="U17" s="132">
        <f>T17+7</f>
        <v>45625</v>
      </c>
      <c r="V17" s="133" t="s">
        <v>611</v>
      </c>
      <c r="X17" s="156" t="s">
        <v>612</v>
      </c>
      <c r="AG17" s="123"/>
      <c r="AH17" s="117"/>
    </row>
    <row r="18" spans="1:34" ht="17.7" customHeight="1" x14ac:dyDescent="0.45">
      <c r="A18" s="117"/>
      <c r="B18" s="122"/>
      <c r="P18" s="26" t="s">
        <v>613</v>
      </c>
      <c r="T18" s="26">
        <f>COUNTIFS('2. Status Detalhe Campos'!$H$7:$H$574,'1. Status Resumo'!$P18,'2. Status Detalhe Campos'!$C$7:$C$574,'1. Status Resumo'!$G$14,'2. Status Detalhe Campos'!$D$7:$D$574,"2. Campo")+COUNTIFS('2. Status Detalhe Campos'!$H$7:$H$574,'1. Status Resumo'!$P18,'2. Status Detalhe Campos'!$C$7:$C$574,'1. Status Resumo'!$H$14,'2. Status Detalhe Campos'!$D$7:$D$574,"2. Campo")</f>
        <v>10</v>
      </c>
      <c r="U18" s="26">
        <f>COUNTIFS('2. Status Detalhe Campos'!$G$7:$G$574,'1. Status Resumo'!$P18,'2. Status Detalhe Campos'!$C$7:$C$574,'1. Status Resumo'!$G$14,'2. Status Detalhe Campos'!$D$7:$D$574,"2. Campo")+COUNTIFS('2. Status Detalhe Campos'!$G$7:$G$574,'1. Status Resumo'!$P18,'2. Status Detalhe Campos'!$C$7:$C$574,'1. Status Resumo'!$H$14,'2. Status Detalhe Campos'!$D$7:$D$574,"2. Campo")</f>
        <v>10</v>
      </c>
      <c r="V18" s="26">
        <f>U18-T18</f>
        <v>0</v>
      </c>
      <c r="X18" s="354" t="s">
        <v>2037</v>
      </c>
      <c r="Y18" s="355"/>
      <c r="Z18" s="355"/>
      <c r="AA18" s="355"/>
      <c r="AB18" s="355"/>
      <c r="AC18" s="355"/>
      <c r="AD18" s="355"/>
      <c r="AE18" s="355"/>
      <c r="AF18" s="356"/>
      <c r="AG18" s="164"/>
      <c r="AH18" s="117"/>
    </row>
    <row r="19" spans="1:34" x14ac:dyDescent="0.45">
      <c r="A19" s="117"/>
      <c r="B19" s="122"/>
      <c r="P19" s="26" t="s">
        <v>614</v>
      </c>
      <c r="T19" s="26">
        <f>COUNTIFS('2. Status Detalhe Campos'!$H$7:$H$574,'1. Status Resumo'!$P19,'2. Status Detalhe Campos'!$C$7:$C$574,'1. Status Resumo'!$G$14,'2. Status Detalhe Campos'!$D$7:$D$574,"2. Campo")+COUNTIFS('2. Status Detalhe Campos'!$H$7:$H$574,'1. Status Resumo'!$P19,'2. Status Detalhe Campos'!$C$7:$C$574,'1. Status Resumo'!$H$14,'2. Status Detalhe Campos'!$D$7:$D$574,"2. Campo")</f>
        <v>124</v>
      </c>
      <c r="U19" s="26">
        <f>COUNTIFS('2. Status Detalhe Campos'!$G$7:$G$574,'1. Status Resumo'!$P19,'2. Status Detalhe Campos'!$C$7:$C$574,'1. Status Resumo'!$G$14,'2. Status Detalhe Campos'!$D$7:$D$574,"2. Campo")+COUNTIFS('2. Status Detalhe Campos'!$G$7:$G$574,'1. Status Resumo'!$P19,'2. Status Detalhe Campos'!$C$7:$C$574,'1. Status Resumo'!$H$14,'2. Status Detalhe Campos'!$D$7:$D$574,"2. Campo")</f>
        <v>124</v>
      </c>
      <c r="V19" s="26">
        <f t="shared" ref="V19:V26" si="0">U19-T19</f>
        <v>0</v>
      </c>
      <c r="X19" s="357"/>
      <c r="Y19" s="358"/>
      <c r="Z19" s="358"/>
      <c r="AA19" s="358"/>
      <c r="AB19" s="358"/>
      <c r="AC19" s="358"/>
      <c r="AD19" s="358"/>
      <c r="AE19" s="358"/>
      <c r="AF19" s="359"/>
      <c r="AG19" s="164"/>
      <c r="AH19" s="117"/>
    </row>
    <row r="20" spans="1:34" x14ac:dyDescent="0.45">
      <c r="A20" s="117"/>
      <c r="B20" s="122"/>
      <c r="P20" s="26" t="s">
        <v>1927</v>
      </c>
      <c r="T20" s="26">
        <f>COUNTIFS('2. Status Detalhe Campos'!$H$7:$H$574,'1. Status Resumo'!$P20,'2. Status Detalhe Campos'!$C$7:$C$574,'1. Status Resumo'!$G$14,'2. Status Detalhe Campos'!$D$7:$D$574,"2. Campo")+COUNTIFS('2. Status Detalhe Campos'!$H$7:$H$574,'1. Status Resumo'!$P20,'2. Status Detalhe Campos'!$C$7:$C$574,'1. Status Resumo'!$H$14,'2. Status Detalhe Campos'!$D$7:$D$574,"2. Campo")</f>
        <v>0</v>
      </c>
      <c r="U20" s="26">
        <f>COUNTIFS('2. Status Detalhe Campos'!$G$7:$G$574,'1. Status Resumo'!$P20,'2. Status Detalhe Campos'!$C$7:$C$574,'1. Status Resumo'!$G$14,'2. Status Detalhe Campos'!$D$7:$D$574,"2. Campo")+COUNTIFS('2. Status Detalhe Campos'!$G$7:$G$574,'1. Status Resumo'!$P20,'2. Status Detalhe Campos'!$C$7:$C$574,'1. Status Resumo'!$H$14,'2. Status Detalhe Campos'!$D$7:$D$574,"2. Campo")</f>
        <v>0</v>
      </c>
      <c r="V20" s="26">
        <f t="shared" si="0"/>
        <v>0</v>
      </c>
      <c r="X20" s="357"/>
      <c r="Y20" s="358"/>
      <c r="Z20" s="358"/>
      <c r="AA20" s="358"/>
      <c r="AB20" s="358"/>
      <c r="AC20" s="358"/>
      <c r="AD20" s="358"/>
      <c r="AE20" s="358"/>
      <c r="AF20" s="359"/>
      <c r="AG20" s="164"/>
      <c r="AH20" s="117"/>
    </row>
    <row r="21" spans="1:34" x14ac:dyDescent="0.45">
      <c r="A21" s="117"/>
      <c r="B21" s="122"/>
      <c r="D21" s="335" t="str">
        <f>"# "&amp;U27</f>
        <v># 169</v>
      </c>
      <c r="E21" s="335"/>
      <c r="P21" s="26" t="s">
        <v>1928</v>
      </c>
      <c r="T21" s="26">
        <f>COUNTIFS('2. Status Detalhe Campos'!$H$7:$H$574,'1. Status Resumo'!$P21,'2. Status Detalhe Campos'!$C$7:$C$574,'1. Status Resumo'!$G$14,'2. Status Detalhe Campos'!$D$7:$D$574,"2. Campo")+COUNTIFS('2. Status Detalhe Campos'!$H$7:$H$574,'1. Status Resumo'!$P21,'2. Status Detalhe Campos'!$C$7:$C$574,'1. Status Resumo'!$H$14,'2. Status Detalhe Campos'!$D$7:$D$574,"2. Campo")</f>
        <v>0</v>
      </c>
      <c r="U21" s="26">
        <f>COUNTIFS('2. Status Detalhe Campos'!$G$7:$G$574,'1. Status Resumo'!$P21,'2. Status Detalhe Campos'!$C$7:$C$574,'1. Status Resumo'!$G$14,'2. Status Detalhe Campos'!$D$7:$D$574,"2. Campo")+COUNTIFS('2. Status Detalhe Campos'!$G$7:$G$574,'1. Status Resumo'!$P21,'2. Status Detalhe Campos'!$C$7:$C$574,'1. Status Resumo'!$H$14,'2. Status Detalhe Campos'!$D$7:$D$574,"2. Campo")</f>
        <v>0</v>
      </c>
      <c r="V21" s="26">
        <f t="shared" ref="V21" si="1">U21-T21</f>
        <v>0</v>
      </c>
      <c r="X21" s="357"/>
      <c r="Y21" s="358"/>
      <c r="Z21" s="358"/>
      <c r="AA21" s="358"/>
      <c r="AB21" s="358"/>
      <c r="AC21" s="358"/>
      <c r="AD21" s="358"/>
      <c r="AE21" s="358"/>
      <c r="AF21" s="359"/>
      <c r="AG21" s="164"/>
      <c r="AH21" s="117"/>
    </row>
    <row r="22" spans="1:34" ht="17.7" customHeight="1" x14ac:dyDescent="0.45">
      <c r="A22" s="117"/>
      <c r="B22" s="122"/>
      <c r="D22" s="335"/>
      <c r="E22" s="335"/>
      <c r="P22" s="26" t="s">
        <v>615</v>
      </c>
      <c r="T22" s="26">
        <f>COUNTIFS('2. Status Detalhe Campos'!$H$7:$H$574,'1. Status Resumo'!$P22,'2. Status Detalhe Campos'!$C$7:$C$574,'1. Status Resumo'!$G$14,'2. Status Detalhe Campos'!$D$7:$D$574,"2. Campo")+COUNTIFS('2. Status Detalhe Campos'!$H$7:$H$574,'1. Status Resumo'!$P22,'2. Status Detalhe Campos'!$C$7:$C$574,'1. Status Resumo'!$H$14,'2. Status Detalhe Campos'!$D$7:$D$574,"2. Campo")</f>
        <v>0</v>
      </c>
      <c r="U22" s="26">
        <f>COUNTIFS('2. Status Detalhe Campos'!$G$7:$G$574,'1. Status Resumo'!$P22,'2. Status Detalhe Campos'!$C$7:$C$574,'1. Status Resumo'!$G$14,'2. Status Detalhe Campos'!$D$7:$D$574,"2. Campo")+COUNTIFS('2. Status Detalhe Campos'!$G$7:$G$574,'1. Status Resumo'!$P22,'2. Status Detalhe Campos'!$C$7:$C$574,'1. Status Resumo'!$H$14,'2. Status Detalhe Campos'!$D$7:$D$574,"2. Campo")</f>
        <v>0</v>
      </c>
      <c r="V22" s="26">
        <f t="shared" si="0"/>
        <v>0</v>
      </c>
      <c r="X22" s="357"/>
      <c r="Y22" s="358"/>
      <c r="Z22" s="358"/>
      <c r="AA22" s="358"/>
      <c r="AB22" s="358"/>
      <c r="AC22" s="358"/>
      <c r="AD22" s="358"/>
      <c r="AE22" s="358"/>
      <c r="AF22" s="359"/>
      <c r="AG22" s="164"/>
      <c r="AH22" s="117"/>
    </row>
    <row r="23" spans="1:34" ht="17.7" customHeight="1" x14ac:dyDescent="0.45">
      <c r="A23" s="117"/>
      <c r="B23" s="122"/>
      <c r="D23" s="335"/>
      <c r="E23" s="335"/>
      <c r="P23" s="26" t="s">
        <v>616</v>
      </c>
      <c r="T23" s="26">
        <f>COUNTIFS('2. Status Detalhe Campos'!$H$7:$H$574,'1. Status Resumo'!$P23,'2. Status Detalhe Campos'!$C$7:$C$574,'1. Status Resumo'!$G$14,'2. Status Detalhe Campos'!$D$7:$D$574,"2. Campo")+COUNTIFS('2. Status Detalhe Campos'!$H$7:$H$574,'1. Status Resumo'!$P23,'2. Status Detalhe Campos'!$C$7:$C$574,'1. Status Resumo'!$H$14,'2. Status Detalhe Campos'!$D$7:$D$574,"2. Campo")</f>
        <v>0</v>
      </c>
      <c r="U23" s="26">
        <f>COUNTIFS('2. Status Detalhe Campos'!$G$7:$G$574,'1. Status Resumo'!$P23,'2. Status Detalhe Campos'!$C$7:$C$574,'1. Status Resumo'!$G$14,'2. Status Detalhe Campos'!$D$7:$D$574,"2. Campo")+COUNTIFS('2. Status Detalhe Campos'!$G$7:$G$574,'1. Status Resumo'!$P23,'2. Status Detalhe Campos'!$C$7:$C$574,'1. Status Resumo'!$H$14,'2. Status Detalhe Campos'!$D$7:$D$574,"2. Campo")</f>
        <v>0</v>
      </c>
      <c r="V23" s="26">
        <f t="shared" si="0"/>
        <v>0</v>
      </c>
      <c r="X23" s="357"/>
      <c r="Y23" s="358"/>
      <c r="Z23" s="358"/>
      <c r="AA23" s="358"/>
      <c r="AB23" s="358"/>
      <c r="AC23" s="358"/>
      <c r="AD23" s="358"/>
      <c r="AE23" s="358"/>
      <c r="AF23" s="359"/>
      <c r="AG23" s="164"/>
      <c r="AH23" s="117"/>
    </row>
    <row r="24" spans="1:34" x14ac:dyDescent="0.45">
      <c r="A24" s="117"/>
      <c r="B24" s="122"/>
      <c r="P24" s="26" t="s">
        <v>617</v>
      </c>
      <c r="R24" s="26" t="s">
        <v>618</v>
      </c>
      <c r="T24" s="26">
        <f>COUNTIFS('2. Status Detalhe Campos'!$H$7:$H$574,'1. Status Resumo'!$P24,'2. Status Detalhe Campos'!$C$7:$C$574,'1. Status Resumo'!$G$14,'2. Status Detalhe Campos'!$D$7:$D$574,"2. Campo")+COUNTIFS('2. Status Detalhe Campos'!$H$7:$H$574,'1. Status Resumo'!$P24,'2. Status Detalhe Campos'!$C$7:$C$574,'1. Status Resumo'!$H$14,'2. Status Detalhe Campos'!$D$7:$D$574,"2. Campo")</f>
        <v>0</v>
      </c>
      <c r="U24" s="26">
        <f>COUNTIFS('2. Status Detalhe Campos'!$G$7:$G$574,'1. Status Resumo'!$P24,'2. Status Detalhe Campos'!$C$7:$C$574,'1. Status Resumo'!$G$14,'2. Status Detalhe Campos'!$D$7:$D$574,"2. Campo")+COUNTIFS('2. Status Detalhe Campos'!$G$7:$G$574,'1. Status Resumo'!$P24,'2. Status Detalhe Campos'!$C$7:$C$574,'1. Status Resumo'!$H$14,'2. Status Detalhe Campos'!$D$7:$D$574,"2. Campo")</f>
        <v>0</v>
      </c>
      <c r="V24" s="26">
        <f t="shared" si="0"/>
        <v>0</v>
      </c>
      <c r="X24" s="357"/>
      <c r="Y24" s="358"/>
      <c r="Z24" s="358"/>
      <c r="AA24" s="358"/>
      <c r="AB24" s="358"/>
      <c r="AC24" s="358"/>
      <c r="AD24" s="358"/>
      <c r="AE24" s="358"/>
      <c r="AF24" s="359"/>
      <c r="AG24" s="164"/>
      <c r="AH24" s="117"/>
    </row>
    <row r="25" spans="1:34" x14ac:dyDescent="0.45">
      <c r="A25" s="117"/>
      <c r="B25" s="122"/>
      <c r="P25" s="26" t="s">
        <v>619</v>
      </c>
      <c r="T25" s="26">
        <f>COUNTIFS('2. Status Detalhe Campos'!$H$7:$H$574,'1. Status Resumo'!$P25,'2. Status Detalhe Campos'!$C$7:$C$574,'1. Status Resumo'!$G$14,'2. Status Detalhe Campos'!$D$7:$D$574,"2. Campo")+COUNTIFS('2. Status Detalhe Campos'!$H$7:$H$574,'1. Status Resumo'!$P25,'2. Status Detalhe Campos'!$C$7:$C$574,'1. Status Resumo'!$H$14,'2. Status Detalhe Campos'!$D$7:$D$574,"2. Campo")</f>
        <v>35</v>
      </c>
      <c r="U25" s="26">
        <f>COUNTIFS('2. Status Detalhe Campos'!$G$7:$G$574,'1. Status Resumo'!$P25,'2. Status Detalhe Campos'!$C$7:$C$574,'1. Status Resumo'!$G$14,'2. Status Detalhe Campos'!$D$7:$D$574,"2. Campo")+COUNTIFS('2. Status Detalhe Campos'!$G$7:$G$574,'1. Status Resumo'!$P25,'2. Status Detalhe Campos'!$C$7:$C$574,'1. Status Resumo'!$H$14,'2. Status Detalhe Campos'!$D$7:$D$574,"2. Campo")</f>
        <v>35</v>
      </c>
      <c r="V25" s="26">
        <f t="shared" si="0"/>
        <v>0</v>
      </c>
      <c r="X25" s="357"/>
      <c r="Y25" s="358"/>
      <c r="Z25" s="358"/>
      <c r="AA25" s="358"/>
      <c r="AB25" s="358"/>
      <c r="AC25" s="358"/>
      <c r="AD25" s="358"/>
      <c r="AE25" s="358"/>
      <c r="AF25" s="359"/>
      <c r="AG25" s="164"/>
      <c r="AH25" s="117"/>
    </row>
    <row r="26" spans="1:34" x14ac:dyDescent="0.45">
      <c r="A26" s="117"/>
      <c r="B26" s="122"/>
      <c r="P26" s="26" t="s">
        <v>28</v>
      </c>
      <c r="T26" s="26">
        <f>COUNTIFS('2. Status Detalhe Campos'!$H$7:$H$574,'1. Status Resumo'!$P26,'2. Status Detalhe Campos'!$C$7:$C$574,'1. Status Resumo'!$G$14,'2. Status Detalhe Campos'!$D$7:$D$574,"2. Campo")+COUNTIFS('2. Status Detalhe Campos'!$H$7:$H$574,'1. Status Resumo'!$P26,'2. Status Detalhe Campos'!$C$7:$C$574,'1. Status Resumo'!$H$14,'2. Status Detalhe Campos'!$D$7:$D$574,"2. Campo")</f>
        <v>0</v>
      </c>
      <c r="U26" s="26">
        <f>COUNTIFS('2. Status Detalhe Campos'!$G$7:$G$574,'1. Status Resumo'!$P26,'2. Status Detalhe Campos'!$C$7:$C$574,'1. Status Resumo'!$G$14,'2. Status Detalhe Campos'!$D$7:$D$574,"2. Campo")+COUNTIFS('2. Status Detalhe Campos'!$G$7:$G$574,'1. Status Resumo'!$P26,'2. Status Detalhe Campos'!$C$7:$C$574,'1. Status Resumo'!$H$14,'2. Status Detalhe Campos'!$D$7:$D$574,"2. Campo")</f>
        <v>0</v>
      </c>
      <c r="V26" s="26">
        <f t="shared" si="0"/>
        <v>0</v>
      </c>
      <c r="X26" s="357"/>
      <c r="Y26" s="358"/>
      <c r="Z26" s="358"/>
      <c r="AA26" s="358"/>
      <c r="AB26" s="358"/>
      <c r="AC26" s="358"/>
      <c r="AD26" s="358"/>
      <c r="AE26" s="358"/>
      <c r="AF26" s="359"/>
      <c r="AG26" s="164"/>
      <c r="AH26" s="117"/>
    </row>
    <row r="27" spans="1:34" x14ac:dyDescent="0.45">
      <c r="A27" s="117"/>
      <c r="B27" s="122"/>
      <c r="T27" s="128">
        <f>SUM(T18:T26)</f>
        <v>169</v>
      </c>
      <c r="U27" s="128">
        <f>SUM(U18:U26)</f>
        <v>169</v>
      </c>
      <c r="X27" s="357"/>
      <c r="Y27" s="358"/>
      <c r="Z27" s="358"/>
      <c r="AA27" s="358"/>
      <c r="AB27" s="358"/>
      <c r="AC27" s="358"/>
      <c r="AD27" s="358"/>
      <c r="AE27" s="358"/>
      <c r="AF27" s="359"/>
      <c r="AG27" s="164"/>
      <c r="AH27" s="117"/>
    </row>
    <row r="28" spans="1:34" x14ac:dyDescent="0.45">
      <c r="A28" s="117"/>
      <c r="B28" s="122"/>
      <c r="G28" s="130" t="s">
        <v>620</v>
      </c>
      <c r="H28" s="131"/>
      <c r="I28" s="131"/>
      <c r="J28" s="131"/>
      <c r="K28" s="131"/>
      <c r="L28" s="131"/>
      <c r="M28" s="131"/>
      <c r="P28" s="130" t="s">
        <v>621</v>
      </c>
      <c r="Q28" s="131"/>
      <c r="R28" s="131"/>
      <c r="S28" s="131"/>
      <c r="T28" s="131"/>
      <c r="U28" s="131"/>
      <c r="V28" s="131"/>
      <c r="X28" s="357"/>
      <c r="Y28" s="358"/>
      <c r="Z28" s="358"/>
      <c r="AA28" s="358"/>
      <c r="AB28" s="358"/>
      <c r="AC28" s="358"/>
      <c r="AD28" s="358"/>
      <c r="AE28" s="358"/>
      <c r="AF28" s="359"/>
      <c r="AG28" s="164"/>
      <c r="AH28" s="117"/>
    </row>
    <row r="29" spans="1:34" x14ac:dyDescent="0.45">
      <c r="A29" s="117"/>
      <c r="B29" s="122"/>
      <c r="F29" s="160" t="s">
        <v>622</v>
      </c>
      <c r="G29" s="26" t="s">
        <v>623</v>
      </c>
      <c r="L29" s="166" t="s">
        <v>2015</v>
      </c>
      <c r="O29" s="160" t="s">
        <v>622</v>
      </c>
      <c r="P29" s="26" t="s">
        <v>625</v>
      </c>
      <c r="T29" s="162" t="s">
        <v>624</v>
      </c>
      <c r="X29" s="357"/>
      <c r="Y29" s="358"/>
      <c r="Z29" s="358"/>
      <c r="AA29" s="358"/>
      <c r="AB29" s="358"/>
      <c r="AC29" s="358"/>
      <c r="AD29" s="358"/>
      <c r="AE29" s="358"/>
      <c r="AF29" s="359"/>
      <c r="AG29" s="164"/>
      <c r="AH29" s="117"/>
    </row>
    <row r="30" spans="1:34" x14ac:dyDescent="0.45">
      <c r="A30" s="117"/>
      <c r="B30" s="122"/>
      <c r="F30" s="160" t="s">
        <v>622</v>
      </c>
      <c r="G30" s="26" t="s">
        <v>626</v>
      </c>
      <c r="L30" s="162" t="s">
        <v>624</v>
      </c>
      <c r="O30" s="160" t="s">
        <v>622</v>
      </c>
      <c r="P30" s="26" t="s">
        <v>627</v>
      </c>
      <c r="T30" s="162" t="s">
        <v>624</v>
      </c>
      <c r="X30" s="357"/>
      <c r="Y30" s="358"/>
      <c r="Z30" s="358"/>
      <c r="AA30" s="358"/>
      <c r="AB30" s="358"/>
      <c r="AC30" s="358"/>
      <c r="AD30" s="358"/>
      <c r="AE30" s="358"/>
      <c r="AF30" s="359"/>
      <c r="AG30" s="164"/>
      <c r="AH30" s="117"/>
    </row>
    <row r="31" spans="1:34" x14ac:dyDescent="0.45">
      <c r="A31" s="117"/>
      <c r="B31" s="122"/>
      <c r="F31" s="160" t="s">
        <v>622</v>
      </c>
      <c r="G31" s="26" t="s">
        <v>628</v>
      </c>
      <c r="L31" s="162" t="s">
        <v>624</v>
      </c>
      <c r="O31" s="160" t="s">
        <v>622</v>
      </c>
      <c r="P31" s="26" t="s">
        <v>629</v>
      </c>
      <c r="T31" s="165" t="s">
        <v>630</v>
      </c>
      <c r="X31" s="357"/>
      <c r="Y31" s="358"/>
      <c r="Z31" s="358"/>
      <c r="AA31" s="358"/>
      <c r="AB31" s="358"/>
      <c r="AC31" s="358"/>
      <c r="AD31" s="358"/>
      <c r="AE31" s="358"/>
      <c r="AF31" s="359"/>
      <c r="AG31" s="164"/>
      <c r="AH31" s="117"/>
    </row>
    <row r="32" spans="1:34" x14ac:dyDescent="0.45">
      <c r="A32" s="117"/>
      <c r="B32" s="122"/>
      <c r="F32" s="160" t="s">
        <v>622</v>
      </c>
      <c r="G32" s="26" t="s">
        <v>631</v>
      </c>
      <c r="L32" s="162" t="s">
        <v>624</v>
      </c>
      <c r="O32" s="160"/>
      <c r="T32" s="165"/>
      <c r="X32" s="357"/>
      <c r="Y32" s="358"/>
      <c r="Z32" s="358"/>
      <c r="AA32" s="358"/>
      <c r="AB32" s="358"/>
      <c r="AC32" s="358"/>
      <c r="AD32" s="358"/>
      <c r="AE32" s="358"/>
      <c r="AF32" s="359"/>
      <c r="AG32" s="164"/>
      <c r="AH32" s="117"/>
    </row>
    <row r="33" spans="1:34" x14ac:dyDescent="0.45">
      <c r="A33" s="117"/>
      <c r="B33" s="122"/>
      <c r="F33" s="160" t="s">
        <v>622</v>
      </c>
      <c r="G33" s="26" t="s">
        <v>632</v>
      </c>
      <c r="L33" s="166" t="s">
        <v>633</v>
      </c>
      <c r="O33" s="160"/>
      <c r="T33" s="165"/>
      <c r="X33" s="357"/>
      <c r="Y33" s="358"/>
      <c r="Z33" s="358"/>
      <c r="AA33" s="358"/>
      <c r="AB33" s="358"/>
      <c r="AC33" s="358"/>
      <c r="AD33" s="358"/>
      <c r="AE33" s="358"/>
      <c r="AF33" s="359"/>
      <c r="AG33" s="164"/>
      <c r="AH33" s="117"/>
    </row>
    <row r="34" spans="1:34" x14ac:dyDescent="0.45">
      <c r="A34" s="117"/>
      <c r="B34" s="122"/>
      <c r="F34" s="160" t="s">
        <v>622</v>
      </c>
      <c r="G34" s="26" t="s">
        <v>634</v>
      </c>
      <c r="L34" s="166" t="s">
        <v>633</v>
      </c>
      <c r="O34" s="160"/>
      <c r="T34" s="162"/>
      <c r="X34" s="357"/>
      <c r="Y34" s="358"/>
      <c r="Z34" s="358"/>
      <c r="AA34" s="358"/>
      <c r="AB34" s="358"/>
      <c r="AC34" s="358"/>
      <c r="AD34" s="358"/>
      <c r="AE34" s="358"/>
      <c r="AF34" s="359"/>
      <c r="AG34" s="164"/>
      <c r="AH34" s="117"/>
    </row>
    <row r="35" spans="1:34" x14ac:dyDescent="0.45">
      <c r="A35" s="117"/>
      <c r="B35" s="122"/>
      <c r="O35" s="160"/>
      <c r="X35" s="360"/>
      <c r="Y35" s="361"/>
      <c r="Z35" s="361"/>
      <c r="AA35" s="361"/>
      <c r="AB35" s="361"/>
      <c r="AC35" s="361"/>
      <c r="AD35" s="361"/>
      <c r="AE35" s="361"/>
      <c r="AF35" s="362"/>
      <c r="AG35" s="164"/>
      <c r="AH35" s="117"/>
    </row>
    <row r="36" spans="1:34" x14ac:dyDescent="0.45">
      <c r="A36" s="117"/>
      <c r="B36" s="122"/>
      <c r="O36" s="160"/>
      <c r="AG36" s="167"/>
      <c r="AH36" s="117"/>
    </row>
    <row r="37" spans="1:34" x14ac:dyDescent="0.45">
      <c r="A37" s="117"/>
      <c r="B37" s="124"/>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c r="AC37" s="125"/>
      <c r="AD37" s="125"/>
      <c r="AE37" s="125"/>
      <c r="AF37" s="125"/>
      <c r="AG37" s="125"/>
      <c r="AH37" s="117"/>
    </row>
    <row r="38" spans="1:34" x14ac:dyDescent="0.45">
      <c r="A38" s="117"/>
      <c r="B38" s="117"/>
      <c r="C38" s="117"/>
      <c r="D38" s="117"/>
      <c r="E38" s="117"/>
      <c r="F38" s="117"/>
      <c r="G38" s="117"/>
      <c r="H38" s="117"/>
      <c r="I38" s="117"/>
      <c r="J38" s="117"/>
      <c r="K38" s="117"/>
      <c r="L38" s="117"/>
      <c r="M38" s="117"/>
      <c r="N38" s="117"/>
      <c r="O38" s="117"/>
      <c r="P38" s="117"/>
      <c r="Q38" s="117"/>
      <c r="R38" s="117"/>
      <c r="S38" s="117"/>
      <c r="T38" s="117"/>
      <c r="U38" s="117"/>
      <c r="V38" s="117"/>
      <c r="W38" s="117"/>
      <c r="X38" s="117"/>
      <c r="Y38" s="117"/>
      <c r="Z38" s="117"/>
      <c r="AA38" s="117"/>
      <c r="AB38" s="117"/>
      <c r="AC38" s="117"/>
      <c r="AD38" s="117"/>
      <c r="AE38" s="117"/>
      <c r="AF38" s="117"/>
      <c r="AG38" s="117"/>
      <c r="AH38" s="117"/>
    </row>
    <row r="39" spans="1:34" x14ac:dyDescent="0.45">
      <c r="A39" s="117"/>
      <c r="B39" s="117"/>
      <c r="C39" s="117"/>
      <c r="D39" s="117"/>
      <c r="E39" s="117"/>
      <c r="F39" s="117"/>
      <c r="G39" s="117"/>
      <c r="H39" s="117"/>
      <c r="I39" s="117"/>
      <c r="J39" s="117"/>
      <c r="K39" s="117"/>
      <c r="L39" s="117"/>
      <c r="M39" s="117"/>
      <c r="N39" s="117"/>
      <c r="O39" s="117"/>
      <c r="P39" s="117"/>
      <c r="Q39" s="117"/>
      <c r="R39" s="117"/>
      <c r="S39" s="117"/>
      <c r="T39" s="117"/>
      <c r="U39" s="117"/>
      <c r="V39" s="117"/>
      <c r="W39" s="117"/>
      <c r="X39" s="117"/>
      <c r="Y39" s="117"/>
      <c r="Z39" s="117"/>
      <c r="AA39" s="117"/>
      <c r="AB39" s="117"/>
      <c r="AC39" s="117"/>
      <c r="AD39" s="117"/>
      <c r="AE39" s="117"/>
      <c r="AF39" s="117"/>
      <c r="AG39" s="117"/>
      <c r="AH39" s="117"/>
    </row>
    <row r="40" spans="1:34" ht="22.2" x14ac:dyDescent="0.55000000000000004">
      <c r="A40" s="117"/>
      <c r="B40" s="127" t="s">
        <v>635</v>
      </c>
      <c r="C40" s="117"/>
      <c r="D40" s="117"/>
      <c r="E40" s="117"/>
      <c r="F40" s="117"/>
      <c r="G40" s="129" t="s">
        <v>181</v>
      </c>
      <c r="H40" s="129" t="s">
        <v>311</v>
      </c>
      <c r="I40" s="117"/>
      <c r="J40" s="117"/>
      <c r="K40" s="117"/>
      <c r="L40" s="117"/>
      <c r="M40" s="117"/>
      <c r="N40" s="117"/>
      <c r="O40" s="117"/>
      <c r="P40" s="117"/>
      <c r="Q40" s="117"/>
      <c r="R40" s="117"/>
      <c r="S40" s="117"/>
      <c r="T40" s="117"/>
      <c r="U40" s="117"/>
      <c r="V40" s="117"/>
      <c r="W40" s="117"/>
      <c r="X40" s="117"/>
      <c r="Y40" s="117"/>
      <c r="Z40" s="117"/>
      <c r="AA40" s="117"/>
      <c r="AB40" s="117"/>
      <c r="AC40" s="117"/>
      <c r="AD40" s="117"/>
      <c r="AE40" s="117"/>
      <c r="AF40" s="117"/>
      <c r="AG40" s="117"/>
      <c r="AH40" s="117"/>
    </row>
    <row r="41" spans="1:34" ht="4.95" customHeight="1" x14ac:dyDescent="0.45">
      <c r="A41" s="117"/>
      <c r="B41" s="117"/>
      <c r="C41" s="117"/>
      <c r="D41" s="117"/>
      <c r="E41" s="117"/>
      <c r="F41" s="117"/>
      <c r="G41" s="117"/>
      <c r="H41" s="117"/>
      <c r="I41" s="117"/>
      <c r="J41" s="117"/>
      <c r="K41" s="117"/>
      <c r="L41" s="117"/>
      <c r="M41" s="117"/>
      <c r="N41" s="117"/>
      <c r="O41" s="117"/>
      <c r="P41" s="117"/>
      <c r="Q41" s="117"/>
      <c r="R41" s="117"/>
      <c r="S41" s="117"/>
      <c r="T41" s="117"/>
      <c r="U41" s="117"/>
      <c r="V41" s="117"/>
      <c r="W41" s="117"/>
      <c r="X41" s="117"/>
      <c r="Y41" s="117"/>
      <c r="Z41" s="117"/>
      <c r="AA41" s="117"/>
      <c r="AB41" s="117"/>
      <c r="AC41" s="117"/>
      <c r="AD41" s="117"/>
      <c r="AE41" s="117"/>
      <c r="AF41" s="117"/>
      <c r="AG41" s="117"/>
      <c r="AH41" s="117"/>
    </row>
    <row r="42" spans="1:34" x14ac:dyDescent="0.45">
      <c r="A42" s="117"/>
      <c r="B42" s="119"/>
      <c r="C42" s="120"/>
      <c r="D42" s="120"/>
      <c r="E42" s="120"/>
      <c r="F42" s="120"/>
      <c r="G42" s="120"/>
      <c r="H42" s="120"/>
      <c r="I42" s="120"/>
      <c r="J42" s="120"/>
      <c r="K42" s="120"/>
      <c r="L42" s="120"/>
      <c r="M42" s="120"/>
      <c r="N42" s="120"/>
      <c r="O42" s="120"/>
      <c r="P42" s="120"/>
      <c r="Q42" s="120"/>
      <c r="R42" s="120"/>
      <c r="S42" s="120"/>
      <c r="T42" s="120"/>
      <c r="U42" s="120"/>
      <c r="V42" s="120"/>
      <c r="W42" s="120"/>
      <c r="X42" s="120"/>
      <c r="Y42" s="120"/>
      <c r="Z42" s="120"/>
      <c r="AA42" s="120"/>
      <c r="AB42" s="120"/>
      <c r="AC42" s="120"/>
      <c r="AD42" s="120"/>
      <c r="AE42" s="120"/>
      <c r="AF42" s="120"/>
      <c r="AG42" s="121"/>
      <c r="AH42" s="117"/>
    </row>
    <row r="43" spans="1:34" x14ac:dyDescent="0.45">
      <c r="A43" s="117"/>
      <c r="B43" s="122"/>
      <c r="C43" s="155" t="s">
        <v>608</v>
      </c>
      <c r="G43" s="155" t="s">
        <v>609</v>
      </c>
      <c r="P43" s="130" t="s">
        <v>610</v>
      </c>
      <c r="Q43" s="131"/>
      <c r="R43" s="130"/>
      <c r="S43" s="131"/>
      <c r="T43" s="132">
        <f>T17</f>
        <v>45618</v>
      </c>
      <c r="U43" s="132">
        <f>$U$17</f>
        <v>45625</v>
      </c>
      <c r="V43" s="133" t="s">
        <v>611</v>
      </c>
      <c r="X43" s="156" t="s">
        <v>612</v>
      </c>
      <c r="AG43" s="123"/>
      <c r="AH43" s="117"/>
    </row>
    <row r="44" spans="1:34" ht="17.7" customHeight="1" x14ac:dyDescent="0.45">
      <c r="A44" s="117"/>
      <c r="B44" s="122"/>
      <c r="P44" s="26" t="s">
        <v>613</v>
      </c>
      <c r="T44" s="26">
        <f>COUNTIFS('2. Status Detalhe Campos'!$H$7:$H$574,'1. Status Resumo'!$P44,'2. Status Detalhe Campos'!$C$7:$C$574,'1. Status Resumo'!$G$40,'2. Status Detalhe Campos'!$D$7:$D$574,"2. Campo")+COUNTIFS('2. Status Detalhe Campos'!$H$7:$H$574,'1. Status Resumo'!$P44,'2. Status Detalhe Campos'!$C$7:$C$574,'1. Status Resumo'!$H$40,'2. Status Detalhe Campos'!$D$7:$D$574,"2. Campo")</f>
        <v>14</v>
      </c>
      <c r="U44" s="26">
        <f>COUNTIFS('2. Status Detalhe Campos'!$G$7:$G$574,'1. Status Resumo'!$P44,'2. Status Detalhe Campos'!$C$7:$C$574,'1. Status Resumo'!$G$40,'2. Status Detalhe Campos'!$D$7:$D$574,"2. Campo")+COUNTIFS('2. Status Detalhe Campos'!$G$7:$G$574,'1. Status Resumo'!$P44,'2. Status Detalhe Campos'!$C$7:$C$574,'1. Status Resumo'!$H$40,'2. Status Detalhe Campos'!$D$7:$D$574,"2. Campo")</f>
        <v>14</v>
      </c>
      <c r="V44" s="26">
        <f>U44-T44</f>
        <v>0</v>
      </c>
      <c r="W44" s="157"/>
      <c r="X44" s="345" t="s">
        <v>2042</v>
      </c>
      <c r="Y44" s="346"/>
      <c r="Z44" s="346"/>
      <c r="AA44" s="346"/>
      <c r="AB44" s="346"/>
      <c r="AC44" s="346"/>
      <c r="AD44" s="346"/>
      <c r="AE44" s="346"/>
      <c r="AF44" s="347"/>
      <c r="AG44" s="158" t="s">
        <v>636</v>
      </c>
      <c r="AH44" s="117"/>
    </row>
    <row r="45" spans="1:34" x14ac:dyDescent="0.45">
      <c r="A45" s="117"/>
      <c r="B45" s="122"/>
      <c r="P45" s="26" t="s">
        <v>614</v>
      </c>
      <c r="T45" s="26">
        <f>COUNTIFS('2. Status Detalhe Campos'!$H$7:$H$574,'1. Status Resumo'!$P45,'2. Status Detalhe Campos'!$C$7:$C$574,'1. Status Resumo'!$G$40,'2. Status Detalhe Campos'!$D$7:$D$574,"2. Campo")+COUNTIFS('2. Status Detalhe Campos'!$H$7:$H$574,'1. Status Resumo'!$P45,'2. Status Detalhe Campos'!$C$7:$C$574,'1. Status Resumo'!$H$40,'2. Status Detalhe Campos'!$D$7:$D$574,"2. Campo")</f>
        <v>180</v>
      </c>
      <c r="U45" s="26">
        <f>COUNTIFS('2. Status Detalhe Campos'!$G$7:$G$574,'1. Status Resumo'!$P45,'2. Status Detalhe Campos'!$C$7:$C$574,'1. Status Resumo'!$G$40,'2. Status Detalhe Campos'!$D$7:$D$574,"2. Campo")+COUNTIFS('2. Status Detalhe Campos'!$G$7:$G$574,'1. Status Resumo'!$P45,'2. Status Detalhe Campos'!$C$7:$C$574,'1. Status Resumo'!$H$40,'2. Status Detalhe Campos'!$D$7:$D$574,"2. Campo")</f>
        <v>180</v>
      </c>
      <c r="V45" s="26">
        <f t="shared" ref="V45:V52" si="2">U45-T45</f>
        <v>0</v>
      </c>
      <c r="W45" s="157"/>
      <c r="X45" s="348"/>
      <c r="Y45" s="349"/>
      <c r="Z45" s="349"/>
      <c r="AA45" s="349"/>
      <c r="AB45" s="349"/>
      <c r="AC45" s="349"/>
      <c r="AD45" s="349"/>
      <c r="AE45" s="349"/>
      <c r="AF45" s="350"/>
      <c r="AG45" s="158"/>
      <c r="AH45" s="117"/>
    </row>
    <row r="46" spans="1:34" x14ac:dyDescent="0.45">
      <c r="A46" s="117"/>
      <c r="B46" s="122"/>
      <c r="P46" s="26" t="s">
        <v>1927</v>
      </c>
      <c r="T46" s="26">
        <f>COUNTIFS('2. Status Detalhe Campos'!$H$7:$H$574,'1. Status Resumo'!$P46,'2. Status Detalhe Campos'!$C$7:$C$574,'1. Status Resumo'!$G$40,'2. Status Detalhe Campos'!$D$7:$D$574,"2. Campo")+COUNTIFS('2. Status Detalhe Campos'!$H$7:$H$574,'1. Status Resumo'!$P46,'2. Status Detalhe Campos'!$C$7:$C$574,'1. Status Resumo'!$H$40,'2. Status Detalhe Campos'!$D$7:$D$574,"2. Campo")</f>
        <v>24</v>
      </c>
      <c r="U46" s="26">
        <f>COUNTIFS('2. Status Detalhe Campos'!$G$7:$G$574,'1. Status Resumo'!$P46,'2. Status Detalhe Campos'!$C$7:$C$574,'1. Status Resumo'!$G$40,'2. Status Detalhe Campos'!$D$7:$D$574,"2. Campo")+COUNTIFS('2. Status Detalhe Campos'!$G$7:$G$574,'1. Status Resumo'!$P46,'2. Status Detalhe Campos'!$C$7:$C$574,'1. Status Resumo'!$H$40,'2. Status Detalhe Campos'!$D$7:$D$574,"2. Campo")</f>
        <v>26</v>
      </c>
      <c r="V46" s="26">
        <f t="shared" si="2"/>
        <v>2</v>
      </c>
      <c r="W46" s="157"/>
      <c r="X46" s="348"/>
      <c r="Y46" s="349"/>
      <c r="Z46" s="349"/>
      <c r="AA46" s="349"/>
      <c r="AB46" s="349"/>
      <c r="AC46" s="349"/>
      <c r="AD46" s="349"/>
      <c r="AE46" s="349"/>
      <c r="AF46" s="350"/>
      <c r="AG46" s="158"/>
      <c r="AH46" s="117"/>
    </row>
    <row r="47" spans="1:34" x14ac:dyDescent="0.45">
      <c r="A47" s="117"/>
      <c r="B47" s="122"/>
      <c r="D47" s="335" t="str">
        <f>"# "&amp;U53</f>
        <v># 245</v>
      </c>
      <c r="E47" s="335"/>
      <c r="P47" s="26" t="s">
        <v>1928</v>
      </c>
      <c r="T47" s="26">
        <f>COUNTIFS('2. Status Detalhe Campos'!$H$7:$H$574,'1. Status Resumo'!$P47,'2. Status Detalhe Campos'!$C$7:$C$574,'1. Status Resumo'!$G$40,'2. Status Detalhe Campos'!$D$7:$D$574,"2. Campo")+COUNTIFS('2. Status Detalhe Campos'!$H$7:$H$574,'1. Status Resumo'!$P47,'2. Status Detalhe Campos'!$C$7:$C$574,'1. Status Resumo'!$H$40,'2. Status Detalhe Campos'!$D$7:$D$574,"2. Campo")</f>
        <v>0</v>
      </c>
      <c r="U47" s="26">
        <f>COUNTIFS('2. Status Detalhe Campos'!$G$7:$G$574,'1. Status Resumo'!$P47,'2. Status Detalhe Campos'!$C$7:$C$574,'1. Status Resumo'!$G$40,'2. Status Detalhe Campos'!$D$7:$D$574,"2. Campo")+COUNTIFS('2. Status Detalhe Campos'!$G$7:$G$574,'1. Status Resumo'!$P47,'2. Status Detalhe Campos'!$C$7:$C$574,'1. Status Resumo'!$H$40,'2. Status Detalhe Campos'!$D$7:$D$574,"2. Campo")</f>
        <v>0</v>
      </c>
      <c r="V47" s="26">
        <f t="shared" ref="V47" si="3">U47-T47</f>
        <v>0</v>
      </c>
      <c r="W47" s="157"/>
      <c r="X47" s="348"/>
      <c r="Y47" s="349"/>
      <c r="Z47" s="349"/>
      <c r="AA47" s="349"/>
      <c r="AB47" s="349"/>
      <c r="AC47" s="349"/>
      <c r="AD47" s="349"/>
      <c r="AE47" s="349"/>
      <c r="AF47" s="350"/>
      <c r="AG47" s="158"/>
      <c r="AH47" s="117"/>
    </row>
    <row r="48" spans="1:34" ht="17.7" customHeight="1" x14ac:dyDescent="0.45">
      <c r="A48" s="117"/>
      <c r="B48" s="122"/>
      <c r="D48" s="335"/>
      <c r="E48" s="335"/>
      <c r="P48" s="26" t="s">
        <v>615</v>
      </c>
      <c r="T48" s="26">
        <f>COUNTIFS('2. Status Detalhe Campos'!$H$7:$H$574,'1. Status Resumo'!$P48,'2. Status Detalhe Campos'!$C$7:$C$574,'1. Status Resumo'!$G$40,'2. Status Detalhe Campos'!$D$7:$D$574,"2. Campo")+COUNTIFS('2. Status Detalhe Campos'!$H$7:$H$574,'1. Status Resumo'!$P48,'2. Status Detalhe Campos'!$C$7:$C$574,'1. Status Resumo'!$H$40,'2. Status Detalhe Campos'!$D$7:$D$574,"2. Campo")</f>
        <v>0</v>
      </c>
      <c r="U48" s="26">
        <f>COUNTIFS('2. Status Detalhe Campos'!$G$7:$G$574,'1. Status Resumo'!$P48,'2. Status Detalhe Campos'!$C$7:$C$574,'1. Status Resumo'!$G$40,'2. Status Detalhe Campos'!$D$7:$D$574,"2. Campo")+COUNTIFS('2. Status Detalhe Campos'!$G$7:$G$574,'1. Status Resumo'!$P48,'2. Status Detalhe Campos'!$C$7:$C$574,'1. Status Resumo'!$H$40,'2. Status Detalhe Campos'!$D$7:$D$574,"2. Campo")</f>
        <v>0</v>
      </c>
      <c r="V48" s="26">
        <f t="shared" si="2"/>
        <v>0</v>
      </c>
      <c r="W48" s="157"/>
      <c r="X48" s="348"/>
      <c r="Y48" s="349"/>
      <c r="Z48" s="349"/>
      <c r="AA48" s="349"/>
      <c r="AB48" s="349"/>
      <c r="AC48" s="349"/>
      <c r="AD48" s="349"/>
      <c r="AE48" s="349"/>
      <c r="AF48" s="350"/>
      <c r="AG48" s="158"/>
      <c r="AH48" s="117"/>
    </row>
    <row r="49" spans="1:34" ht="17.7" customHeight="1" x14ac:dyDescent="0.45">
      <c r="A49" s="117"/>
      <c r="B49" s="122"/>
      <c r="D49" s="335"/>
      <c r="E49" s="335"/>
      <c r="P49" s="26" t="s">
        <v>616</v>
      </c>
      <c r="T49" s="26">
        <f>COUNTIFS('2. Status Detalhe Campos'!$H$7:$H$574,'1. Status Resumo'!$P49,'2. Status Detalhe Campos'!$C$7:$C$574,'1. Status Resumo'!$G$40,'2. Status Detalhe Campos'!$D$7:$D$574,"2. Campo")+COUNTIFS('2. Status Detalhe Campos'!$H$7:$H$574,'1. Status Resumo'!$P49,'2. Status Detalhe Campos'!$C$7:$C$574,'1. Status Resumo'!$H$40,'2. Status Detalhe Campos'!$D$7:$D$574,"2. Campo")</f>
        <v>1</v>
      </c>
      <c r="U49" s="26">
        <f>COUNTIFS('2. Status Detalhe Campos'!$G$7:$G$574,'1. Status Resumo'!$P49,'2. Status Detalhe Campos'!$C$7:$C$574,'1. Status Resumo'!$G$40,'2. Status Detalhe Campos'!$D$7:$D$574,"2. Campo")+COUNTIFS('2. Status Detalhe Campos'!$G$7:$G$574,'1. Status Resumo'!$P49,'2. Status Detalhe Campos'!$C$7:$C$574,'1. Status Resumo'!$H$40,'2. Status Detalhe Campos'!$D$7:$D$574,"2. Campo")</f>
        <v>1</v>
      </c>
      <c r="V49" s="26">
        <f t="shared" si="2"/>
        <v>0</v>
      </c>
      <c r="W49" s="157"/>
      <c r="X49" s="348"/>
      <c r="Y49" s="349"/>
      <c r="Z49" s="349"/>
      <c r="AA49" s="349"/>
      <c r="AB49" s="349"/>
      <c r="AC49" s="349"/>
      <c r="AD49" s="349"/>
      <c r="AE49" s="349"/>
      <c r="AF49" s="350"/>
      <c r="AG49" s="158"/>
      <c r="AH49" s="117"/>
    </row>
    <row r="50" spans="1:34" ht="17.7" customHeight="1" x14ac:dyDescent="0.45">
      <c r="A50" s="117"/>
      <c r="B50" s="122"/>
      <c r="P50" s="26" t="s">
        <v>617</v>
      </c>
      <c r="R50" s="26" t="s">
        <v>618</v>
      </c>
      <c r="T50" s="26">
        <f>COUNTIFS('2. Status Detalhe Campos'!$H$7:$H$574,'1. Status Resumo'!$P50,'2. Status Detalhe Campos'!$C$7:$C$574,'1. Status Resumo'!$G$40,'2. Status Detalhe Campos'!$D$7:$D$574,"2. Campo")+COUNTIFS('2. Status Detalhe Campos'!$H$7:$H$574,'1. Status Resumo'!$P50,'2. Status Detalhe Campos'!$C$7:$C$574,'1. Status Resumo'!$H$40,'2. Status Detalhe Campos'!$D$7:$D$574,"2. Campo")</f>
        <v>0</v>
      </c>
      <c r="U50" s="26">
        <f>COUNTIFS('2. Status Detalhe Campos'!$G$7:$G$574,'1. Status Resumo'!$P50,'2. Status Detalhe Campos'!$C$7:$C$574,'1. Status Resumo'!$G$40,'2. Status Detalhe Campos'!$D$7:$D$574,"2. Campo")+COUNTIFS('2. Status Detalhe Campos'!$G$7:$G$574,'1. Status Resumo'!$P50,'2. Status Detalhe Campos'!$C$7:$C$574,'1. Status Resumo'!$H$40,'2. Status Detalhe Campos'!$D$7:$D$574,"2. Campo")</f>
        <v>4</v>
      </c>
      <c r="V50" s="26">
        <f t="shared" si="2"/>
        <v>4</v>
      </c>
      <c r="W50" s="157"/>
      <c r="X50" s="348"/>
      <c r="Y50" s="349"/>
      <c r="Z50" s="349"/>
      <c r="AA50" s="349"/>
      <c r="AB50" s="349"/>
      <c r="AC50" s="349"/>
      <c r="AD50" s="349"/>
      <c r="AE50" s="349"/>
      <c r="AF50" s="350"/>
      <c r="AG50" s="158"/>
      <c r="AH50" s="117"/>
    </row>
    <row r="51" spans="1:34" x14ac:dyDescent="0.45">
      <c r="A51" s="117"/>
      <c r="B51" s="122"/>
      <c r="P51" s="26" t="s">
        <v>619</v>
      </c>
      <c r="T51" s="26">
        <f>COUNTIFS('2. Status Detalhe Campos'!$H$7:$H$574,'1. Status Resumo'!$P51,'2. Status Detalhe Campos'!$C$7:$C$574,'1. Status Resumo'!$G$40,'2. Status Detalhe Campos'!$D$7:$D$574,"2. Campo")+COUNTIFS('2. Status Detalhe Campos'!$H$7:$H$574,'1. Status Resumo'!$P51,'2. Status Detalhe Campos'!$C$7:$C$574,'1. Status Resumo'!$H$40,'2. Status Detalhe Campos'!$D$7:$D$574,"2. Campo")</f>
        <v>26</v>
      </c>
      <c r="U51" s="26">
        <f>COUNTIFS('2. Status Detalhe Campos'!$G$7:$G$574,'1. Status Resumo'!$P51,'2. Status Detalhe Campos'!$C$7:$C$574,'1. Status Resumo'!$G$40,'2. Status Detalhe Campos'!$D$7:$D$574,"2. Campo")+COUNTIFS('2. Status Detalhe Campos'!$G$7:$G$574,'1. Status Resumo'!$P51,'2. Status Detalhe Campos'!$C$7:$C$574,'1. Status Resumo'!$H$40,'2. Status Detalhe Campos'!$D$7:$D$574,"2. Campo")</f>
        <v>20</v>
      </c>
      <c r="V51" s="26">
        <f t="shared" si="2"/>
        <v>-6</v>
      </c>
      <c r="X51" s="348"/>
      <c r="Y51" s="349"/>
      <c r="Z51" s="349"/>
      <c r="AA51" s="349"/>
      <c r="AB51" s="349"/>
      <c r="AC51" s="349"/>
      <c r="AD51" s="349"/>
      <c r="AE51" s="349"/>
      <c r="AF51" s="350"/>
      <c r="AG51" s="158"/>
      <c r="AH51" s="117"/>
    </row>
    <row r="52" spans="1:34" x14ac:dyDescent="0.45">
      <c r="A52" s="117"/>
      <c r="B52" s="122"/>
      <c r="P52" s="26" t="s">
        <v>28</v>
      </c>
      <c r="T52" s="26">
        <f>COUNTIFS('2. Status Detalhe Campos'!$H$7:$H$574,'1. Status Resumo'!$P52,'2. Status Detalhe Campos'!$C$7:$C$574,'1. Status Resumo'!$G$40,'2. Status Detalhe Campos'!$D$7:$D$574,"2. Campo")+COUNTIFS('2. Status Detalhe Campos'!$H$7:$H$574,'1. Status Resumo'!$P52,'2. Status Detalhe Campos'!$C$7:$C$574,'1. Status Resumo'!$H$40,'2. Status Detalhe Campos'!$D$7:$D$574,"2. Campo")</f>
        <v>0</v>
      </c>
      <c r="U52" s="26">
        <f>COUNTIFS('2. Status Detalhe Campos'!$G$7:$G$574,'1. Status Resumo'!$P52,'2. Status Detalhe Campos'!$C$7:$C$574,'1. Status Resumo'!$G$40,'2. Status Detalhe Campos'!$D$7:$D$574,"2. Campo")+COUNTIFS('2. Status Detalhe Campos'!$G$7:$G$574,'1. Status Resumo'!$P52,'2. Status Detalhe Campos'!$C$7:$C$574,'1. Status Resumo'!$H$40,'2. Status Detalhe Campos'!$D$7:$D$574,"2. Campo")</f>
        <v>0</v>
      </c>
      <c r="V52" s="26">
        <f t="shared" si="2"/>
        <v>0</v>
      </c>
      <c r="X52" s="348"/>
      <c r="Y52" s="349"/>
      <c r="Z52" s="349"/>
      <c r="AA52" s="349"/>
      <c r="AB52" s="349"/>
      <c r="AC52" s="349"/>
      <c r="AD52" s="349"/>
      <c r="AE52" s="349"/>
      <c r="AF52" s="350"/>
      <c r="AG52" s="158"/>
      <c r="AH52" s="117"/>
    </row>
    <row r="53" spans="1:34" x14ac:dyDescent="0.45">
      <c r="A53" s="117"/>
      <c r="B53" s="122"/>
      <c r="T53" s="128">
        <f>SUM(T44:T52)</f>
        <v>245</v>
      </c>
      <c r="U53" s="128">
        <f>SUM(U44:U52)</f>
        <v>245</v>
      </c>
      <c r="X53" s="348"/>
      <c r="Y53" s="349"/>
      <c r="Z53" s="349"/>
      <c r="AA53" s="349"/>
      <c r="AB53" s="349"/>
      <c r="AC53" s="349"/>
      <c r="AD53" s="349"/>
      <c r="AE53" s="349"/>
      <c r="AF53" s="350"/>
      <c r="AG53" s="158"/>
      <c r="AH53" s="117"/>
    </row>
    <row r="54" spans="1:34" x14ac:dyDescent="0.45">
      <c r="A54" s="117"/>
      <c r="B54" s="122"/>
      <c r="X54" s="348"/>
      <c r="Y54" s="349"/>
      <c r="Z54" s="349"/>
      <c r="AA54" s="349"/>
      <c r="AB54" s="349"/>
      <c r="AC54" s="349"/>
      <c r="AD54" s="349"/>
      <c r="AE54" s="349"/>
      <c r="AF54" s="350"/>
      <c r="AG54" s="158"/>
      <c r="AH54" s="117"/>
    </row>
    <row r="55" spans="1:34" x14ac:dyDescent="0.45">
      <c r="A55" s="117"/>
      <c r="B55" s="122"/>
      <c r="P55" s="130" t="s">
        <v>637</v>
      </c>
      <c r="Q55" s="131"/>
      <c r="R55" s="131"/>
      <c r="S55" s="131"/>
      <c r="T55" s="131"/>
      <c r="U55" s="131"/>
      <c r="V55" s="131"/>
      <c r="X55" s="348"/>
      <c r="Y55" s="349"/>
      <c r="Z55" s="349"/>
      <c r="AA55" s="349"/>
      <c r="AB55" s="349"/>
      <c r="AC55" s="349"/>
      <c r="AD55" s="349"/>
      <c r="AE55" s="349"/>
      <c r="AF55" s="350"/>
      <c r="AG55" s="158"/>
      <c r="AH55" s="117"/>
    </row>
    <row r="56" spans="1:34" x14ac:dyDescent="0.45">
      <c r="A56" s="117"/>
      <c r="B56" s="122"/>
      <c r="O56" s="160" t="s">
        <v>622</v>
      </c>
      <c r="P56" s="26" t="s">
        <v>217</v>
      </c>
      <c r="T56" s="162" t="s">
        <v>624</v>
      </c>
      <c r="X56" s="348"/>
      <c r="Y56" s="349"/>
      <c r="Z56" s="349"/>
      <c r="AA56" s="349"/>
      <c r="AB56" s="349"/>
      <c r="AC56" s="349"/>
      <c r="AD56" s="349"/>
      <c r="AE56" s="349"/>
      <c r="AF56" s="350"/>
      <c r="AG56" s="158"/>
      <c r="AH56" s="117"/>
    </row>
    <row r="57" spans="1:34" x14ac:dyDescent="0.45">
      <c r="A57" s="117"/>
      <c r="B57" s="122"/>
      <c r="O57" s="160" t="s">
        <v>622</v>
      </c>
      <c r="P57" s="26" t="s">
        <v>216</v>
      </c>
      <c r="T57" s="162" t="s">
        <v>624</v>
      </c>
      <c r="X57" s="348"/>
      <c r="Y57" s="349"/>
      <c r="Z57" s="349"/>
      <c r="AA57" s="349"/>
      <c r="AB57" s="349"/>
      <c r="AC57" s="349"/>
      <c r="AD57" s="349"/>
      <c r="AE57" s="349"/>
      <c r="AF57" s="350"/>
      <c r="AG57" s="158"/>
      <c r="AH57" s="117"/>
    </row>
    <row r="58" spans="1:34" x14ac:dyDescent="0.45">
      <c r="A58" s="117"/>
      <c r="B58" s="122"/>
      <c r="O58" s="160" t="s">
        <v>622</v>
      </c>
      <c r="P58" s="26" t="s">
        <v>214</v>
      </c>
      <c r="T58" s="162" t="s">
        <v>624</v>
      </c>
      <c r="X58" s="348"/>
      <c r="Y58" s="349"/>
      <c r="Z58" s="349"/>
      <c r="AA58" s="349"/>
      <c r="AB58" s="349"/>
      <c r="AC58" s="349"/>
      <c r="AD58" s="349"/>
      <c r="AE58" s="349"/>
      <c r="AF58" s="350"/>
      <c r="AG58" s="158"/>
      <c r="AH58" s="117"/>
    </row>
    <row r="59" spans="1:34" x14ac:dyDescent="0.45">
      <c r="A59" s="117"/>
      <c r="B59" s="122"/>
      <c r="O59" s="160" t="s">
        <v>622</v>
      </c>
      <c r="P59" s="26" t="s">
        <v>213</v>
      </c>
      <c r="T59" s="162" t="s">
        <v>624</v>
      </c>
      <c r="X59" s="348"/>
      <c r="Y59" s="349"/>
      <c r="Z59" s="349"/>
      <c r="AA59" s="349"/>
      <c r="AB59" s="349"/>
      <c r="AC59" s="349"/>
      <c r="AD59" s="349"/>
      <c r="AE59" s="349"/>
      <c r="AF59" s="350"/>
      <c r="AG59" s="158"/>
      <c r="AH59" s="117"/>
    </row>
    <row r="60" spans="1:34" x14ac:dyDescent="0.45">
      <c r="A60" s="117"/>
      <c r="B60" s="122"/>
      <c r="O60" s="160" t="s">
        <v>622</v>
      </c>
      <c r="P60" s="26" t="s">
        <v>218</v>
      </c>
      <c r="T60" s="162" t="s">
        <v>624</v>
      </c>
      <c r="X60" s="348"/>
      <c r="Y60" s="349"/>
      <c r="Z60" s="349"/>
      <c r="AA60" s="349"/>
      <c r="AB60" s="349"/>
      <c r="AC60" s="349"/>
      <c r="AD60" s="349"/>
      <c r="AE60" s="349"/>
      <c r="AF60" s="350"/>
      <c r="AG60" s="158"/>
      <c r="AH60" s="117"/>
    </row>
    <row r="61" spans="1:34" x14ac:dyDescent="0.45">
      <c r="A61" s="117"/>
      <c r="B61" s="122"/>
      <c r="O61" s="160" t="s">
        <v>622</v>
      </c>
      <c r="P61" s="26" t="s">
        <v>219</v>
      </c>
      <c r="T61" s="162" t="s">
        <v>624</v>
      </c>
      <c r="X61" s="348"/>
      <c r="Y61" s="349"/>
      <c r="Z61" s="349"/>
      <c r="AA61" s="349"/>
      <c r="AB61" s="349"/>
      <c r="AC61" s="349"/>
      <c r="AD61" s="349"/>
      <c r="AE61" s="349"/>
      <c r="AF61" s="350"/>
      <c r="AG61" s="158"/>
      <c r="AH61" s="117"/>
    </row>
    <row r="62" spans="1:34" x14ac:dyDescent="0.45">
      <c r="A62" s="117"/>
      <c r="B62" s="122"/>
      <c r="O62" s="160" t="s">
        <v>622</v>
      </c>
      <c r="P62" s="26" t="s">
        <v>220</v>
      </c>
      <c r="T62" s="162" t="s">
        <v>624</v>
      </c>
      <c r="X62" s="348"/>
      <c r="Y62" s="349"/>
      <c r="Z62" s="349"/>
      <c r="AA62" s="349"/>
      <c r="AB62" s="349"/>
      <c r="AC62" s="349"/>
      <c r="AD62" s="349"/>
      <c r="AE62" s="349"/>
      <c r="AF62" s="350"/>
      <c r="AG62" s="158"/>
      <c r="AH62" s="117"/>
    </row>
    <row r="63" spans="1:34" x14ac:dyDescent="0.45">
      <c r="A63" s="117"/>
      <c r="B63" s="122"/>
      <c r="O63" s="160" t="s">
        <v>622</v>
      </c>
      <c r="P63" s="26" t="s">
        <v>215</v>
      </c>
      <c r="T63" s="162" t="s">
        <v>624</v>
      </c>
      <c r="X63" s="348"/>
      <c r="Y63" s="349"/>
      <c r="Z63" s="349"/>
      <c r="AA63" s="349"/>
      <c r="AB63" s="349"/>
      <c r="AC63" s="349"/>
      <c r="AD63" s="349"/>
      <c r="AE63" s="349"/>
      <c r="AF63" s="350"/>
      <c r="AG63" s="158"/>
      <c r="AH63" s="117"/>
    </row>
    <row r="64" spans="1:34" x14ac:dyDescent="0.45">
      <c r="A64" s="117"/>
      <c r="B64" s="122"/>
      <c r="O64" s="160" t="s">
        <v>622</v>
      </c>
      <c r="P64" s="26" t="s">
        <v>182</v>
      </c>
      <c r="T64" s="257" t="s">
        <v>2014</v>
      </c>
      <c r="X64" s="348"/>
      <c r="Y64" s="349"/>
      <c r="Z64" s="349"/>
      <c r="AA64" s="349"/>
      <c r="AB64" s="349"/>
      <c r="AC64" s="349"/>
      <c r="AD64" s="349"/>
      <c r="AE64" s="349"/>
      <c r="AF64" s="350"/>
      <c r="AG64" s="158"/>
      <c r="AH64" s="117"/>
    </row>
    <row r="65" spans="1:34" x14ac:dyDescent="0.45">
      <c r="A65" s="117"/>
      <c r="B65" s="122"/>
      <c r="O65" s="160" t="s">
        <v>622</v>
      </c>
      <c r="P65" s="178" t="s">
        <v>639</v>
      </c>
      <c r="T65" s="166" t="s">
        <v>640</v>
      </c>
      <c r="X65" s="348"/>
      <c r="Y65" s="349"/>
      <c r="Z65" s="349"/>
      <c r="AA65" s="349"/>
      <c r="AB65" s="349"/>
      <c r="AC65" s="349"/>
      <c r="AD65" s="349"/>
      <c r="AE65" s="349"/>
      <c r="AF65" s="350"/>
      <c r="AG65" s="158"/>
      <c r="AH65" s="117"/>
    </row>
    <row r="66" spans="1:34" x14ac:dyDescent="0.45">
      <c r="A66" s="117"/>
      <c r="B66" s="122"/>
      <c r="P66" s="159"/>
      <c r="X66" s="348"/>
      <c r="Y66" s="349"/>
      <c r="Z66" s="349"/>
      <c r="AA66" s="349"/>
      <c r="AB66" s="349"/>
      <c r="AC66" s="349"/>
      <c r="AD66" s="349"/>
      <c r="AE66" s="349"/>
      <c r="AF66" s="350"/>
      <c r="AG66" s="158"/>
      <c r="AH66" s="117"/>
    </row>
    <row r="67" spans="1:34" x14ac:dyDescent="0.45">
      <c r="A67" s="117"/>
      <c r="B67" s="122"/>
      <c r="P67" s="130" t="s">
        <v>641</v>
      </c>
      <c r="Q67" s="131"/>
      <c r="R67" s="131"/>
      <c r="S67" s="131"/>
      <c r="T67" s="131"/>
      <c r="U67" s="131"/>
      <c r="V67" s="131"/>
      <c r="X67" s="348"/>
      <c r="Y67" s="349"/>
      <c r="Z67" s="349"/>
      <c r="AA67" s="349"/>
      <c r="AB67" s="349"/>
      <c r="AC67" s="349"/>
      <c r="AD67" s="349"/>
      <c r="AE67" s="349"/>
      <c r="AF67" s="350"/>
      <c r="AG67" s="158"/>
      <c r="AH67" s="117"/>
    </row>
    <row r="68" spans="1:34" x14ac:dyDescent="0.45">
      <c r="A68" s="117"/>
      <c r="B68" s="122"/>
      <c r="O68" s="160" t="s">
        <v>622</v>
      </c>
      <c r="P68" s="26" t="s">
        <v>642</v>
      </c>
      <c r="T68" s="256" t="s">
        <v>2013</v>
      </c>
      <c r="X68" s="348"/>
      <c r="Y68" s="349"/>
      <c r="Z68" s="349"/>
      <c r="AA68" s="349"/>
      <c r="AB68" s="349"/>
      <c r="AC68" s="349"/>
      <c r="AD68" s="349"/>
      <c r="AE68" s="349"/>
      <c r="AF68" s="350"/>
      <c r="AG68" s="158"/>
      <c r="AH68" s="117"/>
    </row>
    <row r="69" spans="1:34" x14ac:dyDescent="0.45">
      <c r="A69" s="117"/>
      <c r="B69" s="122"/>
      <c r="O69" s="160" t="s">
        <v>622</v>
      </c>
      <c r="P69" s="26" t="s">
        <v>312</v>
      </c>
      <c r="T69" s="162" t="s">
        <v>643</v>
      </c>
      <c r="X69" s="348"/>
      <c r="Y69" s="349"/>
      <c r="Z69" s="349"/>
      <c r="AA69" s="349"/>
      <c r="AB69" s="349"/>
      <c r="AC69" s="349"/>
      <c r="AD69" s="349"/>
      <c r="AE69" s="349"/>
      <c r="AF69" s="350"/>
      <c r="AG69" s="158"/>
      <c r="AH69" s="117"/>
    </row>
    <row r="70" spans="1:34" x14ac:dyDescent="0.45">
      <c r="A70" s="117"/>
      <c r="B70" s="122"/>
      <c r="O70" s="160" t="s">
        <v>622</v>
      </c>
      <c r="P70" s="26" t="s">
        <v>326</v>
      </c>
      <c r="T70" s="162" t="s">
        <v>624</v>
      </c>
      <c r="X70" s="348"/>
      <c r="Y70" s="349"/>
      <c r="Z70" s="349"/>
      <c r="AA70" s="349"/>
      <c r="AB70" s="349"/>
      <c r="AC70" s="349"/>
      <c r="AD70" s="349"/>
      <c r="AE70" s="349"/>
      <c r="AF70" s="350"/>
      <c r="AG70" s="158"/>
      <c r="AH70" s="117"/>
    </row>
    <row r="71" spans="1:34" x14ac:dyDescent="0.45">
      <c r="A71" s="117"/>
      <c r="B71" s="122"/>
      <c r="O71" s="160" t="s">
        <v>622</v>
      </c>
      <c r="P71" s="26" t="s">
        <v>334</v>
      </c>
      <c r="T71" s="166" t="s">
        <v>638</v>
      </c>
      <c r="X71" s="348"/>
      <c r="Y71" s="349"/>
      <c r="Z71" s="349"/>
      <c r="AA71" s="349"/>
      <c r="AB71" s="349"/>
      <c r="AC71" s="349"/>
      <c r="AD71" s="349"/>
      <c r="AE71" s="349"/>
      <c r="AF71" s="350"/>
      <c r="AG71" s="158"/>
      <c r="AH71" s="117"/>
    </row>
    <row r="72" spans="1:34" x14ac:dyDescent="0.45">
      <c r="A72" s="117"/>
      <c r="B72" s="122"/>
      <c r="O72" s="160"/>
      <c r="T72" s="161"/>
      <c r="X72" s="351"/>
      <c r="Y72" s="352"/>
      <c r="Z72" s="352"/>
      <c r="AA72" s="352"/>
      <c r="AB72" s="352"/>
      <c r="AC72" s="352"/>
      <c r="AD72" s="352"/>
      <c r="AE72" s="352"/>
      <c r="AF72" s="353"/>
      <c r="AG72" s="158"/>
      <c r="AH72" s="117"/>
    </row>
    <row r="73" spans="1:34" x14ac:dyDescent="0.45">
      <c r="A73" s="117"/>
      <c r="B73" s="124"/>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c r="AA73" s="125"/>
      <c r="AB73" s="125"/>
      <c r="AC73" s="125"/>
      <c r="AD73" s="125"/>
      <c r="AE73" s="125"/>
      <c r="AF73" s="125"/>
      <c r="AG73" s="126"/>
      <c r="AH73" s="117"/>
    </row>
    <row r="74" spans="1:34" x14ac:dyDescent="0.45">
      <c r="A74" s="117"/>
      <c r="B74" s="117"/>
      <c r="C74" s="117"/>
      <c r="D74" s="117"/>
      <c r="E74" s="117"/>
      <c r="F74" s="117"/>
      <c r="G74" s="117"/>
      <c r="H74" s="117"/>
      <c r="I74" s="117"/>
      <c r="J74" s="117"/>
      <c r="K74" s="117"/>
      <c r="L74" s="117"/>
      <c r="M74" s="117"/>
      <c r="N74" s="117"/>
      <c r="O74" s="117"/>
      <c r="P74" s="117"/>
      <c r="Q74" s="117"/>
      <c r="R74" s="117"/>
      <c r="S74" s="117"/>
      <c r="T74" s="117"/>
      <c r="U74" s="117"/>
      <c r="V74" s="117"/>
      <c r="W74" s="117"/>
      <c r="X74" s="117"/>
      <c r="Y74" s="117"/>
      <c r="Z74" s="117"/>
      <c r="AA74" s="117"/>
      <c r="AB74" s="117"/>
      <c r="AC74" s="117"/>
      <c r="AD74" s="117"/>
      <c r="AE74" s="117"/>
      <c r="AF74" s="117"/>
      <c r="AG74" s="117"/>
      <c r="AH74" s="117"/>
    </row>
    <row r="75" spans="1:34" ht="22.2" x14ac:dyDescent="0.55000000000000004">
      <c r="A75" s="117"/>
      <c r="B75" s="127" t="s">
        <v>644</v>
      </c>
      <c r="C75" s="117"/>
      <c r="D75" s="117"/>
      <c r="E75" s="117"/>
      <c r="F75" s="117"/>
      <c r="G75" s="129" t="s">
        <v>26</v>
      </c>
      <c r="H75" s="129"/>
      <c r="I75" s="117"/>
      <c r="J75" s="117"/>
      <c r="K75" s="117"/>
      <c r="L75" s="117"/>
      <c r="M75" s="117"/>
      <c r="N75" s="117"/>
      <c r="O75" s="117"/>
      <c r="P75" s="117"/>
      <c r="Q75" s="117"/>
      <c r="R75" s="117"/>
      <c r="S75" s="117"/>
      <c r="T75" s="117"/>
      <c r="U75" s="117"/>
      <c r="V75" s="117"/>
      <c r="W75" s="117"/>
      <c r="X75" s="117"/>
      <c r="Y75" s="117"/>
      <c r="Z75" s="117"/>
      <c r="AA75" s="117"/>
      <c r="AB75" s="117"/>
      <c r="AC75" s="117"/>
      <c r="AD75" s="117"/>
      <c r="AE75" s="117"/>
      <c r="AF75" s="117"/>
      <c r="AG75" s="117"/>
      <c r="AH75" s="117"/>
    </row>
    <row r="76" spans="1:34" ht="4.95" customHeight="1" x14ac:dyDescent="0.45">
      <c r="A76" s="117"/>
      <c r="B76" s="117"/>
      <c r="C76" s="117"/>
      <c r="D76" s="117"/>
      <c r="E76" s="117"/>
      <c r="F76" s="117"/>
      <c r="G76" s="117"/>
      <c r="H76" s="117"/>
      <c r="I76" s="117"/>
      <c r="J76" s="117"/>
      <c r="K76" s="117"/>
      <c r="L76" s="117"/>
      <c r="M76" s="117"/>
      <c r="N76" s="117"/>
      <c r="O76" s="117"/>
      <c r="P76" s="117"/>
      <c r="Q76" s="117"/>
      <c r="R76" s="117"/>
      <c r="S76" s="117"/>
      <c r="T76" s="117"/>
      <c r="U76" s="117"/>
      <c r="V76" s="117"/>
      <c r="W76" s="117"/>
      <c r="X76" s="117"/>
      <c r="Y76" s="117"/>
      <c r="Z76" s="117"/>
      <c r="AA76" s="117"/>
      <c r="AB76" s="117"/>
      <c r="AC76" s="117"/>
      <c r="AD76" s="117"/>
      <c r="AE76" s="117"/>
      <c r="AF76" s="117"/>
      <c r="AG76" s="117"/>
      <c r="AH76" s="117"/>
    </row>
    <row r="77" spans="1:34" x14ac:dyDescent="0.45">
      <c r="A77" s="117"/>
      <c r="B77" s="119"/>
      <c r="C77" s="120"/>
      <c r="D77" s="120"/>
      <c r="E77" s="120"/>
      <c r="F77" s="120"/>
      <c r="G77" s="120"/>
      <c r="H77" s="120"/>
      <c r="I77" s="120"/>
      <c r="J77" s="120"/>
      <c r="K77" s="120"/>
      <c r="L77" s="120"/>
      <c r="M77" s="120"/>
      <c r="N77" s="120"/>
      <c r="O77" s="120"/>
      <c r="P77" s="120"/>
      <c r="Q77" s="120"/>
      <c r="R77" s="120"/>
      <c r="S77" s="120"/>
      <c r="T77" s="120"/>
      <c r="U77" s="120"/>
      <c r="V77" s="120"/>
      <c r="W77" s="120"/>
      <c r="X77" s="120"/>
      <c r="Y77" s="120"/>
      <c r="Z77" s="120"/>
      <c r="AA77" s="120"/>
      <c r="AB77" s="120"/>
      <c r="AC77" s="120"/>
      <c r="AD77" s="120"/>
      <c r="AE77" s="120"/>
      <c r="AF77" s="120"/>
      <c r="AG77" s="121"/>
      <c r="AH77" s="117"/>
    </row>
    <row r="78" spans="1:34" x14ac:dyDescent="0.45">
      <c r="A78" s="117"/>
      <c r="B78" s="122"/>
      <c r="C78" s="155" t="s">
        <v>608</v>
      </c>
      <c r="G78" s="155" t="s">
        <v>609</v>
      </c>
      <c r="P78" s="130" t="s">
        <v>610</v>
      </c>
      <c r="Q78" s="131"/>
      <c r="R78" s="130"/>
      <c r="S78" s="131"/>
      <c r="T78" s="132">
        <f>T17</f>
        <v>45618</v>
      </c>
      <c r="U78" s="132">
        <f>$U$17</f>
        <v>45625</v>
      </c>
      <c r="V78" s="133" t="s">
        <v>611</v>
      </c>
      <c r="X78" s="156" t="s">
        <v>612</v>
      </c>
      <c r="AG78" s="123"/>
      <c r="AH78" s="117"/>
    </row>
    <row r="79" spans="1:34" ht="18" customHeight="1" x14ac:dyDescent="0.45">
      <c r="A79" s="117"/>
      <c r="B79" s="122"/>
      <c r="P79" s="26" t="s">
        <v>613</v>
      </c>
      <c r="T79" s="26">
        <f>COUNTIFS(Table4[Status Anterior],'1. Status Resumo'!$P79,Table4[Sub-âmbito],'1. Status Resumo'!$G$75,Table4[Tipo de teste],"2. Campo")</f>
        <v>0</v>
      </c>
      <c r="U79" s="26">
        <f>COUNTIFS(Table4[Status Atual],'1. Status Resumo'!$P79,Table4[Sub-âmbito],'1. Status Resumo'!$G$75,Table4[Tipo de teste],"2. Campo")</f>
        <v>0</v>
      </c>
      <c r="V79" s="26">
        <f>U79-T79</f>
        <v>0</v>
      </c>
      <c r="X79" s="363" t="s">
        <v>2041</v>
      </c>
      <c r="Y79" s="364"/>
      <c r="Z79" s="364"/>
      <c r="AA79" s="364"/>
      <c r="AB79" s="364"/>
      <c r="AC79" s="364"/>
      <c r="AD79" s="364"/>
      <c r="AE79" s="364"/>
      <c r="AF79" s="364"/>
      <c r="AG79" s="163"/>
      <c r="AH79" s="117"/>
    </row>
    <row r="80" spans="1:34" x14ac:dyDescent="0.45">
      <c r="A80" s="117"/>
      <c r="B80" s="122"/>
      <c r="P80" s="26" t="s">
        <v>614</v>
      </c>
      <c r="T80" s="26">
        <f>COUNTIFS(Table4[Status Anterior],'1. Status Resumo'!$P80,Table4[Sub-âmbito],'1. Status Resumo'!$G$75,Table4[Tipo de teste],"2. Campo")</f>
        <v>54</v>
      </c>
      <c r="U80" s="26">
        <f>COUNTIFS(Table4[Status Atual],'1. Status Resumo'!$P80,Table4[Sub-âmbito],'1. Status Resumo'!$G$75,Table4[Tipo de teste],"2. Campo")</f>
        <v>69</v>
      </c>
      <c r="V80" s="26">
        <f t="shared" ref="V80:V87" si="4">U80-T80</f>
        <v>15</v>
      </c>
      <c r="X80" s="364"/>
      <c r="Y80" s="364"/>
      <c r="Z80" s="364"/>
      <c r="AA80" s="364"/>
      <c r="AB80" s="364"/>
      <c r="AC80" s="364"/>
      <c r="AD80" s="364"/>
      <c r="AE80" s="364"/>
      <c r="AF80" s="364"/>
      <c r="AG80" s="163"/>
      <c r="AH80" s="117"/>
    </row>
    <row r="81" spans="1:34" x14ac:dyDescent="0.45">
      <c r="A81" s="117"/>
      <c r="B81" s="122"/>
      <c r="P81" s="26" t="s">
        <v>1927</v>
      </c>
      <c r="T81" s="26">
        <f>COUNTIFS(Table4[Status Anterior],'1. Status Resumo'!$P81,Table4[Sub-âmbito],'1. Status Resumo'!$G$75,Table4[Tipo de teste],"2. Campo")</f>
        <v>58</v>
      </c>
      <c r="U81" s="26">
        <f>COUNTIFS(Table4[Status Atual],'1. Status Resumo'!$P81,Table4[Sub-âmbito],'1. Status Resumo'!$G$75,Table4[Tipo de teste],"2. Campo")</f>
        <v>37</v>
      </c>
      <c r="V81" s="26">
        <f t="shared" si="4"/>
        <v>-21</v>
      </c>
      <c r="X81" s="364"/>
      <c r="Y81" s="364"/>
      <c r="Z81" s="364"/>
      <c r="AA81" s="364"/>
      <c r="AB81" s="364"/>
      <c r="AC81" s="364"/>
      <c r="AD81" s="364"/>
      <c r="AE81" s="364"/>
      <c r="AF81" s="364"/>
      <c r="AG81" s="163"/>
      <c r="AH81" s="117"/>
    </row>
    <row r="82" spans="1:34" ht="17.7" customHeight="1" x14ac:dyDescent="0.45">
      <c r="A82" s="117"/>
      <c r="B82" s="122"/>
      <c r="D82" s="335" t="str">
        <f>"# "&amp;U88</f>
        <v># 135</v>
      </c>
      <c r="E82" s="335"/>
      <c r="P82" s="26" t="s">
        <v>1928</v>
      </c>
      <c r="T82" s="26">
        <f>COUNTIFS(Table4[Status Anterior],'1. Status Resumo'!$P82,Table4[Sub-âmbito],'1. Status Resumo'!$G$75,Table4[Tipo de teste],"2. Campo")</f>
        <v>0</v>
      </c>
      <c r="U82" s="26">
        <f>COUNTIFS(Table4[Status Atual],'1. Status Resumo'!$P82,Table4[Sub-âmbito],'1. Status Resumo'!$G$75,Table4[Tipo de teste],"2. Campo")</f>
        <v>0</v>
      </c>
      <c r="V82" s="26">
        <f t="shared" ref="V82" si="5">U82-T82</f>
        <v>0</v>
      </c>
      <c r="X82" s="364"/>
      <c r="Y82" s="364"/>
      <c r="Z82" s="364"/>
      <c r="AA82" s="364"/>
      <c r="AB82" s="364"/>
      <c r="AC82" s="364"/>
      <c r="AD82" s="364"/>
      <c r="AE82" s="364"/>
      <c r="AF82" s="364"/>
      <c r="AG82" s="163"/>
      <c r="AH82" s="117"/>
    </row>
    <row r="83" spans="1:34" ht="17.7" customHeight="1" x14ac:dyDescent="0.45">
      <c r="A83" s="117"/>
      <c r="B83" s="122"/>
      <c r="D83" s="335"/>
      <c r="E83" s="335"/>
      <c r="P83" s="26" t="s">
        <v>615</v>
      </c>
      <c r="T83" s="26">
        <f>COUNTIFS(Table4[Status Anterior],'1. Status Resumo'!$P83,Table4[Sub-âmbito],'1. Status Resumo'!$G$75,Table4[Tipo de teste],"2. Campo")</f>
        <v>8</v>
      </c>
      <c r="U83" s="26">
        <f>COUNTIFS(Table4[Status Atual],'1. Status Resumo'!$P83,Table4[Sub-âmbito],'1. Status Resumo'!$G$75,Table4[Tipo de teste],"2. Campo")</f>
        <v>5</v>
      </c>
      <c r="V83" s="26">
        <f t="shared" si="4"/>
        <v>-3</v>
      </c>
      <c r="X83" s="364"/>
      <c r="Y83" s="364"/>
      <c r="Z83" s="364"/>
      <c r="AA83" s="364"/>
      <c r="AB83" s="364"/>
      <c r="AC83" s="364"/>
      <c r="AD83" s="364"/>
      <c r="AE83" s="364"/>
      <c r="AF83" s="364"/>
      <c r="AG83" s="163"/>
      <c r="AH83" s="117"/>
    </row>
    <row r="84" spans="1:34" ht="17.7" customHeight="1" x14ac:dyDescent="0.45">
      <c r="A84" s="117"/>
      <c r="B84" s="122"/>
      <c r="D84" s="335"/>
      <c r="E84" s="335"/>
      <c r="P84" s="26" t="s">
        <v>616</v>
      </c>
      <c r="T84" s="26">
        <f>COUNTIFS(Table4[Status Anterior],'1. Status Resumo'!$P84,Table4[Sub-âmbito],'1. Status Resumo'!$G$75,Table4[Tipo de teste],"2. Campo")</f>
        <v>0</v>
      </c>
      <c r="U84" s="26">
        <f>COUNTIFS(Table4[Status Atual],'1. Status Resumo'!$P84,Table4[Sub-âmbito],'1. Status Resumo'!$G$75,Table4[Tipo de teste],"2. Campo")</f>
        <v>0</v>
      </c>
      <c r="V84" s="26">
        <f t="shared" si="4"/>
        <v>0</v>
      </c>
      <c r="X84" s="364"/>
      <c r="Y84" s="364"/>
      <c r="Z84" s="364"/>
      <c r="AA84" s="364"/>
      <c r="AB84" s="364"/>
      <c r="AC84" s="364"/>
      <c r="AD84" s="364"/>
      <c r="AE84" s="364"/>
      <c r="AF84" s="364"/>
      <c r="AG84" s="163"/>
      <c r="AH84" s="117"/>
    </row>
    <row r="85" spans="1:34" x14ac:dyDescent="0.45">
      <c r="A85" s="117"/>
      <c r="B85" s="122"/>
      <c r="D85" s="335"/>
      <c r="E85" s="335"/>
      <c r="P85" s="26" t="s">
        <v>617</v>
      </c>
      <c r="R85" s="26" t="s">
        <v>618</v>
      </c>
      <c r="T85" s="26">
        <f>COUNTIFS(Table4[Status Anterior],'1. Status Resumo'!$P85,Table4[Sub-âmbito],'1. Status Resumo'!$G$75,Table4[Tipo de teste],"2. Campo")</f>
        <v>3</v>
      </c>
      <c r="U85" s="26">
        <f>COUNTIFS(Table4[Status Atual],'1. Status Resumo'!$P85,Table4[Sub-âmbito],'1. Status Resumo'!$G$75,Table4[Tipo de teste],"2. Campo")</f>
        <v>3</v>
      </c>
      <c r="V85" s="26">
        <f t="shared" si="4"/>
        <v>0</v>
      </c>
      <c r="X85" s="364"/>
      <c r="Y85" s="364"/>
      <c r="Z85" s="364"/>
      <c r="AA85" s="364"/>
      <c r="AB85" s="364"/>
      <c r="AC85" s="364"/>
      <c r="AD85" s="364"/>
      <c r="AE85" s="364"/>
      <c r="AF85" s="364"/>
      <c r="AG85" s="163"/>
      <c r="AH85" s="117"/>
    </row>
    <row r="86" spans="1:34" x14ac:dyDescent="0.45">
      <c r="A86" s="117"/>
      <c r="B86" s="122"/>
      <c r="D86" s="335"/>
      <c r="E86" s="335"/>
      <c r="P86" s="26" t="s">
        <v>619</v>
      </c>
      <c r="T86" s="26">
        <f>COUNTIFS(Table4[Status Anterior],'1. Status Resumo'!$P86,Table4[Sub-âmbito],'1. Status Resumo'!$G$75,Table4[Tipo de teste],"2. Campo")</f>
        <v>12</v>
      </c>
      <c r="U86" s="26">
        <f>COUNTIFS(Table4[Status Atual],'1. Status Resumo'!$P86,Table4[Sub-âmbito],'1. Status Resumo'!$G$75,Table4[Tipo de teste],"2. Campo")</f>
        <v>21</v>
      </c>
      <c r="V86" s="26">
        <f>U86-T86</f>
        <v>9</v>
      </c>
      <c r="X86" s="364"/>
      <c r="Y86" s="364"/>
      <c r="Z86" s="364"/>
      <c r="AA86" s="364"/>
      <c r="AB86" s="364"/>
      <c r="AC86" s="364"/>
      <c r="AD86" s="364"/>
      <c r="AE86" s="364"/>
      <c r="AF86" s="364"/>
      <c r="AG86" s="163"/>
      <c r="AH86" s="117"/>
    </row>
    <row r="87" spans="1:34" x14ac:dyDescent="0.45">
      <c r="A87" s="117"/>
      <c r="B87" s="122"/>
      <c r="P87" s="26" t="s">
        <v>28</v>
      </c>
      <c r="T87" s="26">
        <f>COUNTIFS(Table4[Status Anterior],'1. Status Resumo'!$P87,Table4[Sub-âmbito],'1. Status Resumo'!$G$75,Table4[Tipo de teste],"2. Campo")</f>
        <v>0</v>
      </c>
      <c r="U87" s="26">
        <f>COUNTIFS(Table4[Status Atual],'1. Status Resumo'!$P87,Table4[Sub-âmbito],'1. Status Resumo'!$G$75,Table4[Tipo de teste],"2. Campo")</f>
        <v>0</v>
      </c>
      <c r="V87" s="26">
        <f t="shared" si="4"/>
        <v>0</v>
      </c>
      <c r="X87" s="364"/>
      <c r="Y87" s="364"/>
      <c r="Z87" s="364"/>
      <c r="AA87" s="364"/>
      <c r="AB87" s="364"/>
      <c r="AC87" s="364"/>
      <c r="AD87" s="364"/>
      <c r="AE87" s="364"/>
      <c r="AF87" s="364"/>
      <c r="AG87" s="163"/>
      <c r="AH87" s="117"/>
    </row>
    <row r="88" spans="1:34" x14ac:dyDescent="0.45">
      <c r="A88" s="117"/>
      <c r="B88" s="122"/>
      <c r="T88" s="128">
        <f>SUM(T79:T87)</f>
        <v>135</v>
      </c>
      <c r="U88" s="128">
        <f>SUM(U79:U87)</f>
        <v>135</v>
      </c>
      <c r="X88" s="364"/>
      <c r="Y88" s="364"/>
      <c r="Z88" s="364"/>
      <c r="AA88" s="364"/>
      <c r="AB88" s="364"/>
      <c r="AC88" s="364"/>
      <c r="AD88" s="364"/>
      <c r="AE88" s="364"/>
      <c r="AF88" s="364"/>
      <c r="AG88" s="163"/>
      <c r="AH88" s="117"/>
    </row>
    <row r="89" spans="1:34" x14ac:dyDescent="0.45">
      <c r="A89" s="117"/>
      <c r="B89" s="122"/>
      <c r="T89" s="128"/>
      <c r="U89" s="128"/>
      <c r="X89" s="364"/>
      <c r="Y89" s="364"/>
      <c r="Z89" s="364"/>
      <c r="AA89" s="364"/>
      <c r="AB89" s="364"/>
      <c r="AC89" s="364"/>
      <c r="AD89" s="364"/>
      <c r="AE89" s="364"/>
      <c r="AF89" s="364"/>
      <c r="AG89" s="163"/>
      <c r="AH89" s="117"/>
    </row>
    <row r="90" spans="1:34" x14ac:dyDescent="0.45">
      <c r="A90" s="117"/>
      <c r="B90" s="122"/>
      <c r="P90" s="130" t="s">
        <v>620</v>
      </c>
      <c r="Q90" s="131"/>
      <c r="R90" s="131"/>
      <c r="S90" s="131"/>
      <c r="T90" s="131"/>
      <c r="U90" s="131"/>
      <c r="V90" s="131"/>
      <c r="X90" s="364"/>
      <c r="Y90" s="364"/>
      <c r="Z90" s="364"/>
      <c r="AA90" s="364"/>
      <c r="AB90" s="364"/>
      <c r="AC90" s="364"/>
      <c r="AD90" s="364"/>
      <c r="AE90" s="364"/>
      <c r="AF90" s="364"/>
      <c r="AG90" s="163"/>
      <c r="AH90" s="117"/>
    </row>
    <row r="91" spans="1:34" x14ac:dyDescent="0.45">
      <c r="A91" s="117"/>
      <c r="B91" s="122"/>
      <c r="O91" s="160" t="s">
        <v>622</v>
      </c>
      <c r="P91" s="26" t="s">
        <v>380</v>
      </c>
      <c r="T91" s="207" t="s">
        <v>1930</v>
      </c>
      <c r="X91" s="364"/>
      <c r="Y91" s="364"/>
      <c r="Z91" s="364"/>
      <c r="AA91" s="364"/>
      <c r="AB91" s="364"/>
      <c r="AC91" s="364"/>
      <c r="AD91" s="364"/>
      <c r="AE91" s="364"/>
      <c r="AF91" s="364"/>
      <c r="AG91" s="163"/>
      <c r="AH91" s="117"/>
    </row>
    <row r="92" spans="1:34" x14ac:dyDescent="0.45">
      <c r="A92" s="117"/>
      <c r="B92" s="122"/>
      <c r="O92" s="160" t="s">
        <v>622</v>
      </c>
      <c r="P92" s="26" t="s">
        <v>336</v>
      </c>
      <c r="T92" s="207" t="s">
        <v>1930</v>
      </c>
      <c r="X92" s="364"/>
      <c r="Y92" s="364"/>
      <c r="Z92" s="364"/>
      <c r="AA92" s="364"/>
      <c r="AB92" s="364"/>
      <c r="AC92" s="364"/>
      <c r="AD92" s="364"/>
      <c r="AE92" s="364"/>
      <c r="AF92" s="364"/>
      <c r="AG92" s="163"/>
      <c r="AH92" s="117"/>
    </row>
    <row r="93" spans="1:34" x14ac:dyDescent="0.45">
      <c r="A93" s="117"/>
      <c r="B93" s="122"/>
      <c r="O93" s="160" t="s">
        <v>622</v>
      </c>
      <c r="P93" s="26" t="s">
        <v>369</v>
      </c>
      <c r="T93" s="207" t="s">
        <v>1930</v>
      </c>
      <c r="X93" s="364"/>
      <c r="Y93" s="364"/>
      <c r="Z93" s="364"/>
      <c r="AA93" s="364"/>
      <c r="AB93" s="364"/>
      <c r="AC93" s="364"/>
      <c r="AD93" s="364"/>
      <c r="AE93" s="364"/>
      <c r="AF93" s="364"/>
      <c r="AG93" s="163"/>
      <c r="AH93" s="117"/>
    </row>
    <row r="94" spans="1:34" x14ac:dyDescent="0.45">
      <c r="A94" s="117"/>
      <c r="B94" s="122"/>
      <c r="O94" s="160" t="s">
        <v>622</v>
      </c>
      <c r="P94" s="26" t="s">
        <v>440</v>
      </c>
      <c r="T94" s="162" t="s">
        <v>624</v>
      </c>
      <c r="X94" s="364"/>
      <c r="Y94" s="364"/>
      <c r="Z94" s="364"/>
      <c r="AA94" s="364"/>
      <c r="AB94" s="364"/>
      <c r="AC94" s="364"/>
      <c r="AD94" s="364"/>
      <c r="AE94" s="364"/>
      <c r="AF94" s="364"/>
      <c r="AG94" s="163"/>
      <c r="AH94" s="117"/>
    </row>
    <row r="95" spans="1:34" x14ac:dyDescent="0.45">
      <c r="A95" s="117"/>
      <c r="B95" s="122"/>
      <c r="O95" s="160" t="s">
        <v>622</v>
      </c>
      <c r="P95" s="26" t="s">
        <v>442</v>
      </c>
      <c r="T95" s="162" t="s">
        <v>624</v>
      </c>
      <c r="X95" s="364"/>
      <c r="Y95" s="364"/>
      <c r="Z95" s="364"/>
      <c r="AA95" s="364"/>
      <c r="AB95" s="364"/>
      <c r="AC95" s="364"/>
      <c r="AD95" s="364"/>
      <c r="AE95" s="364"/>
      <c r="AF95" s="364"/>
      <c r="AG95" s="163"/>
      <c r="AH95" s="117"/>
    </row>
    <row r="96" spans="1:34" x14ac:dyDescent="0.45">
      <c r="A96" s="117"/>
      <c r="B96" s="122"/>
      <c r="O96" s="160" t="s">
        <v>622</v>
      </c>
      <c r="P96" s="26" t="s">
        <v>1955</v>
      </c>
      <c r="T96" s="254" t="s">
        <v>633</v>
      </c>
      <c r="X96" s="364"/>
      <c r="Y96" s="364"/>
      <c r="Z96" s="364"/>
      <c r="AA96" s="364"/>
      <c r="AB96" s="364"/>
      <c r="AC96" s="364"/>
      <c r="AD96" s="364"/>
      <c r="AE96" s="364"/>
      <c r="AF96" s="364"/>
      <c r="AG96" s="163"/>
      <c r="AH96" s="117"/>
    </row>
    <row r="97" spans="1:34" x14ac:dyDescent="0.45">
      <c r="A97" s="117"/>
      <c r="B97" s="122"/>
      <c r="O97" s="160" t="s">
        <v>622</v>
      </c>
      <c r="P97" s="26" t="s">
        <v>1956</v>
      </c>
      <c r="T97" s="207" t="s">
        <v>2013</v>
      </c>
      <c r="X97" s="364"/>
      <c r="Y97" s="364"/>
      <c r="Z97" s="364"/>
      <c r="AA97" s="364"/>
      <c r="AB97" s="364"/>
      <c r="AC97" s="364"/>
      <c r="AD97" s="364"/>
      <c r="AE97" s="364"/>
      <c r="AF97" s="364"/>
      <c r="AG97" s="163"/>
      <c r="AH97" s="117"/>
    </row>
    <row r="98" spans="1:34" x14ac:dyDescent="0.45">
      <c r="A98" s="117"/>
      <c r="B98" s="122"/>
      <c r="O98" s="160" t="s">
        <v>622</v>
      </c>
      <c r="P98" s="26" t="s">
        <v>393</v>
      </c>
      <c r="T98" s="162" t="s">
        <v>624</v>
      </c>
      <c r="X98" s="364"/>
      <c r="Y98" s="364"/>
      <c r="Z98" s="364"/>
      <c r="AA98" s="364"/>
      <c r="AB98" s="364"/>
      <c r="AC98" s="364"/>
      <c r="AD98" s="364"/>
      <c r="AE98" s="364"/>
      <c r="AF98" s="364"/>
      <c r="AG98" s="163"/>
      <c r="AH98" s="117"/>
    </row>
    <row r="99" spans="1:34" x14ac:dyDescent="0.45">
      <c r="A99" s="117"/>
      <c r="B99" s="122"/>
      <c r="O99" s="160"/>
      <c r="T99" s="162"/>
      <c r="X99" s="364"/>
      <c r="Y99" s="364"/>
      <c r="Z99" s="364"/>
      <c r="AA99" s="364"/>
      <c r="AB99" s="364"/>
      <c r="AC99" s="364"/>
      <c r="AD99" s="364"/>
      <c r="AE99" s="364"/>
      <c r="AF99" s="364"/>
      <c r="AG99" s="163"/>
      <c r="AH99" s="117"/>
    </row>
    <row r="100" spans="1:34" x14ac:dyDescent="0.45">
      <c r="A100" s="117"/>
      <c r="B100" s="122"/>
      <c r="O100" s="160"/>
      <c r="T100" s="162"/>
      <c r="X100" s="364"/>
      <c r="Y100" s="364"/>
      <c r="Z100" s="364"/>
      <c r="AA100" s="364"/>
      <c r="AB100" s="364"/>
      <c r="AC100" s="364"/>
      <c r="AD100" s="364"/>
      <c r="AE100" s="364"/>
      <c r="AF100" s="364"/>
      <c r="AG100" s="163"/>
      <c r="AH100" s="117"/>
    </row>
    <row r="101" spans="1:34" x14ac:dyDescent="0.45">
      <c r="A101" s="117"/>
      <c r="B101" s="122"/>
      <c r="O101" s="160"/>
      <c r="T101" s="162"/>
      <c r="X101" s="364"/>
      <c r="Y101" s="364"/>
      <c r="Z101" s="364"/>
      <c r="AA101" s="364"/>
      <c r="AB101" s="364"/>
      <c r="AC101" s="364"/>
      <c r="AD101" s="364"/>
      <c r="AE101" s="364"/>
      <c r="AF101" s="364"/>
      <c r="AG101" s="163"/>
      <c r="AH101" s="117"/>
    </row>
    <row r="102" spans="1:34" x14ac:dyDescent="0.45">
      <c r="A102" s="117"/>
      <c r="B102" s="122"/>
      <c r="O102" s="160"/>
      <c r="T102" s="162"/>
      <c r="X102" s="364"/>
      <c r="Y102" s="364"/>
      <c r="Z102" s="364"/>
      <c r="AA102" s="364"/>
      <c r="AB102" s="364"/>
      <c r="AC102" s="364"/>
      <c r="AD102" s="364"/>
      <c r="AE102" s="364"/>
      <c r="AF102" s="364"/>
      <c r="AG102" s="163"/>
      <c r="AH102" s="117"/>
    </row>
    <row r="103" spans="1:34" x14ac:dyDescent="0.45">
      <c r="A103" s="117"/>
      <c r="B103" s="122"/>
      <c r="O103" s="160"/>
      <c r="T103" s="162"/>
      <c r="X103" s="364"/>
      <c r="Y103" s="364"/>
      <c r="Z103" s="364"/>
      <c r="AA103" s="364"/>
      <c r="AB103" s="364"/>
      <c r="AC103" s="364"/>
      <c r="AD103" s="364"/>
      <c r="AE103" s="364"/>
      <c r="AF103" s="364"/>
      <c r="AG103" s="163"/>
      <c r="AH103" s="117"/>
    </row>
    <row r="104" spans="1:34" x14ac:dyDescent="0.45">
      <c r="A104" s="117"/>
      <c r="B104" s="122"/>
      <c r="O104" s="160"/>
      <c r="T104" s="162"/>
      <c r="X104" s="364"/>
      <c r="Y104" s="364"/>
      <c r="Z104" s="364"/>
      <c r="AA104" s="364"/>
      <c r="AB104" s="364"/>
      <c r="AC104" s="364"/>
      <c r="AD104" s="364"/>
      <c r="AE104" s="364"/>
      <c r="AF104" s="364"/>
      <c r="AG104" s="163"/>
      <c r="AH104" s="117"/>
    </row>
    <row r="105" spans="1:34" x14ac:dyDescent="0.45">
      <c r="A105" s="117"/>
      <c r="B105" s="122"/>
      <c r="O105" s="160"/>
      <c r="T105" s="162"/>
      <c r="X105" s="364"/>
      <c r="Y105" s="364"/>
      <c r="Z105" s="364"/>
      <c r="AA105" s="364"/>
      <c r="AB105" s="364"/>
      <c r="AC105" s="364"/>
      <c r="AD105" s="364"/>
      <c r="AE105" s="364"/>
      <c r="AF105" s="364"/>
      <c r="AG105" s="163"/>
      <c r="AH105" s="117"/>
    </row>
    <row r="106" spans="1:34" x14ac:dyDescent="0.45">
      <c r="A106" s="117"/>
      <c r="B106" s="122"/>
      <c r="O106" s="160"/>
      <c r="T106" s="162"/>
      <c r="X106" s="364"/>
      <c r="Y106" s="364"/>
      <c r="Z106" s="364"/>
      <c r="AA106" s="364"/>
      <c r="AB106" s="364"/>
      <c r="AC106" s="364"/>
      <c r="AD106" s="364"/>
      <c r="AE106" s="364"/>
      <c r="AF106" s="364"/>
      <c r="AG106" s="163"/>
      <c r="AH106" s="117"/>
    </row>
    <row r="107" spans="1:34" x14ac:dyDescent="0.45">
      <c r="A107" s="117"/>
      <c r="B107" s="122"/>
      <c r="O107" s="160"/>
      <c r="T107" s="162"/>
      <c r="X107" s="364"/>
      <c r="Y107" s="364"/>
      <c r="Z107" s="364"/>
      <c r="AA107" s="364"/>
      <c r="AB107" s="364"/>
      <c r="AC107" s="364"/>
      <c r="AD107" s="364"/>
      <c r="AE107" s="364"/>
      <c r="AF107" s="364"/>
      <c r="AG107" s="163"/>
      <c r="AH107" s="117"/>
    </row>
    <row r="108" spans="1:34" x14ac:dyDescent="0.45">
      <c r="A108" s="117"/>
      <c r="B108" s="122"/>
      <c r="O108" s="160"/>
      <c r="T108" s="162"/>
      <c r="X108" s="364"/>
      <c r="Y108" s="364"/>
      <c r="Z108" s="364"/>
      <c r="AA108" s="364"/>
      <c r="AB108" s="364"/>
      <c r="AC108" s="364"/>
      <c r="AD108" s="364"/>
      <c r="AE108" s="364"/>
      <c r="AF108" s="364"/>
      <c r="AG108" s="163"/>
      <c r="AH108" s="117"/>
    </row>
    <row r="109" spans="1:34" x14ac:dyDescent="0.45">
      <c r="A109" s="117"/>
      <c r="B109" s="122"/>
      <c r="X109" s="364"/>
      <c r="Y109" s="364"/>
      <c r="Z109" s="364"/>
      <c r="AA109" s="364"/>
      <c r="AB109" s="364"/>
      <c r="AC109" s="364"/>
      <c r="AD109" s="364"/>
      <c r="AE109" s="364"/>
      <c r="AF109" s="364"/>
      <c r="AG109" s="163"/>
      <c r="AH109" s="117"/>
    </row>
    <row r="110" spans="1:34" x14ac:dyDescent="0.45">
      <c r="A110" s="117"/>
      <c r="B110" s="122"/>
      <c r="O110" s="160"/>
      <c r="T110" s="162"/>
      <c r="AG110" s="123"/>
      <c r="AH110" s="117"/>
    </row>
    <row r="111" spans="1:34" x14ac:dyDescent="0.45">
      <c r="A111" s="117"/>
      <c r="B111" s="124"/>
      <c r="C111" s="125"/>
      <c r="D111" s="125"/>
      <c r="E111" s="125"/>
      <c r="F111" s="125"/>
      <c r="G111" s="125"/>
      <c r="H111" s="125"/>
      <c r="I111" s="125"/>
      <c r="J111" s="125"/>
      <c r="K111" s="125"/>
      <c r="L111" s="125"/>
      <c r="M111" s="125"/>
      <c r="N111" s="125"/>
      <c r="O111" s="125"/>
      <c r="P111" s="125"/>
      <c r="Q111" s="125"/>
      <c r="R111" s="125"/>
      <c r="S111" s="125"/>
      <c r="T111" s="125"/>
      <c r="U111" s="125"/>
      <c r="V111" s="125"/>
      <c r="W111" s="125"/>
      <c r="X111" s="125"/>
      <c r="Y111" s="125"/>
      <c r="Z111" s="125"/>
      <c r="AA111" s="125"/>
      <c r="AB111" s="125"/>
      <c r="AC111" s="125"/>
      <c r="AD111" s="125"/>
      <c r="AE111" s="125"/>
      <c r="AF111" s="125"/>
      <c r="AG111" s="126"/>
      <c r="AH111" s="117"/>
    </row>
    <row r="112" spans="1:34" x14ac:dyDescent="0.45">
      <c r="A112" s="117"/>
      <c r="B112" s="117"/>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c r="AA112" s="117"/>
      <c r="AB112" s="117"/>
      <c r="AC112" s="117"/>
      <c r="AD112" s="117"/>
      <c r="AE112" s="117"/>
      <c r="AF112" s="117"/>
      <c r="AG112" s="117"/>
      <c r="AH112" s="117"/>
    </row>
    <row r="113" spans="1:34" ht="22.2" hidden="1" customHeight="1" x14ac:dyDescent="0.45">
      <c r="A113" s="117"/>
      <c r="B113" s="117"/>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c r="AA113" s="117"/>
      <c r="AB113" s="117"/>
      <c r="AC113" s="117"/>
      <c r="AD113" s="117"/>
      <c r="AE113" s="117"/>
      <c r="AF113" s="117"/>
      <c r="AG113" s="117"/>
      <c r="AH113" s="117"/>
    </row>
    <row r="114" spans="1:34" ht="4.95" hidden="1" customHeight="1" x14ac:dyDescent="0.45">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c r="AB114" s="117"/>
      <c r="AC114" s="117"/>
      <c r="AD114" s="117"/>
      <c r="AE114" s="117"/>
      <c r="AF114" s="117"/>
      <c r="AG114" s="117"/>
      <c r="AH114" s="117"/>
    </row>
    <row r="115" spans="1:34" ht="17.7" hidden="1" customHeight="1" x14ac:dyDescent="0.45">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7"/>
    </row>
    <row r="116" spans="1:34" ht="17.7" hidden="1" customHeight="1" x14ac:dyDescent="0.45">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c r="AB116" s="117"/>
      <c r="AC116" s="117"/>
      <c r="AD116" s="117"/>
      <c r="AE116" s="117"/>
      <c r="AF116" s="117"/>
      <c r="AG116" s="117"/>
      <c r="AH116" s="117"/>
    </row>
    <row r="117" spans="1:34" ht="17.7" hidden="1" customHeight="1" x14ac:dyDescent="0.45">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17.7" hidden="1" customHeight="1" x14ac:dyDescent="0.45">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17.7" hidden="1" customHeight="1" x14ac:dyDescent="0.45">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ht="17.7" hidden="1" customHeight="1" x14ac:dyDescent="0.45">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row>
    <row r="121" spans="1:34" ht="17.7" hidden="1" customHeight="1" x14ac:dyDescent="0.45">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7"/>
    </row>
    <row r="122" spans="1:34" ht="17.7" hidden="1" customHeight="1" x14ac:dyDescent="0.45">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7"/>
    </row>
    <row r="123" spans="1:34" ht="17.7" hidden="1" customHeight="1" x14ac:dyDescent="0.45">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7"/>
    </row>
    <row r="124" spans="1:34" ht="17.7" hidden="1" customHeight="1" x14ac:dyDescent="0.45">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7"/>
    </row>
    <row r="125" spans="1:34" ht="17.7" hidden="1" customHeight="1" x14ac:dyDescent="0.45">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7"/>
    </row>
    <row r="126" spans="1:34" ht="17.7" hidden="1" customHeight="1" x14ac:dyDescent="0.45">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7"/>
    </row>
    <row r="127" spans="1:34" ht="17.7" hidden="1" customHeight="1" x14ac:dyDescent="0.45">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7"/>
    </row>
    <row r="128" spans="1:34" x14ac:dyDescent="0.45">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7"/>
    </row>
    <row r="129" spans="1:34" x14ac:dyDescent="0.45">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spans="1:34" ht="17.7" hidden="1" customHeight="1" x14ac:dyDescent="0.45">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spans="1:34" ht="17.7" hidden="1" customHeight="1" x14ac:dyDescent="0.45">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spans="1:34" ht="17.7" hidden="1" customHeight="1" x14ac:dyDescent="0.45">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7"/>
    </row>
    <row r="133" spans="1:34" ht="17.7" hidden="1" customHeight="1" x14ac:dyDescent="0.45">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c r="AB133" s="117"/>
      <c r="AC133" s="117"/>
      <c r="AD133" s="117"/>
      <c r="AE133" s="117"/>
      <c r="AF133" s="117"/>
      <c r="AG133" s="117"/>
      <c r="AH133" s="117"/>
    </row>
    <row r="134" spans="1:34" ht="17.7" hidden="1" customHeight="1" x14ac:dyDescent="0.45">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c r="AB134" s="117"/>
      <c r="AC134" s="117"/>
      <c r="AD134" s="117"/>
      <c r="AE134" s="117"/>
      <c r="AF134" s="117"/>
      <c r="AG134" s="117"/>
      <c r="AH134" s="117"/>
    </row>
    <row r="135" spans="1:34" ht="17.7" hidden="1" customHeight="1" x14ac:dyDescent="0.45">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c r="AB135" s="117"/>
      <c r="AC135" s="117"/>
      <c r="AD135" s="117"/>
      <c r="AE135" s="117"/>
      <c r="AF135" s="117"/>
      <c r="AG135" s="117"/>
      <c r="AH135" s="117"/>
    </row>
    <row r="136" spans="1:34" ht="17.7" hidden="1" customHeight="1" x14ac:dyDescent="0.45">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c r="AB136" s="117"/>
      <c r="AC136" s="117"/>
      <c r="AD136" s="117"/>
      <c r="AE136" s="117"/>
      <c r="AF136" s="117"/>
      <c r="AG136" s="117"/>
      <c r="AH136" s="117"/>
    </row>
    <row r="137" spans="1:34" ht="17.7" hidden="1" customHeight="1" x14ac:dyDescent="0.45">
      <c r="A137" s="117"/>
      <c r="B137" s="117"/>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c r="AA137" s="117"/>
      <c r="AB137" s="117"/>
      <c r="AC137" s="117"/>
      <c r="AD137" s="117"/>
      <c r="AE137" s="117"/>
      <c r="AF137" s="117"/>
      <c r="AG137" s="117"/>
      <c r="AH137" s="117"/>
    </row>
    <row r="138" spans="1:34" ht="17.7" hidden="1" customHeight="1" x14ac:dyDescent="0.45">
      <c r="A138" s="117"/>
      <c r="B138" s="117"/>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c r="AA138" s="117"/>
      <c r="AB138" s="117"/>
      <c r="AC138" s="117"/>
      <c r="AD138" s="117"/>
      <c r="AE138" s="117"/>
      <c r="AF138" s="117"/>
      <c r="AG138" s="117"/>
      <c r="AH138" s="117"/>
    </row>
    <row r="139" spans="1:34" ht="17.7" hidden="1" customHeight="1" x14ac:dyDescent="0.45">
      <c r="A139" s="117"/>
      <c r="B139" s="117"/>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c r="AA139" s="117"/>
      <c r="AB139" s="117"/>
      <c r="AC139" s="117"/>
      <c r="AD139" s="117"/>
      <c r="AE139" s="117"/>
      <c r="AF139" s="117"/>
      <c r="AG139" s="117"/>
      <c r="AH139" s="117"/>
    </row>
    <row r="140" spans="1:34" ht="17.7" hidden="1" customHeight="1" x14ac:dyDescent="0.45">
      <c r="A140" s="117"/>
      <c r="B140" s="117"/>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c r="AA140" s="117"/>
      <c r="AB140" s="117"/>
      <c r="AC140" s="117"/>
      <c r="AD140" s="117"/>
      <c r="AE140" s="117"/>
      <c r="AF140" s="117"/>
      <c r="AG140" s="117"/>
      <c r="AH140" s="117"/>
    </row>
    <row r="141" spans="1:34" s="205" customFormat="1" x14ac:dyDescent="0.45">
      <c r="A141" s="117"/>
      <c r="B141" s="117"/>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c r="AA141" s="117"/>
      <c r="AB141" s="117"/>
      <c r="AC141" s="117"/>
      <c r="AD141" s="117"/>
      <c r="AE141" s="117"/>
      <c r="AF141" s="117"/>
      <c r="AG141" s="117"/>
      <c r="AH141" s="117"/>
    </row>
    <row r="142" spans="1:34" s="205" customFormat="1" hidden="1" x14ac:dyDescent="0.45"/>
    <row r="143" spans="1:34" s="205" customFormat="1" hidden="1" x14ac:dyDescent="0.45"/>
    <row r="144" spans="1:34" s="205" customFormat="1" hidden="1" x14ac:dyDescent="0.45"/>
    <row r="145" s="205" customFormat="1" hidden="1" x14ac:dyDescent="0.45"/>
    <row r="146" x14ac:dyDescent="0.45"/>
    <row r="147" x14ac:dyDescent="0.45"/>
    <row r="148" x14ac:dyDescent="0.45"/>
    <row r="149" x14ac:dyDescent="0.45"/>
    <row r="150" x14ac:dyDescent="0.45"/>
    <row r="151" x14ac:dyDescent="0.45"/>
    <row r="152" x14ac:dyDescent="0.45"/>
    <row r="153" x14ac:dyDescent="0.45"/>
  </sheetData>
  <sortState xmlns:xlrd2="http://schemas.microsoft.com/office/spreadsheetml/2017/richdata2" ref="R13:R20">
    <sortCondition ref="R13:R20"/>
  </sortState>
  <mergeCells count="7">
    <mergeCell ref="D82:E86"/>
    <mergeCell ref="B8:AG11"/>
    <mergeCell ref="X44:AF72"/>
    <mergeCell ref="X18:AF35"/>
    <mergeCell ref="D47:E49"/>
    <mergeCell ref="D21:E23"/>
    <mergeCell ref="X79:AF109"/>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N574"/>
  <sheetViews>
    <sheetView showGridLines="0" zoomScale="80" zoomScaleNormal="80" workbookViewId="0">
      <pane xSplit="3" ySplit="6" topLeftCell="D7" activePane="bottomRight" state="frozen"/>
      <selection pane="topRight" activeCell="D136" sqref="D136"/>
      <selection pane="bottomLeft" activeCell="D136" sqref="D136"/>
      <selection pane="bottomRight" activeCell="G547" sqref="G547"/>
    </sheetView>
  </sheetViews>
  <sheetFormatPr defaultColWidth="8.69921875" defaultRowHeight="13.8" x14ac:dyDescent="0.25"/>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s>
  <sheetData>
    <row r="1" spans="1:14" ht="17.399999999999999" x14ac:dyDescent="0.45">
      <c r="A1" s="26"/>
      <c r="B1" s="26"/>
      <c r="C1" s="26"/>
      <c r="D1" s="26"/>
      <c r="E1" s="26"/>
      <c r="F1" s="26"/>
      <c r="G1" s="26"/>
      <c r="H1" s="26"/>
      <c r="I1" s="26"/>
      <c r="J1" s="26"/>
      <c r="K1" s="26"/>
      <c r="L1" s="26"/>
      <c r="M1" s="26"/>
      <c r="N1" s="26"/>
    </row>
    <row r="2" spans="1:14" ht="17.399999999999999" x14ac:dyDescent="0.45">
      <c r="A2" s="26"/>
      <c r="B2" s="26"/>
      <c r="C2" s="26"/>
      <c r="D2" s="26"/>
      <c r="E2" s="26"/>
      <c r="F2" s="26"/>
      <c r="G2" s="26"/>
      <c r="H2" s="26"/>
      <c r="I2" s="26"/>
      <c r="J2" s="26"/>
      <c r="K2" s="26"/>
      <c r="L2" s="26"/>
      <c r="M2" s="26"/>
      <c r="N2" s="26"/>
    </row>
    <row r="3" spans="1:14" ht="17.399999999999999" x14ac:dyDescent="0.45">
      <c r="A3" s="26"/>
      <c r="B3" s="26"/>
      <c r="C3" s="26"/>
      <c r="D3" s="26"/>
      <c r="E3" s="26"/>
      <c r="F3" s="26"/>
      <c r="G3" s="26"/>
      <c r="H3" s="26"/>
      <c r="I3" s="26"/>
      <c r="J3" s="26"/>
      <c r="K3" s="26"/>
      <c r="L3" s="26"/>
      <c r="M3" s="26"/>
      <c r="N3" s="26"/>
    </row>
    <row r="4" spans="1:14" ht="4.95" customHeight="1" x14ac:dyDescent="0.45">
      <c r="A4" s="115"/>
      <c r="B4" s="115"/>
      <c r="C4" s="115"/>
      <c r="D4" s="115"/>
      <c r="E4" s="115"/>
      <c r="F4" s="115"/>
      <c r="G4" s="115"/>
      <c r="H4" s="115"/>
      <c r="I4" s="115"/>
      <c r="J4" s="115"/>
      <c r="K4" s="115"/>
      <c r="L4" s="115"/>
      <c r="M4" s="115"/>
      <c r="N4" s="115"/>
    </row>
    <row r="6" spans="1:14" ht="17.399999999999999" x14ac:dyDescent="0.25">
      <c r="B6" s="212" t="s">
        <v>8</v>
      </c>
      <c r="C6" s="213" t="s">
        <v>9</v>
      </c>
      <c r="D6" s="213" t="s">
        <v>10</v>
      </c>
      <c r="E6" s="213" t="s">
        <v>11</v>
      </c>
      <c r="F6" s="213" t="s">
        <v>12</v>
      </c>
      <c r="G6" s="213" t="s">
        <v>645</v>
      </c>
      <c r="H6" s="213" t="s">
        <v>646</v>
      </c>
      <c r="I6" s="214" t="s">
        <v>22</v>
      </c>
      <c r="J6" s="215" t="s">
        <v>647</v>
      </c>
      <c r="K6" s="215" t="s">
        <v>648</v>
      </c>
      <c r="L6" s="216" t="s">
        <v>649</v>
      </c>
      <c r="M6" s="217" t="s">
        <v>1932</v>
      </c>
      <c r="N6" s="218" t="s">
        <v>1933</v>
      </c>
    </row>
    <row r="7" spans="1:14" ht="16.2" hidden="1" customHeight="1" x14ac:dyDescent="0.4">
      <c r="A7" s="30" t="str">
        <f>E7&amp;F7</f>
        <v>ENERGY_CERTIFICATE_EST_INPUTn.a.</v>
      </c>
      <c r="B7" s="142" t="s">
        <v>26</v>
      </c>
      <c r="C7" s="138" t="s">
        <v>34</v>
      </c>
      <c r="D7" s="134" t="s">
        <v>36</v>
      </c>
      <c r="E7" s="135" t="s">
        <v>37</v>
      </c>
      <c r="F7" s="134" t="s">
        <v>38</v>
      </c>
      <c r="G7" s="136" t="str">
        <f>VLOOKUP(A7,Plano_V3!$A$26:$G$592,7,0)</f>
        <v>6. Em implementação (re-especificação)</v>
      </c>
      <c r="H7" s="136" t="s">
        <v>619</v>
      </c>
      <c r="I7" s="143" t="s">
        <v>1929</v>
      </c>
      <c r="J7" s="153">
        <f>IF(VLOOKUP(A7,'Aux - pivots1'!$A:$E,3,0)=0, "",VLOOKUP(A7,'Aux - pivots1'!$A:$E,3,0))</f>
        <v>45510</v>
      </c>
      <c r="K7" s="153">
        <f>IF(VLOOKUP(A7,'Aux - pivots1'!$A:$E,4,0)=0, "",VLOOKUP(A7,'Aux - pivots1'!$A:$E,4,0))</f>
        <v>45624</v>
      </c>
      <c r="L7" s="153" t="str">
        <f>IF(VLOOKUP(A7,'Aux - pivots1'!$A:$E,5,0)=0, "",VLOOKUP(A7,'Aux - pivots1'!$A:$E,5,0))</f>
        <v/>
      </c>
      <c r="M7" s="210"/>
      <c r="N7" s="210"/>
    </row>
    <row r="8" spans="1:14" ht="16.2" hidden="1" customHeight="1" x14ac:dyDescent="0.4">
      <c r="A8" s="30" t="str">
        <f t="shared" ref="A8:A71" si="0">E8&amp;F8</f>
        <v>ENERGY_CERTIFICATE_EST_INPUTPROPERTY_BANK_ID</v>
      </c>
      <c r="B8" s="142" t="s">
        <v>26</v>
      </c>
      <c r="C8" s="138" t="s">
        <v>34</v>
      </c>
      <c r="D8" s="134" t="s">
        <v>40</v>
      </c>
      <c r="E8" s="135" t="s">
        <v>37</v>
      </c>
      <c r="F8" s="134" t="s">
        <v>41</v>
      </c>
      <c r="G8" s="136" t="str">
        <f>VLOOKUP(A8,Plano_V3!$A$26:$G$592,7,0)</f>
        <v>6. Em implementação (re-especificação)</v>
      </c>
      <c r="H8" s="136" t="s">
        <v>619</v>
      </c>
      <c r="I8" s="143" t="s">
        <v>1929</v>
      </c>
      <c r="J8" s="153">
        <f>IF(VLOOKUP(A8,'Aux - pivots1'!$A:$E,3,0)=0, "",VLOOKUP(A8,'Aux - pivots1'!$A:$E,3,0))</f>
        <v>45510</v>
      </c>
      <c r="K8" s="153">
        <f>IF(VLOOKUP(A8,'Aux - pivots1'!$A:$E,4,0)=0, "",VLOOKUP(A8,'Aux - pivots1'!$A:$E,4,0))</f>
        <v>45624</v>
      </c>
      <c r="L8" s="153" t="str">
        <f>IF(VLOOKUP(A8,'Aux - pivots1'!$A:$E,5,0)=0, "",VLOOKUP(A8,'Aux - pivots1'!$A:$E,5,0))</f>
        <v/>
      </c>
      <c r="M8" s="209"/>
      <c r="N8" s="209"/>
    </row>
    <row r="9" spans="1:14" ht="16.2" hidden="1" customHeight="1" x14ac:dyDescent="0.4">
      <c r="A9" s="30" t="str">
        <f t="shared" si="0"/>
        <v>ENERGY_CERTIFICATE_EST_INPUTENCRYPTED_KEY</v>
      </c>
      <c r="B9" s="142" t="s">
        <v>26</v>
      </c>
      <c r="C9" s="138" t="s">
        <v>34</v>
      </c>
      <c r="D9" s="134" t="s">
        <v>40</v>
      </c>
      <c r="E9" s="135" t="s">
        <v>37</v>
      </c>
      <c r="F9" s="134" t="s">
        <v>42</v>
      </c>
      <c r="G9" s="136" t="str">
        <f>VLOOKUP(A9,Plano_V3!$A$26:$G$592,7,0)</f>
        <v>6. Em implementação (re-especificação)</v>
      </c>
      <c r="H9" s="136" t="s">
        <v>619</v>
      </c>
      <c r="I9" s="143" t="s">
        <v>1929</v>
      </c>
      <c r="J9" s="153">
        <f>IF(VLOOKUP(A9,'Aux - pivots1'!$A:$E,3,0)=0, "",VLOOKUP(A9,'Aux - pivots1'!$A:$E,3,0))</f>
        <v>45510</v>
      </c>
      <c r="K9" s="153">
        <f>IF(VLOOKUP(A9,'Aux - pivots1'!$A:$E,4,0)=0, "",VLOOKUP(A9,'Aux - pivots1'!$A:$E,4,0))</f>
        <v>45624</v>
      </c>
      <c r="L9" s="153" t="str">
        <f>IF(VLOOKUP(A9,'Aux - pivots1'!$A:$E,5,0)=0, "",VLOOKUP(A9,'Aux - pivots1'!$A:$E,5,0))</f>
        <v/>
      </c>
      <c r="M9" s="209"/>
      <c r="N9" s="209"/>
    </row>
    <row r="10" spans="1:14" ht="16.2" hidden="1" customHeight="1" x14ac:dyDescent="0.4">
      <c r="A10" s="30" t="str">
        <f t="shared" si="0"/>
        <v>ENERGY_CERTIFICATE_EST_INPUTPROPERTY_BRANCH_CODE</v>
      </c>
      <c r="B10" s="142" t="s">
        <v>26</v>
      </c>
      <c r="C10" s="138" t="s">
        <v>34</v>
      </c>
      <c r="D10" s="134" t="s">
        <v>40</v>
      </c>
      <c r="E10" s="135" t="s">
        <v>37</v>
      </c>
      <c r="F10" s="134" t="s">
        <v>43</v>
      </c>
      <c r="G10" s="136" t="str">
        <f>VLOOKUP(A10,Plano_V3!$A$26:$G$592,7,0)</f>
        <v>6. Em implementação (re-especificação)</v>
      </c>
      <c r="H10" s="136" t="s">
        <v>619</v>
      </c>
      <c r="I10" s="143" t="s">
        <v>1929</v>
      </c>
      <c r="J10" s="153">
        <f>IF(VLOOKUP(A10,'Aux - pivots1'!$A:$E,3,0)=0, "",VLOOKUP(A10,'Aux - pivots1'!$A:$E,3,0))</f>
        <v>45510</v>
      </c>
      <c r="K10" s="153">
        <f>IF(VLOOKUP(A10,'Aux - pivots1'!$A:$E,4,0)=0, "",VLOOKUP(A10,'Aux - pivots1'!$A:$E,4,0))</f>
        <v>45624</v>
      </c>
      <c r="L10" s="153" t="str">
        <f>IF(VLOOKUP(A10,'Aux - pivots1'!$A:$E,5,0)=0, "",VLOOKUP(A10,'Aux - pivots1'!$A:$E,5,0))</f>
        <v/>
      </c>
      <c r="M10" s="209"/>
      <c r="N10" s="209"/>
    </row>
    <row r="11" spans="1:14" ht="16.2" hidden="1" customHeight="1" x14ac:dyDescent="0.4">
      <c r="A11" s="30" t="str">
        <f t="shared" si="0"/>
        <v>ENERGY_CERTIFICATE_EST_INPUTPROPERTY_CONTRACT_ID</v>
      </c>
      <c r="B11" s="142" t="s">
        <v>26</v>
      </c>
      <c r="C11" s="138" t="s">
        <v>34</v>
      </c>
      <c r="D11" s="134" t="s">
        <v>40</v>
      </c>
      <c r="E11" s="135" t="s">
        <v>37</v>
      </c>
      <c r="F11" s="134" t="s">
        <v>44</v>
      </c>
      <c r="G11" s="136" t="str">
        <f>VLOOKUP(A11,Plano_V3!$A$26:$G$592,7,0)</f>
        <v>6. Em implementação (re-especificação)</v>
      </c>
      <c r="H11" s="136" t="s">
        <v>619</v>
      </c>
      <c r="I11" s="143" t="s">
        <v>1929</v>
      </c>
      <c r="J11" s="153">
        <f>IF(VLOOKUP(A11,'Aux - pivots1'!$A:$E,3,0)=0, "",VLOOKUP(A11,'Aux - pivots1'!$A:$E,3,0))</f>
        <v>45510</v>
      </c>
      <c r="K11" s="153">
        <f>IF(VLOOKUP(A11,'Aux - pivots1'!$A:$E,4,0)=0, "",VLOOKUP(A11,'Aux - pivots1'!$A:$E,4,0))</f>
        <v>45624</v>
      </c>
      <c r="L11" s="153" t="str">
        <f>IF(VLOOKUP(A11,'Aux - pivots1'!$A:$E,5,0)=0, "",VLOOKUP(A11,'Aux - pivots1'!$A:$E,5,0))</f>
        <v/>
      </c>
      <c r="M11" s="209"/>
      <c r="N11" s="209"/>
    </row>
    <row r="12" spans="1:14" ht="16.2" hidden="1" customHeight="1" x14ac:dyDescent="0.4">
      <c r="A12" s="30" t="str">
        <f t="shared" si="0"/>
        <v>ENERGY_CERTIFICATE_EST_INPUTPROPERTY_REFERENCE_CODE</v>
      </c>
      <c r="B12" s="142" t="s">
        <v>26</v>
      </c>
      <c r="C12" s="138" t="s">
        <v>34</v>
      </c>
      <c r="D12" s="134" t="s">
        <v>40</v>
      </c>
      <c r="E12" s="135" t="s">
        <v>37</v>
      </c>
      <c r="F12" s="134" t="s">
        <v>45</v>
      </c>
      <c r="G12" s="136" t="str">
        <f>VLOOKUP(A12,Plano_V3!$A$26:$G$592,7,0)</f>
        <v>6. Em implementação (re-especificação)</v>
      </c>
      <c r="H12" s="136" t="s">
        <v>619</v>
      </c>
      <c r="I12" s="143" t="s">
        <v>1929</v>
      </c>
      <c r="J12" s="153">
        <f>IF(VLOOKUP(A12,'Aux - pivots1'!$A:$E,3,0)=0, "",VLOOKUP(A12,'Aux - pivots1'!$A:$E,3,0))</f>
        <v>45510</v>
      </c>
      <c r="K12" s="153">
        <f>IF(VLOOKUP(A12,'Aux - pivots1'!$A:$E,4,0)=0, "",VLOOKUP(A12,'Aux - pivots1'!$A:$E,4,0))</f>
        <v>45624</v>
      </c>
      <c r="L12" s="153" t="str">
        <f>IF(VLOOKUP(A12,'Aux - pivots1'!$A:$E,5,0)=0, "",VLOOKUP(A12,'Aux - pivots1'!$A:$E,5,0))</f>
        <v/>
      </c>
      <c r="M12" s="209"/>
      <c r="N12" s="209"/>
    </row>
    <row r="13" spans="1:14" ht="16.2" hidden="1" customHeight="1" x14ac:dyDescent="0.4">
      <c r="A13" s="30" t="str">
        <f t="shared" si="0"/>
        <v>ENERGY_CERTIFICATE_EST_INPUTDATA_EXTRACTION_DATE</v>
      </c>
      <c r="B13" s="142" t="s">
        <v>26</v>
      </c>
      <c r="C13" s="138" t="s">
        <v>34</v>
      </c>
      <c r="D13" s="134" t="s">
        <v>40</v>
      </c>
      <c r="E13" s="135" t="s">
        <v>37</v>
      </c>
      <c r="F13" s="134" t="s">
        <v>46</v>
      </c>
      <c r="G13" s="136" t="str">
        <f>VLOOKUP(A13,Plano_V3!$A$26:$G$592,7,0)</f>
        <v>6. Em implementação (re-especificação)</v>
      </c>
      <c r="H13" s="136" t="s">
        <v>619</v>
      </c>
      <c r="I13" s="143" t="s">
        <v>1929</v>
      </c>
      <c r="J13" s="153">
        <f>IF(VLOOKUP(A13,'Aux - pivots1'!$A:$E,3,0)=0, "",VLOOKUP(A13,'Aux - pivots1'!$A:$E,3,0))</f>
        <v>45510</v>
      </c>
      <c r="K13" s="153">
        <f>IF(VLOOKUP(A13,'Aux - pivots1'!$A:$E,4,0)=0, "",VLOOKUP(A13,'Aux - pivots1'!$A:$E,4,0))</f>
        <v>45624</v>
      </c>
      <c r="L13" s="153" t="str">
        <f>IF(VLOOKUP(A13,'Aux - pivots1'!$A:$E,5,0)=0, "",VLOOKUP(A13,'Aux - pivots1'!$A:$E,5,0))</f>
        <v/>
      </c>
      <c r="M13" s="209"/>
      <c r="N13" s="209"/>
    </row>
    <row r="14" spans="1:14" ht="16.2" hidden="1" customHeight="1" x14ac:dyDescent="0.4">
      <c r="A14" s="30" t="str">
        <f t="shared" si="0"/>
        <v>ENERGY_CERTIFICATE_EST_INPUTEPC</v>
      </c>
      <c r="B14" s="142" t="s">
        <v>26</v>
      </c>
      <c r="C14" s="138" t="s">
        <v>34</v>
      </c>
      <c r="D14" s="134" t="s">
        <v>40</v>
      </c>
      <c r="E14" s="135" t="s">
        <v>37</v>
      </c>
      <c r="F14" s="134" t="s">
        <v>47</v>
      </c>
      <c r="G14" s="136" t="str">
        <f>VLOOKUP(A14,Plano_V3!$A$26:$G$592,7,0)</f>
        <v>6. Em implementação (re-especificação)</v>
      </c>
      <c r="H14" s="136" t="s">
        <v>619</v>
      </c>
      <c r="I14" s="143" t="s">
        <v>1929</v>
      </c>
      <c r="J14" s="153">
        <f>IF(VLOOKUP(A14,'Aux - pivots1'!$A:$E,3,0)=0, "",VLOOKUP(A14,'Aux - pivots1'!$A:$E,3,0))</f>
        <v>45510</v>
      </c>
      <c r="K14" s="153">
        <f>IF(VLOOKUP(A14,'Aux - pivots1'!$A:$E,4,0)=0, "",VLOOKUP(A14,'Aux - pivots1'!$A:$E,4,0))</f>
        <v>45624</v>
      </c>
      <c r="L14" s="153" t="str">
        <f>IF(VLOOKUP(A14,'Aux - pivots1'!$A:$E,5,0)=0, "",VLOOKUP(A14,'Aux - pivots1'!$A:$E,5,0))</f>
        <v/>
      </c>
      <c r="M14" s="209"/>
      <c r="N14" s="209"/>
    </row>
    <row r="15" spans="1:14" ht="16.2" hidden="1" customHeight="1" x14ac:dyDescent="0.4">
      <c r="A15" s="30" t="str">
        <f t="shared" si="0"/>
        <v>ENERGY_CERTIFICATE_EST_INPUTDATA_PROVIDER</v>
      </c>
      <c r="B15" s="142" t="s">
        <v>26</v>
      </c>
      <c r="C15" s="138" t="s">
        <v>34</v>
      </c>
      <c r="D15" s="134" t="s">
        <v>40</v>
      </c>
      <c r="E15" s="135" t="s">
        <v>37</v>
      </c>
      <c r="F15" s="134" t="s">
        <v>48</v>
      </c>
      <c r="G15" s="136" t="str">
        <f>VLOOKUP(A15,Plano_V3!$A$26:$G$592,7,0)</f>
        <v>6. Em implementação (re-especificação)</v>
      </c>
      <c r="H15" s="136" t="s">
        <v>619</v>
      </c>
      <c r="I15" s="143" t="s">
        <v>1929</v>
      </c>
      <c r="J15" s="153">
        <f>IF(VLOOKUP(A15,'Aux - pivots1'!$A:$E,3,0)=0, "",VLOOKUP(A15,'Aux - pivots1'!$A:$E,3,0))</f>
        <v>45510</v>
      </c>
      <c r="K15" s="153">
        <f>IF(VLOOKUP(A15,'Aux - pivots1'!$A:$E,4,0)=0, "",VLOOKUP(A15,'Aux - pivots1'!$A:$E,4,0))</f>
        <v>45624</v>
      </c>
      <c r="L15" s="153" t="str">
        <f>IF(VLOOKUP(A15,'Aux - pivots1'!$A:$E,5,0)=0, "",VLOOKUP(A15,'Aux - pivots1'!$A:$E,5,0))</f>
        <v/>
      </c>
      <c r="M15" s="209"/>
      <c r="N15" s="209"/>
    </row>
    <row r="16" spans="1:14" ht="16.2" hidden="1" customHeight="1" x14ac:dyDescent="0.4">
      <c r="A16" s="30" t="str">
        <f t="shared" si="0"/>
        <v>ENERGY_CERTIFICATE_EST_INPUTACTUAL_VALUE_IND</v>
      </c>
      <c r="B16" s="142" t="s">
        <v>26</v>
      </c>
      <c r="C16" s="138" t="s">
        <v>34</v>
      </c>
      <c r="D16" s="134" t="s">
        <v>40</v>
      </c>
      <c r="E16" s="135" t="s">
        <v>37</v>
      </c>
      <c r="F16" s="134" t="s">
        <v>49</v>
      </c>
      <c r="G16" s="136" t="str">
        <f>VLOOKUP(A16,Plano_V3!$A$26:$G$592,7,0)</f>
        <v>6. Em implementação (re-especificação)</v>
      </c>
      <c r="H16" s="136" t="s">
        <v>619</v>
      </c>
      <c r="I16" s="143" t="s">
        <v>1929</v>
      </c>
      <c r="J16" s="153">
        <f>IF(VLOOKUP(A16,'Aux - pivots1'!$A:$E,3,0)=0, "",VLOOKUP(A16,'Aux - pivots1'!$A:$E,3,0))</f>
        <v>45510</v>
      </c>
      <c r="K16" s="153">
        <f>IF(VLOOKUP(A16,'Aux - pivots1'!$A:$E,4,0)=0, "",VLOOKUP(A16,'Aux - pivots1'!$A:$E,4,0))</f>
        <v>45624</v>
      </c>
      <c r="L16" s="153" t="str">
        <f>IF(VLOOKUP(A16,'Aux - pivots1'!$A:$E,5,0)=0, "",VLOOKUP(A16,'Aux - pivots1'!$A:$E,5,0))</f>
        <v/>
      </c>
      <c r="M16" s="209"/>
      <c r="N16" s="209"/>
    </row>
    <row r="17" spans="1:14" ht="16.2" hidden="1" customHeight="1" x14ac:dyDescent="0.4">
      <c r="A17" s="30" t="str">
        <f t="shared" si="0"/>
        <v>ENERGY_CERTIFICATE_EST_INPUTQUALITY_SCORE</v>
      </c>
      <c r="B17" s="142" t="s">
        <v>26</v>
      </c>
      <c r="C17" s="138" t="s">
        <v>34</v>
      </c>
      <c r="D17" s="134" t="s">
        <v>40</v>
      </c>
      <c r="E17" s="135" t="s">
        <v>37</v>
      </c>
      <c r="F17" s="134" t="s">
        <v>50</v>
      </c>
      <c r="G17" s="136" t="str">
        <f>VLOOKUP(A17,Plano_V3!$A$26:$G$592,7,0)</f>
        <v>6. Em implementação (re-especificação)</v>
      </c>
      <c r="H17" s="136" t="s">
        <v>619</v>
      </c>
      <c r="I17" s="143" t="s">
        <v>1929</v>
      </c>
      <c r="J17" s="153">
        <f>IF(VLOOKUP(A17,'Aux - pivots1'!$A:$E,3,0)=0, "",VLOOKUP(A17,'Aux - pivots1'!$A:$E,3,0))</f>
        <v>45510</v>
      </c>
      <c r="K17" s="153">
        <f>IF(VLOOKUP(A17,'Aux - pivots1'!$A:$E,4,0)=0, "",VLOOKUP(A17,'Aux - pivots1'!$A:$E,4,0))</f>
        <v>45624</v>
      </c>
      <c r="L17" s="153" t="str">
        <f>IF(VLOOKUP(A17,'Aux - pivots1'!$A:$E,5,0)=0, "",VLOOKUP(A17,'Aux - pivots1'!$A:$E,5,0))</f>
        <v/>
      </c>
      <c r="M17" s="209"/>
      <c r="N17" s="209"/>
    </row>
    <row r="18" spans="1:14" ht="16.2" hidden="1" customHeight="1" x14ac:dyDescent="0.4">
      <c r="A18" s="30" t="str">
        <f t="shared" si="0"/>
        <v>ENERGY_CERTIFICATE_EST_INPUTENERGY_CONSUMPTION_VALUE_YEAR</v>
      </c>
      <c r="B18" s="142" t="s">
        <v>26</v>
      </c>
      <c r="C18" s="138" t="s">
        <v>34</v>
      </c>
      <c r="D18" s="134" t="s">
        <v>40</v>
      </c>
      <c r="E18" s="135" t="s">
        <v>37</v>
      </c>
      <c r="F18" s="134" t="s">
        <v>51</v>
      </c>
      <c r="G18" s="136" t="str">
        <f>VLOOKUP(A18,Plano_V3!$A$26:$G$592,7,0)</f>
        <v>6. Em implementação (re-especificação)</v>
      </c>
      <c r="H18" s="136" t="s">
        <v>619</v>
      </c>
      <c r="I18" s="143" t="s">
        <v>1929</v>
      </c>
      <c r="J18" s="153">
        <f>IF(VLOOKUP(A18,'Aux - pivots1'!$A:$E,3,0)=0, "",VLOOKUP(A18,'Aux - pivots1'!$A:$E,3,0))</f>
        <v>45510</v>
      </c>
      <c r="K18" s="153">
        <f>IF(VLOOKUP(A18,'Aux - pivots1'!$A:$E,4,0)=0, "",VLOOKUP(A18,'Aux - pivots1'!$A:$E,4,0))</f>
        <v>45624</v>
      </c>
      <c r="L18" s="153" t="str">
        <f>IF(VLOOKUP(A18,'Aux - pivots1'!$A:$E,5,0)=0, "",VLOOKUP(A18,'Aux - pivots1'!$A:$E,5,0))</f>
        <v/>
      </c>
      <c r="M18" s="209"/>
      <c r="N18" s="209"/>
    </row>
    <row r="19" spans="1:14" ht="16.2" hidden="1" customHeight="1" x14ac:dyDescent="0.4">
      <c r="A19" s="30" t="str">
        <f t="shared" si="0"/>
        <v>ENERGY_CERTIFICATE_EST_INPUTCARBON_EMISSION_VALUE_YEAR</v>
      </c>
      <c r="B19" s="142" t="s">
        <v>26</v>
      </c>
      <c r="C19" s="138" t="s">
        <v>34</v>
      </c>
      <c r="D19" s="134" t="s">
        <v>40</v>
      </c>
      <c r="E19" s="135" t="s">
        <v>37</v>
      </c>
      <c r="F19" s="134" t="s">
        <v>52</v>
      </c>
      <c r="G19" s="136" t="str">
        <f>VLOOKUP(A19,Plano_V3!$A$26:$G$592,7,0)</f>
        <v>6. Em implementação (re-especificação)</v>
      </c>
      <c r="H19" s="136" t="s">
        <v>619</v>
      </c>
      <c r="I19" s="143" t="s">
        <v>1929</v>
      </c>
      <c r="J19" s="153">
        <f>IF(VLOOKUP(A19,'Aux - pivots1'!$A:$E,3,0)=0, "",VLOOKUP(A19,'Aux - pivots1'!$A:$E,3,0))</f>
        <v>45510</v>
      </c>
      <c r="K19" s="153">
        <f>IF(VLOOKUP(A19,'Aux - pivots1'!$A:$E,4,0)=0, "",VLOOKUP(A19,'Aux - pivots1'!$A:$E,4,0))</f>
        <v>45624</v>
      </c>
      <c r="L19" s="153" t="str">
        <f>IF(VLOOKUP(A19,'Aux - pivots1'!$A:$E,5,0)=0, "",VLOOKUP(A19,'Aux - pivots1'!$A:$E,5,0))</f>
        <v/>
      </c>
      <c r="M19" s="209"/>
      <c r="N19" s="209"/>
    </row>
    <row r="20" spans="1:14" ht="16.2" hidden="1" customHeight="1" x14ac:dyDescent="0.4">
      <c r="A20" s="30" t="str">
        <f t="shared" si="0"/>
        <v>PROCESSn.a.</v>
      </c>
      <c r="B20" s="142" t="s">
        <v>26</v>
      </c>
      <c r="C20" s="138" t="s">
        <v>54</v>
      </c>
      <c r="D20" s="134" t="s">
        <v>36</v>
      </c>
      <c r="E20" s="135" t="s">
        <v>55</v>
      </c>
      <c r="F20" s="134" t="s">
        <v>38</v>
      </c>
      <c r="G20" s="136" t="str">
        <f>VLOOKUP(A20,Plano_V3!$A$26:$G$592,7,0)</f>
        <v>1. Concluído</v>
      </c>
      <c r="H20" s="136" t="s">
        <v>614</v>
      </c>
      <c r="I20" s="143"/>
      <c r="J20" s="153" t="str">
        <f>IF(VLOOKUP(A20,'Aux - pivots1'!$A:$E,3,0)=0, "",VLOOKUP(A20,'Aux - pivots1'!$A:$E,3,0))</f>
        <v/>
      </c>
      <c r="K20" s="153" t="str">
        <f>IF(VLOOKUP(A20,'Aux - pivots1'!$A:$E,4,0)=0, "",VLOOKUP(A20,'Aux - pivots1'!$A:$E,4,0))</f>
        <v/>
      </c>
      <c r="L20" s="153" t="str">
        <f>IF(VLOOKUP(A20,'Aux - pivots1'!$A:$E,5,0)=0, "",VLOOKUP(A20,'Aux - pivots1'!$A:$E,5,0))</f>
        <v/>
      </c>
      <c r="M20" s="209"/>
      <c r="N20" s="209"/>
    </row>
    <row r="21" spans="1:14" ht="16.2" hidden="1" customHeight="1" x14ac:dyDescent="0.4">
      <c r="A21" s="30" t="str">
        <f t="shared" si="0"/>
        <v>PROCESSPROCESS_BANK_ID</v>
      </c>
      <c r="B21" s="142" t="s">
        <v>26</v>
      </c>
      <c r="C21" s="138" t="s">
        <v>54</v>
      </c>
      <c r="D21" s="134" t="s">
        <v>40</v>
      </c>
      <c r="E21" s="135" t="s">
        <v>55</v>
      </c>
      <c r="F21" s="134" t="s">
        <v>57</v>
      </c>
      <c r="G21" s="136" t="str">
        <f>VLOOKUP(A21,Plano_V3!$A$26:$G$592,7,0)</f>
        <v>1. Concluído</v>
      </c>
      <c r="H21" s="136" t="s">
        <v>614</v>
      </c>
      <c r="I21" s="154" t="s">
        <v>650</v>
      </c>
      <c r="J21" s="153" t="str">
        <f>IF(VLOOKUP(A21,'Aux - pivots1'!$A:$E,3,0)=0, "",VLOOKUP(A21,'Aux - pivots1'!$A:$E,3,0))</f>
        <v/>
      </c>
      <c r="K21" s="153" t="str">
        <f>IF(VLOOKUP(A21,'Aux - pivots1'!$A:$E,4,0)=0, "",VLOOKUP(A21,'Aux - pivots1'!$A:$E,4,0))</f>
        <v/>
      </c>
      <c r="L21" s="153" t="str">
        <f>IF(VLOOKUP(A21,'Aux - pivots1'!$A:$E,5,0)=0, "",VLOOKUP(A21,'Aux - pivots1'!$A:$E,5,0))</f>
        <v/>
      </c>
      <c r="M21" s="209"/>
      <c r="N21" s="209"/>
    </row>
    <row r="22" spans="1:14" ht="16.2" hidden="1" customHeight="1" x14ac:dyDescent="0.4">
      <c r="A22" s="30" t="str">
        <f t="shared" si="0"/>
        <v>PROCESSPROCESS_BRANCH_CODE</v>
      </c>
      <c r="B22" s="142" t="s">
        <v>26</v>
      </c>
      <c r="C22" s="138" t="s">
        <v>54</v>
      </c>
      <c r="D22" s="134" t="s">
        <v>40</v>
      </c>
      <c r="E22" s="135" t="s">
        <v>55</v>
      </c>
      <c r="F22" s="134" t="s">
        <v>58</v>
      </c>
      <c r="G22" s="136" t="str">
        <f>VLOOKUP(A22,Plano_V3!$A$26:$G$592,7,0)</f>
        <v>1. Concluído</v>
      </c>
      <c r="H22" s="136" t="s">
        <v>614</v>
      </c>
      <c r="I22" s="154" t="s">
        <v>650</v>
      </c>
      <c r="J22" s="153" t="str">
        <f>IF(VLOOKUP(A22,'Aux - pivots1'!$A:$E,3,0)=0, "",VLOOKUP(A22,'Aux - pivots1'!$A:$E,3,0))</f>
        <v/>
      </c>
      <c r="K22" s="153" t="str">
        <f>IF(VLOOKUP(A22,'Aux - pivots1'!$A:$E,4,0)=0, "",VLOOKUP(A22,'Aux - pivots1'!$A:$E,4,0))</f>
        <v/>
      </c>
      <c r="L22" s="153" t="str">
        <f>IF(VLOOKUP(A22,'Aux - pivots1'!$A:$E,5,0)=0, "",VLOOKUP(A22,'Aux - pivots1'!$A:$E,5,0))</f>
        <v/>
      </c>
      <c r="M22" s="209"/>
      <c r="N22" s="209"/>
    </row>
    <row r="23" spans="1:14" ht="16.2" hidden="1" customHeight="1" x14ac:dyDescent="0.4">
      <c r="A23" s="30" t="str">
        <f t="shared" si="0"/>
        <v>PROCESSPROCESS_ACCOUNT_ID</v>
      </c>
      <c r="B23" s="142" t="s">
        <v>26</v>
      </c>
      <c r="C23" s="138" t="s">
        <v>54</v>
      </c>
      <c r="D23" s="134" t="s">
        <v>40</v>
      </c>
      <c r="E23" s="135" t="s">
        <v>55</v>
      </c>
      <c r="F23" s="134" t="s">
        <v>59</v>
      </c>
      <c r="G23" s="136" t="str">
        <f>VLOOKUP(A23,Plano_V3!$A$26:$G$592,7,0)</f>
        <v>1. Concluído</v>
      </c>
      <c r="H23" s="136" t="s">
        <v>614</v>
      </c>
      <c r="I23" s="154" t="s">
        <v>650</v>
      </c>
      <c r="J23" s="153" t="str">
        <f>IF(VLOOKUP(A23,'Aux - pivots1'!$A:$E,3,0)=0, "",VLOOKUP(A23,'Aux - pivots1'!$A:$E,3,0))</f>
        <v/>
      </c>
      <c r="K23" s="153" t="str">
        <f>IF(VLOOKUP(A23,'Aux - pivots1'!$A:$E,4,0)=0, "",VLOOKUP(A23,'Aux - pivots1'!$A:$E,4,0))</f>
        <v/>
      </c>
      <c r="L23" s="153" t="str">
        <f>IF(VLOOKUP(A23,'Aux - pivots1'!$A:$E,5,0)=0, "",VLOOKUP(A23,'Aux - pivots1'!$A:$E,5,0))</f>
        <v/>
      </c>
      <c r="M23" s="209"/>
      <c r="N23" s="209"/>
    </row>
    <row r="24" spans="1:14" ht="16.2" hidden="1" customHeight="1" x14ac:dyDescent="0.4">
      <c r="A24" s="30" t="str">
        <f t="shared" si="0"/>
        <v>PROCESScod_estd_prcs</v>
      </c>
      <c r="B24" s="142" t="s">
        <v>26</v>
      </c>
      <c r="C24" s="138" t="s">
        <v>54</v>
      </c>
      <c r="D24" s="134" t="s">
        <v>40</v>
      </c>
      <c r="E24" s="135" t="s">
        <v>55</v>
      </c>
      <c r="F24" s="134" t="s">
        <v>60</v>
      </c>
      <c r="G24" s="136" t="str">
        <f>VLOOKUP(A24,Plano_V3!$A$26:$G$592,7,0)</f>
        <v>0. Cancelado</v>
      </c>
      <c r="H24" s="136" t="s">
        <v>613</v>
      </c>
      <c r="I24" s="143" t="s">
        <v>651</v>
      </c>
      <c r="J24" s="153" t="str">
        <f>IF(VLOOKUP(A24,'Aux - pivots1'!$A:$E,3,0)=0, "",VLOOKUP(A24,'Aux - pivots1'!$A:$E,3,0))</f>
        <v/>
      </c>
      <c r="K24" s="153" t="str">
        <f>IF(VLOOKUP(A24,'Aux - pivots1'!$A:$E,4,0)=0, "",VLOOKUP(A24,'Aux - pivots1'!$A:$E,4,0))</f>
        <v/>
      </c>
      <c r="L24" s="153" t="str">
        <f>IF(VLOOKUP(A24,'Aux - pivots1'!$A:$E,5,0)=0, "",VLOOKUP(A24,'Aux - pivots1'!$A:$E,5,0))</f>
        <v/>
      </c>
      <c r="M24" s="209"/>
      <c r="N24" s="209"/>
    </row>
    <row r="25" spans="1:14" ht="16.2" hidden="1" customHeight="1" x14ac:dyDescent="0.4">
      <c r="A25" s="30" t="str">
        <f t="shared" si="0"/>
        <v>PROCESSGUARANTEE_CODE</v>
      </c>
      <c r="B25" s="142" t="s">
        <v>26</v>
      </c>
      <c r="C25" s="138" t="s">
        <v>54</v>
      </c>
      <c r="D25" s="134" t="s">
        <v>40</v>
      </c>
      <c r="E25" s="135" t="s">
        <v>55</v>
      </c>
      <c r="F25" s="134" t="s">
        <v>61</v>
      </c>
      <c r="G25" s="136" t="str">
        <f>VLOOKUP(A25,Plano_V3!$A$26:$G$592,7,0)</f>
        <v>1. Concluído</v>
      </c>
      <c r="H25" s="136" t="s">
        <v>614</v>
      </c>
      <c r="I25" s="143"/>
      <c r="J25" s="153" t="str">
        <f>IF(VLOOKUP(A25,'Aux - pivots1'!$A:$E,3,0)=0, "",VLOOKUP(A25,'Aux - pivots1'!$A:$E,3,0))</f>
        <v/>
      </c>
      <c r="K25" s="153" t="str">
        <f>IF(VLOOKUP(A25,'Aux - pivots1'!$A:$E,4,0)=0, "",VLOOKUP(A25,'Aux - pivots1'!$A:$E,4,0))</f>
        <v/>
      </c>
      <c r="L25" s="153" t="str">
        <f>IF(VLOOKUP(A25,'Aux - pivots1'!$A:$E,5,0)=0, "",VLOOKUP(A25,'Aux - pivots1'!$A:$E,5,0))</f>
        <v/>
      </c>
      <c r="M25" s="209"/>
      <c r="N25" s="209"/>
    </row>
    <row r="26" spans="1:14" ht="16.2" hidden="1" customHeight="1" x14ac:dyDescent="0.4">
      <c r="A26" s="30" t="str">
        <f t="shared" si="0"/>
        <v>PROCESSCURRENCY_CODE</v>
      </c>
      <c r="B26" s="142" t="s">
        <v>26</v>
      </c>
      <c r="C26" s="138" t="s">
        <v>54</v>
      </c>
      <c r="D26" s="134" t="s">
        <v>40</v>
      </c>
      <c r="E26" s="135" t="s">
        <v>55</v>
      </c>
      <c r="F26" s="134" t="s">
        <v>62</v>
      </c>
      <c r="G26" s="136" t="str">
        <f>VLOOKUP(A26,Plano_V3!$A$26:$G$592,7,0)</f>
        <v>1. Concluído</v>
      </c>
      <c r="H26" s="136" t="s">
        <v>614</v>
      </c>
      <c r="I26" s="143"/>
      <c r="J26" s="153">
        <f>IF(VLOOKUP(A26,'Aux - pivots1'!$A:$E,3,0)=0, "",VLOOKUP(A26,'Aux - pivots1'!$A:$E,3,0))</f>
        <v>45512</v>
      </c>
      <c r="K26" s="153">
        <f>IF(VLOOKUP(A26,'Aux - pivots1'!$A:$E,4,0)=0, "",VLOOKUP(A26,'Aux - pivots1'!$A:$E,4,0))</f>
        <v>45526</v>
      </c>
      <c r="L26" s="153" t="str">
        <f>IF(VLOOKUP(A26,'Aux - pivots1'!$A:$E,5,0)=0, "",VLOOKUP(A26,'Aux - pivots1'!$A:$E,5,0))</f>
        <v/>
      </c>
      <c r="M26" s="209"/>
      <c r="N26" s="209"/>
    </row>
    <row r="27" spans="1:14" ht="16.2" hidden="1" customHeight="1" x14ac:dyDescent="0.4">
      <c r="A27" s="30" t="str">
        <f t="shared" si="0"/>
        <v>PROCESSPROCESS_CAMPAIGN_CODE</v>
      </c>
      <c r="B27" s="142" t="s">
        <v>26</v>
      </c>
      <c r="C27" s="138" t="s">
        <v>54</v>
      </c>
      <c r="D27" s="134" t="s">
        <v>40</v>
      </c>
      <c r="E27" s="135" t="s">
        <v>55</v>
      </c>
      <c r="F27" s="134" t="s">
        <v>63</v>
      </c>
      <c r="G27" s="136" t="str">
        <f>VLOOKUP(A27,Plano_V3!$A$26:$G$592,7,0)</f>
        <v>1. Concluído</v>
      </c>
      <c r="H27" s="136" t="s">
        <v>614</v>
      </c>
      <c r="I27" s="143"/>
      <c r="J27" s="153" t="str">
        <f>IF(VLOOKUP(A27,'Aux - pivots1'!$A:$E,3,0)=0, "",VLOOKUP(A27,'Aux - pivots1'!$A:$E,3,0))</f>
        <v/>
      </c>
      <c r="K27" s="153" t="str">
        <f>IF(VLOOKUP(A27,'Aux - pivots1'!$A:$E,4,0)=0, "",VLOOKUP(A27,'Aux - pivots1'!$A:$E,4,0))</f>
        <v/>
      </c>
      <c r="L27" s="153" t="str">
        <f>IF(VLOOKUP(A27,'Aux - pivots1'!$A:$E,5,0)=0, "",VLOOKUP(A27,'Aux - pivots1'!$A:$E,5,0))</f>
        <v/>
      </c>
      <c r="M27" s="209"/>
      <c r="N27" s="209"/>
    </row>
    <row r="28" spans="1:14" ht="16.2" hidden="1" customHeight="1" x14ac:dyDescent="0.4">
      <c r="A28" s="30" t="str">
        <f t="shared" si="0"/>
        <v>PROCESSPROCESS_PRODUCT_ID</v>
      </c>
      <c r="B28" s="142" t="s">
        <v>26</v>
      </c>
      <c r="C28" s="138" t="s">
        <v>54</v>
      </c>
      <c r="D28" s="134" t="s">
        <v>40</v>
      </c>
      <c r="E28" s="135" t="s">
        <v>55</v>
      </c>
      <c r="F28" s="134" t="s">
        <v>64</v>
      </c>
      <c r="G28" s="136" t="str">
        <f>VLOOKUP(A28,Plano_V3!$A$26:$G$592,7,0)</f>
        <v>1. Concluído</v>
      </c>
      <c r="H28" s="136" t="s">
        <v>614</v>
      </c>
      <c r="I28" s="143"/>
      <c r="J28" s="153" t="str">
        <f>IF(VLOOKUP(A28,'Aux - pivots1'!$A:$E,3,0)=0, "",VLOOKUP(A28,'Aux - pivots1'!$A:$E,3,0))</f>
        <v/>
      </c>
      <c r="K28" s="153" t="str">
        <f>IF(VLOOKUP(A28,'Aux - pivots1'!$A:$E,4,0)=0, "",VLOOKUP(A28,'Aux - pivots1'!$A:$E,4,0))</f>
        <v/>
      </c>
      <c r="L28" s="153" t="str">
        <f>IF(VLOOKUP(A28,'Aux - pivots1'!$A:$E,5,0)=0, "",VLOOKUP(A28,'Aux - pivots1'!$A:$E,5,0))</f>
        <v/>
      </c>
      <c r="M28" s="209"/>
      <c r="N28" s="209"/>
    </row>
    <row r="29" spans="1:14" ht="16.2" hidden="1" customHeight="1" x14ac:dyDescent="0.4">
      <c r="A29" s="30" t="str">
        <f t="shared" si="0"/>
        <v>PROCESSPROCESS_SUBPRODUCT_ID</v>
      </c>
      <c r="B29" s="142" t="s">
        <v>26</v>
      </c>
      <c r="C29" s="138" t="s">
        <v>54</v>
      </c>
      <c r="D29" s="134" t="s">
        <v>40</v>
      </c>
      <c r="E29" s="135" t="s">
        <v>55</v>
      </c>
      <c r="F29" s="134" t="s">
        <v>65</v>
      </c>
      <c r="G29" s="136" t="str">
        <f>VLOOKUP(A29,Plano_V3!$A$26:$G$592,7,0)</f>
        <v>1. Concluído</v>
      </c>
      <c r="H29" s="136" t="s">
        <v>614</v>
      </c>
      <c r="I29" s="143"/>
      <c r="J29" s="153" t="str">
        <f>IF(VLOOKUP(A29,'Aux - pivots1'!$A:$E,3,0)=0, "",VLOOKUP(A29,'Aux - pivots1'!$A:$E,3,0))</f>
        <v/>
      </c>
      <c r="K29" s="153" t="str">
        <f>IF(VLOOKUP(A29,'Aux - pivots1'!$A:$E,4,0)=0, "",VLOOKUP(A29,'Aux - pivots1'!$A:$E,4,0))</f>
        <v/>
      </c>
      <c r="L29" s="153" t="str">
        <f>IF(VLOOKUP(A29,'Aux - pivots1'!$A:$E,5,0)=0, "",VLOOKUP(A29,'Aux - pivots1'!$A:$E,5,0))</f>
        <v/>
      </c>
      <c r="M29" s="209"/>
      <c r="N29" s="209"/>
    </row>
    <row r="30" spans="1:14" ht="16.2" hidden="1" customHeight="1" x14ac:dyDescent="0.4">
      <c r="A30" s="30" t="str">
        <f t="shared" si="0"/>
        <v>PROCESSGUARANTEE_TYPE_CODE</v>
      </c>
      <c r="B30" s="142" t="s">
        <v>26</v>
      </c>
      <c r="C30" s="138" t="s">
        <v>54</v>
      </c>
      <c r="D30" s="134" t="s">
        <v>40</v>
      </c>
      <c r="E30" s="135" t="s">
        <v>55</v>
      </c>
      <c r="F30" s="134" t="s">
        <v>66</v>
      </c>
      <c r="G30" s="136" t="str">
        <f>VLOOKUP(A30,Plano_V3!$A$26:$G$592,7,0)</f>
        <v>1. Concluído</v>
      </c>
      <c r="H30" s="136" t="s">
        <v>614</v>
      </c>
      <c r="I30" s="143"/>
      <c r="J30" s="153" t="str">
        <f>IF(VLOOKUP(A30,'Aux - pivots1'!$A:$E,3,0)=0, "",VLOOKUP(A30,'Aux - pivots1'!$A:$E,3,0))</f>
        <v/>
      </c>
      <c r="K30" s="153" t="str">
        <f>IF(VLOOKUP(A30,'Aux - pivots1'!$A:$E,4,0)=0, "",VLOOKUP(A30,'Aux - pivots1'!$A:$E,4,0))</f>
        <v/>
      </c>
      <c r="L30" s="153" t="str">
        <f>IF(VLOOKUP(A30,'Aux - pivots1'!$A:$E,5,0)=0, "",VLOOKUP(A30,'Aux - pivots1'!$A:$E,5,0))</f>
        <v/>
      </c>
      <c r="M30" s="209"/>
      <c r="N30" s="209"/>
    </row>
    <row r="31" spans="1:14" ht="16.2" hidden="1" customHeight="1" x14ac:dyDescent="0.4">
      <c r="A31" s="30" t="str">
        <f t="shared" si="0"/>
        <v>PROCESSPROCESS_REFERENCE_CODE</v>
      </c>
      <c r="B31" s="142" t="s">
        <v>26</v>
      </c>
      <c r="C31" s="138" t="s">
        <v>54</v>
      </c>
      <c r="D31" s="134" t="s">
        <v>40</v>
      </c>
      <c r="E31" s="135" t="s">
        <v>55</v>
      </c>
      <c r="F31" s="134" t="s">
        <v>67</v>
      </c>
      <c r="G31" s="136" t="str">
        <f>VLOOKUP(A31,Plano_V3!$A$26:$G$592,7,0)</f>
        <v>1. Concluído</v>
      </c>
      <c r="H31" s="136" t="s">
        <v>614</v>
      </c>
      <c r="I31" s="143"/>
      <c r="J31" s="153" t="str">
        <f>IF(VLOOKUP(A31,'Aux - pivots1'!$A:$E,3,0)=0, "",VLOOKUP(A31,'Aux - pivots1'!$A:$E,3,0))</f>
        <v/>
      </c>
      <c r="K31" s="153" t="str">
        <f>IF(VLOOKUP(A31,'Aux - pivots1'!$A:$E,4,0)=0, "",VLOOKUP(A31,'Aux - pivots1'!$A:$E,4,0))</f>
        <v/>
      </c>
      <c r="L31" s="153" t="str">
        <f>IF(VLOOKUP(A31,'Aux - pivots1'!$A:$E,5,0)=0, "",VLOOKUP(A31,'Aux - pivots1'!$A:$E,5,0))</f>
        <v/>
      </c>
      <c r="M31" s="209"/>
      <c r="N31" s="209"/>
    </row>
    <row r="32" spans="1:14" ht="16.2" hidden="1" customHeight="1" x14ac:dyDescent="0.4">
      <c r="A32" s="30" t="str">
        <f t="shared" si="0"/>
        <v>PROCESSPROCESS_START_DATE</v>
      </c>
      <c r="B32" s="142" t="s">
        <v>26</v>
      </c>
      <c r="C32" s="138" t="s">
        <v>54</v>
      </c>
      <c r="D32" s="134" t="s">
        <v>40</v>
      </c>
      <c r="E32" s="135" t="s">
        <v>55</v>
      </c>
      <c r="F32" s="134" t="s">
        <v>68</v>
      </c>
      <c r="G32" s="136" t="str">
        <f>VLOOKUP(A32,Plano_V3!$A$26:$G$592,7,0)</f>
        <v>1. Concluído</v>
      </c>
      <c r="H32" s="136" t="s">
        <v>614</v>
      </c>
      <c r="I32" s="143"/>
      <c r="J32" s="153" t="str">
        <f>IF(VLOOKUP(A32,'Aux - pivots1'!$A:$E,3,0)=0, "",VLOOKUP(A32,'Aux - pivots1'!$A:$E,3,0))</f>
        <v/>
      </c>
      <c r="K32" s="153" t="str">
        <f>IF(VLOOKUP(A32,'Aux - pivots1'!$A:$E,4,0)=0, "",VLOOKUP(A32,'Aux - pivots1'!$A:$E,4,0))</f>
        <v/>
      </c>
      <c r="L32" s="153" t="str">
        <f>IF(VLOOKUP(A32,'Aux - pivots1'!$A:$E,5,0)=0, "",VLOOKUP(A32,'Aux - pivots1'!$A:$E,5,0))</f>
        <v/>
      </c>
      <c r="M32" s="209"/>
      <c r="N32" s="209"/>
    </row>
    <row r="33" spans="1:14" ht="16.2" hidden="1" customHeight="1" x14ac:dyDescent="0.4">
      <c r="A33" s="30" t="str">
        <f t="shared" si="0"/>
        <v>PROCESSPROCESS_DUE_DATE</v>
      </c>
      <c r="B33" s="142" t="s">
        <v>26</v>
      </c>
      <c r="C33" s="138" t="s">
        <v>54</v>
      </c>
      <c r="D33" s="134" t="s">
        <v>40</v>
      </c>
      <c r="E33" s="135" t="s">
        <v>55</v>
      </c>
      <c r="F33" s="134" t="s">
        <v>69</v>
      </c>
      <c r="G33" s="136" t="str">
        <f>VLOOKUP(A33,Plano_V3!$A$26:$G$592,7,0)</f>
        <v>1. Concluído</v>
      </c>
      <c r="H33" s="136" t="s">
        <v>614</v>
      </c>
      <c r="I33" s="143"/>
      <c r="J33" s="153" t="str">
        <f>IF(VLOOKUP(A33,'Aux - pivots1'!$A:$E,3,0)=0, "",VLOOKUP(A33,'Aux - pivots1'!$A:$E,3,0))</f>
        <v/>
      </c>
      <c r="K33" s="153" t="str">
        <f>IF(VLOOKUP(A33,'Aux - pivots1'!$A:$E,4,0)=0, "",VLOOKUP(A33,'Aux - pivots1'!$A:$E,4,0))</f>
        <v/>
      </c>
      <c r="L33" s="153" t="str">
        <f>IF(VLOOKUP(A33,'Aux - pivots1'!$A:$E,5,0)=0, "",VLOOKUP(A33,'Aux - pivots1'!$A:$E,5,0))</f>
        <v/>
      </c>
      <c r="M33" s="209"/>
      <c r="N33" s="209"/>
    </row>
    <row r="34" spans="1:14" ht="16.2" hidden="1" customHeight="1" x14ac:dyDescent="0.4">
      <c r="A34" s="30" t="str">
        <f t="shared" si="0"/>
        <v>PROCESSmontante_eur</v>
      </c>
      <c r="B34" s="142" t="s">
        <v>26</v>
      </c>
      <c r="C34" s="138" t="s">
        <v>54</v>
      </c>
      <c r="D34" s="134" t="s">
        <v>40</v>
      </c>
      <c r="E34" s="135" t="s">
        <v>55</v>
      </c>
      <c r="F34" s="134" t="s">
        <v>70</v>
      </c>
      <c r="G34" s="136" t="str">
        <f>VLOOKUP(A34,Plano_V3!$A$26:$G$592,7,0)</f>
        <v>0. Cancelado</v>
      </c>
      <c r="H34" s="136" t="s">
        <v>613</v>
      </c>
      <c r="I34" s="143" t="s">
        <v>651</v>
      </c>
      <c r="J34" s="153" t="str">
        <f>IF(VLOOKUP(A34,'Aux - pivots1'!$A:$E,3,0)=0, "",VLOOKUP(A34,'Aux - pivots1'!$A:$E,3,0))</f>
        <v/>
      </c>
      <c r="K34" s="153" t="str">
        <f>IF(VLOOKUP(A34,'Aux - pivots1'!$A:$E,4,0)=0, "",VLOOKUP(A34,'Aux - pivots1'!$A:$E,4,0))</f>
        <v/>
      </c>
      <c r="L34" s="153" t="str">
        <f>IF(VLOOKUP(A34,'Aux - pivots1'!$A:$E,5,0)=0, "",VLOOKUP(A34,'Aux - pivots1'!$A:$E,5,0))</f>
        <v/>
      </c>
      <c r="M34" s="209"/>
      <c r="N34" s="209"/>
    </row>
    <row r="35" spans="1:14" ht="16.2" hidden="1" customHeight="1" x14ac:dyDescent="0.4">
      <c r="A35" s="30" t="str">
        <f t="shared" si="0"/>
        <v>PROCESSmontante_org</v>
      </c>
      <c r="B35" s="142" t="s">
        <v>26</v>
      </c>
      <c r="C35" s="138" t="s">
        <v>54</v>
      </c>
      <c r="D35" s="134" t="s">
        <v>40</v>
      </c>
      <c r="E35" s="135" t="s">
        <v>55</v>
      </c>
      <c r="F35" s="134" t="s">
        <v>71</v>
      </c>
      <c r="G35" s="136" t="str">
        <f>VLOOKUP(A35,Plano_V3!$A$26:$G$592,7,0)</f>
        <v>0. Cancelado</v>
      </c>
      <c r="H35" s="136" t="s">
        <v>613</v>
      </c>
      <c r="I35" s="143" t="s">
        <v>651</v>
      </c>
      <c r="J35" s="153" t="str">
        <f>IF(VLOOKUP(A35,'Aux - pivots1'!$A:$E,3,0)=0, "",VLOOKUP(A35,'Aux - pivots1'!$A:$E,3,0))</f>
        <v/>
      </c>
      <c r="K35" s="153" t="str">
        <f>IF(VLOOKUP(A35,'Aux - pivots1'!$A:$E,4,0)=0, "",VLOOKUP(A35,'Aux - pivots1'!$A:$E,4,0))</f>
        <v/>
      </c>
      <c r="L35" s="153" t="str">
        <f>IF(VLOOKUP(A35,'Aux - pivots1'!$A:$E,5,0)=0, "",VLOOKUP(A35,'Aux - pivots1'!$A:$E,5,0))</f>
        <v/>
      </c>
      <c r="M35" s="209"/>
      <c r="N35" s="209"/>
    </row>
    <row r="36" spans="1:14" ht="16.2" hidden="1" customHeight="1" x14ac:dyDescent="0.4">
      <c r="A36" s="30" t="str">
        <f t="shared" si="0"/>
        <v>PROCESSorigem</v>
      </c>
      <c r="B36" s="142" t="s">
        <v>26</v>
      </c>
      <c r="C36" s="138" t="s">
        <v>54</v>
      </c>
      <c r="D36" s="134" t="s">
        <v>40</v>
      </c>
      <c r="E36" s="135" t="s">
        <v>55</v>
      </c>
      <c r="F36" s="134" t="s">
        <v>72</v>
      </c>
      <c r="G36" s="136" t="str">
        <f>VLOOKUP(A36,Plano_V3!$A$26:$G$592,7,0)</f>
        <v>0. Cancelado</v>
      </c>
      <c r="H36" s="136" t="s">
        <v>613</v>
      </c>
      <c r="I36" s="143" t="s">
        <v>652</v>
      </c>
      <c r="J36" s="153" t="str">
        <f>IF(VLOOKUP(A36,'Aux - pivots1'!$A:$E,3,0)=0, "",VLOOKUP(A36,'Aux - pivots1'!$A:$E,3,0))</f>
        <v/>
      </c>
      <c r="K36" s="153" t="str">
        <f>IF(VLOOKUP(A36,'Aux - pivots1'!$A:$E,4,0)=0, "",VLOOKUP(A36,'Aux - pivots1'!$A:$E,4,0))</f>
        <v/>
      </c>
      <c r="L36" s="153" t="str">
        <f>IF(VLOOKUP(A36,'Aux - pivots1'!$A:$E,5,0)=0, "",VLOOKUP(A36,'Aux - pivots1'!$A:$E,5,0))</f>
        <v/>
      </c>
      <c r="M36" s="209"/>
      <c r="N36" s="209"/>
    </row>
    <row r="37" spans="1:14" ht="16.2" hidden="1" customHeight="1" x14ac:dyDescent="0.4">
      <c r="A37" s="30" t="str">
        <f t="shared" si="0"/>
        <v>PROCESSDATA_DATE_PART</v>
      </c>
      <c r="B37" s="142" t="s">
        <v>26</v>
      </c>
      <c r="C37" s="138" t="s">
        <v>54</v>
      </c>
      <c r="D37" s="134" t="s">
        <v>40</v>
      </c>
      <c r="E37" s="135" t="s">
        <v>55</v>
      </c>
      <c r="F37" s="134" t="s">
        <v>73</v>
      </c>
      <c r="G37" s="136" t="str">
        <f>VLOOKUP(A37,Plano_V3!$A$26:$G$592,7,0)</f>
        <v>1. Concluído</v>
      </c>
      <c r="H37" s="136" t="s">
        <v>614</v>
      </c>
      <c r="I37" s="143"/>
      <c r="J37" s="153" t="str">
        <f>IF(VLOOKUP(A37,'Aux - pivots1'!$A:$E,3,0)=0, "",VLOOKUP(A37,'Aux - pivots1'!$A:$E,3,0))</f>
        <v/>
      </c>
      <c r="K37" s="153" t="str">
        <f>IF(VLOOKUP(A37,'Aux - pivots1'!$A:$E,4,0)=0, "",VLOOKUP(A37,'Aux - pivots1'!$A:$E,4,0))</f>
        <v/>
      </c>
      <c r="L37" s="153" t="str">
        <f>IF(VLOOKUP(A37,'Aux - pivots1'!$A:$E,5,0)=0, "",VLOOKUP(A37,'Aux - pivots1'!$A:$E,5,0))</f>
        <v/>
      </c>
      <c r="M37" s="209"/>
      <c r="N37" s="209"/>
    </row>
    <row r="38" spans="1:14" ht="16.2" hidden="1" customHeight="1" x14ac:dyDescent="0.4">
      <c r="A38" s="30" t="str">
        <f t="shared" si="0"/>
        <v>RESPONSIBILITY_PROCESS_RELn.a.</v>
      </c>
      <c r="B38" s="142" t="s">
        <v>26</v>
      </c>
      <c r="C38" s="138" t="s">
        <v>54</v>
      </c>
      <c r="D38" s="134" t="s">
        <v>36</v>
      </c>
      <c r="E38" s="135" t="s">
        <v>74</v>
      </c>
      <c r="F38" s="134" t="s">
        <v>38</v>
      </c>
      <c r="G38" s="136" t="str">
        <f>VLOOKUP(A38,Plano_V3!$A$26:$G$592,7,0)</f>
        <v>1. Concluído</v>
      </c>
      <c r="H38" s="136" t="s">
        <v>614</v>
      </c>
      <c r="I38" s="143"/>
      <c r="J38" s="153" t="str">
        <f>IF(VLOOKUP(A38,'Aux - pivots1'!$A:$E,3,0)=0, "",VLOOKUP(A38,'Aux - pivots1'!$A:$E,3,0))</f>
        <v/>
      </c>
      <c r="K38" s="153" t="str">
        <f>IF(VLOOKUP(A38,'Aux - pivots1'!$A:$E,4,0)=0, "",VLOOKUP(A38,'Aux - pivots1'!$A:$E,4,0))</f>
        <v/>
      </c>
      <c r="L38" s="153" t="str">
        <f>IF(VLOOKUP(A38,'Aux - pivots1'!$A:$E,5,0)=0, "",VLOOKUP(A38,'Aux - pivots1'!$A:$E,5,0))</f>
        <v/>
      </c>
      <c r="M38" s="209"/>
      <c r="N38" s="209"/>
    </row>
    <row r="39" spans="1:14" ht="16.2" hidden="1" customHeight="1" x14ac:dyDescent="0.4">
      <c r="A39" s="30" t="str">
        <f t="shared" si="0"/>
        <v>RESPONSIBILITY_PROCESS_RELPROCESS_BANK_ID</v>
      </c>
      <c r="B39" s="142" t="s">
        <v>26</v>
      </c>
      <c r="C39" s="138" t="s">
        <v>54</v>
      </c>
      <c r="D39" s="134" t="s">
        <v>40</v>
      </c>
      <c r="E39" s="135" t="s">
        <v>74</v>
      </c>
      <c r="F39" s="134" t="s">
        <v>57</v>
      </c>
      <c r="G39" s="136" t="str">
        <f>VLOOKUP(A39,Plano_V3!$A$26:$G$592,7,0)</f>
        <v>1. Concluído</v>
      </c>
      <c r="H39" s="136" t="s">
        <v>614</v>
      </c>
      <c r="I39" s="154" t="s">
        <v>650</v>
      </c>
      <c r="J39" s="153" t="str">
        <f>IF(VLOOKUP(A39,'Aux - pivots1'!$A:$E,3,0)=0, "",VLOOKUP(A39,'Aux - pivots1'!$A:$E,3,0))</f>
        <v/>
      </c>
      <c r="K39" s="153" t="str">
        <f>IF(VLOOKUP(A39,'Aux - pivots1'!$A:$E,4,0)=0, "",VLOOKUP(A39,'Aux - pivots1'!$A:$E,4,0))</f>
        <v/>
      </c>
      <c r="L39" s="153" t="str">
        <f>IF(VLOOKUP(A39,'Aux - pivots1'!$A:$E,5,0)=0, "",VLOOKUP(A39,'Aux - pivots1'!$A:$E,5,0))</f>
        <v/>
      </c>
      <c r="M39" s="209"/>
      <c r="N39" s="209"/>
    </row>
    <row r="40" spans="1:14" ht="16.2" hidden="1" customHeight="1" x14ac:dyDescent="0.4">
      <c r="A40" s="30" t="str">
        <f t="shared" si="0"/>
        <v>RESPONSIBILITY_PROCESS_RELBANK_ID</v>
      </c>
      <c r="B40" s="142" t="s">
        <v>26</v>
      </c>
      <c r="C40" s="138" t="s">
        <v>54</v>
      </c>
      <c r="D40" s="134" t="s">
        <v>40</v>
      </c>
      <c r="E40" s="135" t="s">
        <v>74</v>
      </c>
      <c r="F40" s="134" t="s">
        <v>75</v>
      </c>
      <c r="G40" s="136" t="str">
        <f>VLOOKUP(A40,Plano_V3!$A$26:$G$592,7,0)</f>
        <v>1. Concluído</v>
      </c>
      <c r="H40" s="136" t="s">
        <v>614</v>
      </c>
      <c r="I40" s="154" t="s">
        <v>650</v>
      </c>
      <c r="J40" s="153" t="str">
        <f>IF(VLOOKUP(A40,'Aux - pivots1'!$A:$E,3,0)=0, "",VLOOKUP(A40,'Aux - pivots1'!$A:$E,3,0))</f>
        <v/>
      </c>
      <c r="K40" s="153" t="str">
        <f>IF(VLOOKUP(A40,'Aux - pivots1'!$A:$E,4,0)=0, "",VLOOKUP(A40,'Aux - pivots1'!$A:$E,4,0))</f>
        <v/>
      </c>
      <c r="L40" s="153" t="str">
        <f>IF(VLOOKUP(A40,'Aux - pivots1'!$A:$E,5,0)=0, "",VLOOKUP(A40,'Aux - pivots1'!$A:$E,5,0))</f>
        <v/>
      </c>
      <c r="M40" s="209"/>
      <c r="N40" s="209"/>
    </row>
    <row r="41" spans="1:14" ht="16.2" hidden="1" customHeight="1" x14ac:dyDescent="0.4">
      <c r="A41" s="30" t="str">
        <f t="shared" si="0"/>
        <v>RESPONSIBILITY_PROCESS_RELPROCESS_BRANCH_CODE</v>
      </c>
      <c r="B41" s="142" t="s">
        <v>26</v>
      </c>
      <c r="C41" s="138" t="s">
        <v>54</v>
      </c>
      <c r="D41" s="134" t="s">
        <v>40</v>
      </c>
      <c r="E41" s="135" t="s">
        <v>74</v>
      </c>
      <c r="F41" s="134" t="s">
        <v>58</v>
      </c>
      <c r="G41" s="136" t="str">
        <f>VLOOKUP(A41,Plano_V3!$A$26:$G$592,7,0)</f>
        <v>1. Concluído</v>
      </c>
      <c r="H41" s="136" t="s">
        <v>614</v>
      </c>
      <c r="I41" s="154" t="s">
        <v>650</v>
      </c>
      <c r="J41" s="153" t="str">
        <f>IF(VLOOKUP(A41,'Aux - pivots1'!$A:$E,3,0)=0, "",VLOOKUP(A41,'Aux - pivots1'!$A:$E,3,0))</f>
        <v/>
      </c>
      <c r="K41" s="153" t="str">
        <f>IF(VLOOKUP(A41,'Aux - pivots1'!$A:$E,4,0)=0, "",VLOOKUP(A41,'Aux - pivots1'!$A:$E,4,0))</f>
        <v/>
      </c>
      <c r="L41" s="153" t="str">
        <f>IF(VLOOKUP(A41,'Aux - pivots1'!$A:$E,5,0)=0, "",VLOOKUP(A41,'Aux - pivots1'!$A:$E,5,0))</f>
        <v/>
      </c>
      <c r="M41" s="209"/>
      <c r="N41" s="209"/>
    </row>
    <row r="42" spans="1:14" ht="16.2" hidden="1" customHeight="1" x14ac:dyDescent="0.4">
      <c r="A42" s="30" t="str">
        <f t="shared" si="0"/>
        <v>RESPONSIBILITY_PROCESS_RELBRANCH_CODE</v>
      </c>
      <c r="B42" s="142" t="s">
        <v>26</v>
      </c>
      <c r="C42" s="138" t="s">
        <v>54</v>
      </c>
      <c r="D42" s="134" t="s">
        <v>40</v>
      </c>
      <c r="E42" s="135" t="s">
        <v>74</v>
      </c>
      <c r="F42" s="134" t="s">
        <v>76</v>
      </c>
      <c r="G42" s="136" t="str">
        <f>VLOOKUP(A42,Plano_V3!$A$26:$G$592,7,0)</f>
        <v>1. Concluído</v>
      </c>
      <c r="H42" s="136" t="s">
        <v>614</v>
      </c>
      <c r="I42" s="154" t="s">
        <v>650</v>
      </c>
      <c r="J42" s="153" t="str">
        <f>IF(VLOOKUP(A42,'Aux - pivots1'!$A:$E,3,0)=0, "",VLOOKUP(A42,'Aux - pivots1'!$A:$E,3,0))</f>
        <v/>
      </c>
      <c r="K42" s="153" t="str">
        <f>IF(VLOOKUP(A42,'Aux - pivots1'!$A:$E,4,0)=0, "",VLOOKUP(A42,'Aux - pivots1'!$A:$E,4,0))</f>
        <v/>
      </c>
      <c r="L42" s="153" t="str">
        <f>IF(VLOOKUP(A42,'Aux - pivots1'!$A:$E,5,0)=0, "",VLOOKUP(A42,'Aux - pivots1'!$A:$E,5,0))</f>
        <v/>
      </c>
      <c r="M42" s="209"/>
      <c r="N42" s="209"/>
    </row>
    <row r="43" spans="1:14" ht="16.2" hidden="1" customHeight="1" x14ac:dyDescent="0.4">
      <c r="A43" s="30" t="str">
        <f t="shared" si="0"/>
        <v>RESPONSIBILITY_PROCESS_RELCONTRACT_ID</v>
      </c>
      <c r="B43" s="142" t="s">
        <v>26</v>
      </c>
      <c r="C43" s="138" t="s">
        <v>54</v>
      </c>
      <c r="D43" s="134" t="s">
        <v>40</v>
      </c>
      <c r="E43" s="135" t="s">
        <v>74</v>
      </c>
      <c r="F43" s="134" t="s">
        <v>77</v>
      </c>
      <c r="G43" s="136" t="str">
        <f>VLOOKUP(A43,Plano_V3!$A$26:$G$592,7,0)</f>
        <v>1. Concluído</v>
      </c>
      <c r="H43" s="136" t="s">
        <v>614</v>
      </c>
      <c r="I43" s="154" t="s">
        <v>650</v>
      </c>
      <c r="J43" s="153" t="str">
        <f>IF(VLOOKUP(A43,'Aux - pivots1'!$A:$E,3,0)=0, "",VLOOKUP(A43,'Aux - pivots1'!$A:$E,3,0))</f>
        <v/>
      </c>
      <c r="K43" s="153" t="str">
        <f>IF(VLOOKUP(A43,'Aux - pivots1'!$A:$E,4,0)=0, "",VLOOKUP(A43,'Aux - pivots1'!$A:$E,4,0))</f>
        <v/>
      </c>
      <c r="L43" s="153" t="str">
        <f>IF(VLOOKUP(A43,'Aux - pivots1'!$A:$E,5,0)=0, "",VLOOKUP(A43,'Aux - pivots1'!$A:$E,5,0))</f>
        <v/>
      </c>
      <c r="M43" s="209"/>
      <c r="N43" s="209"/>
    </row>
    <row r="44" spans="1:14" ht="16.2" hidden="1" customHeight="1" x14ac:dyDescent="0.4">
      <c r="A44" s="30" t="str">
        <f t="shared" si="0"/>
        <v>RESPONSIBILITY_PROCESS_RELPROCESS_ACCOUNT_ID</v>
      </c>
      <c r="B44" s="142" t="s">
        <v>26</v>
      </c>
      <c r="C44" s="138" t="s">
        <v>54</v>
      </c>
      <c r="D44" s="134" t="s">
        <v>40</v>
      </c>
      <c r="E44" s="135" t="s">
        <v>74</v>
      </c>
      <c r="F44" s="134" t="s">
        <v>59</v>
      </c>
      <c r="G44" s="136" t="str">
        <f>VLOOKUP(A44,Plano_V3!$A$26:$G$592,7,0)</f>
        <v>1. Concluído</v>
      </c>
      <c r="H44" s="136" t="s">
        <v>614</v>
      </c>
      <c r="I44" s="154" t="s">
        <v>650</v>
      </c>
      <c r="J44" s="153" t="str">
        <f>IF(VLOOKUP(A44,'Aux - pivots1'!$A:$E,3,0)=0, "",VLOOKUP(A44,'Aux - pivots1'!$A:$E,3,0))</f>
        <v/>
      </c>
      <c r="K44" s="153" t="str">
        <f>IF(VLOOKUP(A44,'Aux - pivots1'!$A:$E,4,0)=0, "",VLOOKUP(A44,'Aux - pivots1'!$A:$E,4,0))</f>
        <v/>
      </c>
      <c r="L44" s="153" t="str">
        <f>IF(VLOOKUP(A44,'Aux - pivots1'!$A:$E,5,0)=0, "",VLOOKUP(A44,'Aux - pivots1'!$A:$E,5,0))</f>
        <v/>
      </c>
      <c r="M44" s="209"/>
      <c r="N44" s="209"/>
    </row>
    <row r="45" spans="1:14" ht="16.2" hidden="1" customHeight="1" x14ac:dyDescent="0.4">
      <c r="A45" s="30" t="str">
        <f t="shared" si="0"/>
        <v>RESPONSIBILITY_PROCESS_RELREFERENCE_CODE</v>
      </c>
      <c r="B45" s="142" t="s">
        <v>26</v>
      </c>
      <c r="C45" s="138" t="s">
        <v>54</v>
      </c>
      <c r="D45" s="134" t="s">
        <v>40</v>
      </c>
      <c r="E45" s="135" t="s">
        <v>74</v>
      </c>
      <c r="F45" s="134" t="s">
        <v>78</v>
      </c>
      <c r="G45" s="136" t="str">
        <f>VLOOKUP(A45,Plano_V3!$A$26:$G$592,7,0)</f>
        <v>1. Concluído</v>
      </c>
      <c r="H45" s="136" t="s">
        <v>614</v>
      </c>
      <c r="I45" s="154" t="s">
        <v>650</v>
      </c>
      <c r="J45" s="153" t="str">
        <f>IF(VLOOKUP(A45,'Aux - pivots1'!$A:$E,3,0)=0, "",VLOOKUP(A45,'Aux - pivots1'!$A:$E,3,0))</f>
        <v/>
      </c>
      <c r="K45" s="153" t="str">
        <f>IF(VLOOKUP(A45,'Aux - pivots1'!$A:$E,4,0)=0, "",VLOOKUP(A45,'Aux - pivots1'!$A:$E,4,0))</f>
        <v/>
      </c>
      <c r="L45" s="153" t="str">
        <f>IF(VLOOKUP(A45,'Aux - pivots1'!$A:$E,5,0)=0, "",VLOOKUP(A45,'Aux - pivots1'!$A:$E,5,0))</f>
        <v/>
      </c>
      <c r="M45" s="209"/>
      <c r="N45" s="209"/>
    </row>
    <row r="46" spans="1:14" ht="16.2" hidden="1" customHeight="1" x14ac:dyDescent="0.4">
      <c r="A46" s="30" t="str">
        <f t="shared" si="0"/>
        <v>RESPONSIBILITY_PROCESS_RELPURPOSE_CODE</v>
      </c>
      <c r="B46" s="142" t="s">
        <v>26</v>
      </c>
      <c r="C46" s="138" t="s">
        <v>54</v>
      </c>
      <c r="D46" s="134" t="s">
        <v>40</v>
      </c>
      <c r="E46" s="135" t="s">
        <v>74</v>
      </c>
      <c r="F46" s="134" t="s">
        <v>79</v>
      </c>
      <c r="G46" s="136" t="str">
        <f>VLOOKUP(A46,Plano_V3!$A$26:$G$592,7,0)</f>
        <v>1. Concluído</v>
      </c>
      <c r="H46" s="136" t="s">
        <v>614</v>
      </c>
      <c r="I46" s="143"/>
      <c r="J46" s="153" t="str">
        <f>IF(VLOOKUP(A46,'Aux - pivots1'!$A:$E,3,0)=0, "",VLOOKUP(A46,'Aux - pivots1'!$A:$E,3,0))</f>
        <v/>
      </c>
      <c r="K46" s="153" t="str">
        <f>IF(VLOOKUP(A46,'Aux - pivots1'!$A:$E,4,0)=0, "",VLOOKUP(A46,'Aux - pivots1'!$A:$E,4,0))</f>
        <v/>
      </c>
      <c r="L46" s="153" t="str">
        <f>IF(VLOOKUP(A46,'Aux - pivots1'!$A:$E,5,0)=0, "",VLOOKUP(A46,'Aux - pivots1'!$A:$E,5,0))</f>
        <v/>
      </c>
      <c r="M46" s="209"/>
      <c r="N46" s="209"/>
    </row>
    <row r="47" spans="1:14" ht="16.2" hidden="1" customHeight="1" x14ac:dyDescent="0.4">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614</v>
      </c>
      <c r="I47" s="143"/>
      <c r="J47" s="153" t="str">
        <f>IF(VLOOKUP(A47,'Aux - pivots1'!$A:$E,3,0)=0, "",VLOOKUP(A47,'Aux - pivots1'!$A:$E,3,0))</f>
        <v/>
      </c>
      <c r="K47" s="153" t="str">
        <f>IF(VLOOKUP(A47,'Aux - pivots1'!$A:$E,4,0)=0, "",VLOOKUP(A47,'Aux - pivots1'!$A:$E,4,0))</f>
        <v/>
      </c>
      <c r="L47" s="153" t="str">
        <f>IF(VLOOKUP(A47,'Aux - pivots1'!$A:$E,5,0)=0, "",VLOOKUP(A47,'Aux - pivots1'!$A:$E,5,0))</f>
        <v/>
      </c>
      <c r="M47" s="209"/>
      <c r="N47" s="209"/>
    </row>
    <row r="48" spans="1:14" ht="16.2" hidden="1" customHeight="1" x14ac:dyDescent="0.4">
      <c r="A48" s="30" t="str">
        <f t="shared" si="0"/>
        <v>RESPONSIBILITY_PROCESS_RELPRODUCT_ID</v>
      </c>
      <c r="B48" s="142" t="s">
        <v>26</v>
      </c>
      <c r="C48" s="138" t="s">
        <v>54</v>
      </c>
      <c r="D48" s="134" t="s">
        <v>40</v>
      </c>
      <c r="E48" s="135" t="s">
        <v>74</v>
      </c>
      <c r="F48" s="134" t="s">
        <v>81</v>
      </c>
      <c r="G48" s="136" t="str">
        <f>VLOOKUP(A48,Plano_V3!$A$26:$G$592,7,0)</f>
        <v>1. Concluído</v>
      </c>
      <c r="H48" s="136" t="s">
        <v>614</v>
      </c>
      <c r="I48" s="143"/>
      <c r="J48" s="153" t="str">
        <f>IF(VLOOKUP(A48,'Aux - pivots1'!$A:$E,3,0)=0, "",VLOOKUP(A48,'Aux - pivots1'!$A:$E,3,0))</f>
        <v/>
      </c>
      <c r="K48" s="153" t="str">
        <f>IF(VLOOKUP(A48,'Aux - pivots1'!$A:$E,4,0)=0, "",VLOOKUP(A48,'Aux - pivots1'!$A:$E,4,0))</f>
        <v/>
      </c>
      <c r="L48" s="153" t="str">
        <f>IF(VLOOKUP(A48,'Aux - pivots1'!$A:$E,5,0)=0, "",VLOOKUP(A48,'Aux - pivots1'!$A:$E,5,0))</f>
        <v/>
      </c>
      <c r="M48" s="209"/>
      <c r="N48" s="209"/>
    </row>
    <row r="49" spans="1:14" ht="16.2" hidden="1" customHeight="1" x14ac:dyDescent="0.4">
      <c r="A49" s="30" t="str">
        <f t="shared" si="0"/>
        <v>RESPONSIBILITY_PROCESS_RELcod_sit</v>
      </c>
      <c r="B49" s="142" t="s">
        <v>26</v>
      </c>
      <c r="C49" s="138" t="s">
        <v>54</v>
      </c>
      <c r="D49" s="134" t="s">
        <v>40</v>
      </c>
      <c r="E49" s="135" t="s">
        <v>74</v>
      </c>
      <c r="F49" s="134" t="s">
        <v>82</v>
      </c>
      <c r="G49" s="136" t="str">
        <f>VLOOKUP(A49,Plano_V3!$A$26:$G$592,7,0)</f>
        <v>0. Cancelado</v>
      </c>
      <c r="H49" s="136" t="s">
        <v>613</v>
      </c>
      <c r="I49" s="143" t="s">
        <v>651</v>
      </c>
      <c r="J49" s="153" t="str">
        <f>IF(VLOOKUP(A49,'Aux - pivots1'!$A:$E,3,0)=0, "",VLOOKUP(A49,'Aux - pivots1'!$A:$E,3,0))</f>
        <v/>
      </c>
      <c r="K49" s="153" t="str">
        <f>IF(VLOOKUP(A49,'Aux - pivots1'!$A:$E,4,0)=0, "",VLOOKUP(A49,'Aux - pivots1'!$A:$E,4,0))</f>
        <v/>
      </c>
      <c r="L49" s="153" t="str">
        <f>IF(VLOOKUP(A49,'Aux - pivots1'!$A:$E,5,0)=0, "",VLOOKUP(A49,'Aux - pivots1'!$A:$E,5,0))</f>
        <v/>
      </c>
      <c r="M49" s="209"/>
      <c r="N49" s="209"/>
    </row>
    <row r="50" spans="1:14" ht="16.2" hidden="1" customHeight="1" x14ac:dyDescent="0.4">
      <c r="A50" s="30" t="str">
        <f t="shared" si="0"/>
        <v>RESPONSIBILITY_PROCESS_RELSUBPRODUCT_ID</v>
      </c>
      <c r="B50" s="142" t="s">
        <v>26</v>
      </c>
      <c r="C50" s="138" t="s">
        <v>54</v>
      </c>
      <c r="D50" s="134" t="s">
        <v>40</v>
      </c>
      <c r="E50" s="135" t="s">
        <v>74</v>
      </c>
      <c r="F50" s="134" t="s">
        <v>83</v>
      </c>
      <c r="G50" s="136" t="str">
        <f>VLOOKUP(A50,Plano_V3!$A$26:$G$592,7,0)</f>
        <v>1. Concluído</v>
      </c>
      <c r="H50" s="136" t="s">
        <v>614</v>
      </c>
      <c r="I50" s="143"/>
      <c r="J50" s="153" t="str">
        <f>IF(VLOOKUP(A50,'Aux - pivots1'!$A:$E,3,0)=0, "",VLOOKUP(A50,'Aux - pivots1'!$A:$E,3,0))</f>
        <v/>
      </c>
      <c r="K50" s="153" t="str">
        <f>IF(VLOOKUP(A50,'Aux - pivots1'!$A:$E,4,0)=0, "",VLOOKUP(A50,'Aux - pivots1'!$A:$E,4,0))</f>
        <v/>
      </c>
      <c r="L50" s="153" t="str">
        <f>IF(VLOOKUP(A50,'Aux - pivots1'!$A:$E,5,0)=0, "",VLOOKUP(A50,'Aux - pivots1'!$A:$E,5,0))</f>
        <v/>
      </c>
      <c r="M50" s="209"/>
      <c r="N50" s="209"/>
    </row>
    <row r="51" spans="1:14" ht="16.2" hidden="1" customHeight="1" x14ac:dyDescent="0.4">
      <c r="A51" s="30" t="str">
        <f t="shared" si="0"/>
        <v>RESPONSIBILITY_PROCESS_RELPROCESS_REFERENCE_CODE</v>
      </c>
      <c r="B51" s="142" t="s">
        <v>26</v>
      </c>
      <c r="C51" s="138" t="s">
        <v>54</v>
      </c>
      <c r="D51" s="134" t="s">
        <v>40</v>
      </c>
      <c r="E51" s="135" t="s">
        <v>74</v>
      </c>
      <c r="F51" s="134" t="s">
        <v>67</v>
      </c>
      <c r="G51" s="136" t="str">
        <f>VLOOKUP(A51,Plano_V3!$A$26:$G$592,7,0)</f>
        <v>1. Concluído</v>
      </c>
      <c r="H51" s="136" t="s">
        <v>614</v>
      </c>
      <c r="I51" s="143"/>
      <c r="J51" s="153" t="str">
        <f>IF(VLOOKUP(A51,'Aux - pivots1'!$A:$E,3,0)=0, "",VLOOKUP(A51,'Aux - pivots1'!$A:$E,3,0))</f>
        <v/>
      </c>
      <c r="K51" s="153" t="str">
        <f>IF(VLOOKUP(A51,'Aux - pivots1'!$A:$E,4,0)=0, "",VLOOKUP(A51,'Aux - pivots1'!$A:$E,4,0))</f>
        <v/>
      </c>
      <c r="L51" s="153" t="str">
        <f>IF(VLOOKUP(A51,'Aux - pivots1'!$A:$E,5,0)=0, "",VLOOKUP(A51,'Aux - pivots1'!$A:$E,5,0))</f>
        <v/>
      </c>
      <c r="M51" s="209"/>
      <c r="N51" s="209"/>
    </row>
    <row r="52" spans="1:14" ht="16.2" hidden="1" customHeight="1" x14ac:dyDescent="0.4">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614</v>
      </c>
      <c r="I52" s="143"/>
      <c r="J52" s="153" t="str">
        <f>IF(VLOOKUP(A52,'Aux - pivots1'!$A:$E,3,0)=0, "",VLOOKUP(A52,'Aux - pivots1'!$A:$E,3,0))</f>
        <v/>
      </c>
      <c r="K52" s="153" t="str">
        <f>IF(VLOOKUP(A52,'Aux - pivots1'!$A:$E,4,0)=0, "",VLOOKUP(A52,'Aux - pivots1'!$A:$E,4,0))</f>
        <v/>
      </c>
      <c r="L52" s="153" t="str">
        <f>IF(VLOOKUP(A52,'Aux - pivots1'!$A:$E,5,0)=0, "",VLOOKUP(A52,'Aux - pivots1'!$A:$E,5,0))</f>
        <v/>
      </c>
      <c r="M52" s="209"/>
      <c r="N52" s="209"/>
    </row>
    <row r="53" spans="1:14" ht="16.2" hidden="1" customHeight="1" x14ac:dyDescent="0.4">
      <c r="A53" s="30" t="str">
        <f t="shared" si="0"/>
        <v>RESPONSIBILITY_PROCESS_RELPROCESS_START_DATE</v>
      </c>
      <c r="B53" s="142" t="s">
        <v>26</v>
      </c>
      <c r="C53" s="138" t="s">
        <v>54</v>
      </c>
      <c r="D53" s="134" t="s">
        <v>40</v>
      </c>
      <c r="E53" s="135" t="s">
        <v>74</v>
      </c>
      <c r="F53" s="134" t="s">
        <v>68</v>
      </c>
      <c r="G53" s="136" t="str">
        <f>VLOOKUP(A53,Plano_V3!$A$26:$G$592,7,0)</f>
        <v>1. Concluído</v>
      </c>
      <c r="H53" s="136" t="s">
        <v>614</v>
      </c>
      <c r="I53" s="143"/>
      <c r="J53" s="153" t="str">
        <f>IF(VLOOKUP(A53,'Aux - pivots1'!$A:$E,3,0)=0, "",VLOOKUP(A53,'Aux - pivots1'!$A:$E,3,0))</f>
        <v/>
      </c>
      <c r="K53" s="153" t="str">
        <f>IF(VLOOKUP(A53,'Aux - pivots1'!$A:$E,4,0)=0, "",VLOOKUP(A53,'Aux - pivots1'!$A:$E,4,0))</f>
        <v/>
      </c>
      <c r="L53" s="153" t="str">
        <f>IF(VLOOKUP(A53,'Aux - pivots1'!$A:$E,5,0)=0, "",VLOOKUP(A53,'Aux - pivots1'!$A:$E,5,0))</f>
        <v/>
      </c>
      <c r="M53" s="209"/>
      <c r="N53" s="209"/>
    </row>
    <row r="54" spans="1:14" ht="16.2" hidden="1" customHeight="1" x14ac:dyDescent="0.4">
      <c r="A54" s="30" t="str">
        <f t="shared" si="0"/>
        <v>RESPONSIBILITY_PROCESS_RELPROCESS_DUE_DATE</v>
      </c>
      <c r="B54" s="142" t="s">
        <v>26</v>
      </c>
      <c r="C54" s="138" t="s">
        <v>54</v>
      </c>
      <c r="D54" s="134" t="s">
        <v>40</v>
      </c>
      <c r="E54" s="135" t="s">
        <v>74</v>
      </c>
      <c r="F54" s="134" t="s">
        <v>69</v>
      </c>
      <c r="G54" s="136" t="str">
        <f>VLOOKUP(A54,Plano_V3!$A$26:$G$592,7,0)</f>
        <v>1. Concluído</v>
      </c>
      <c r="H54" s="136" t="s">
        <v>614</v>
      </c>
      <c r="I54" s="143"/>
      <c r="J54" s="153" t="str">
        <f>IF(VLOOKUP(A54,'Aux - pivots1'!$A:$E,3,0)=0, "",VLOOKUP(A54,'Aux - pivots1'!$A:$E,3,0))</f>
        <v/>
      </c>
      <c r="K54" s="153" t="str">
        <f>IF(VLOOKUP(A54,'Aux - pivots1'!$A:$E,4,0)=0, "",VLOOKUP(A54,'Aux - pivots1'!$A:$E,4,0))</f>
        <v/>
      </c>
      <c r="L54" s="153" t="str">
        <f>IF(VLOOKUP(A54,'Aux - pivots1'!$A:$E,5,0)=0, "",VLOOKUP(A54,'Aux - pivots1'!$A:$E,5,0))</f>
        <v/>
      </c>
      <c r="M54" s="209"/>
      <c r="N54" s="209"/>
    </row>
    <row r="55" spans="1:14" ht="16.2" hidden="1" customHeight="1" x14ac:dyDescent="0.4">
      <c r="A55" s="30" t="str">
        <f t="shared" si="0"/>
        <v>RESPONSIBILITY_PROCESS_RELidetgar</v>
      </c>
      <c r="B55" s="142" t="s">
        <v>26</v>
      </c>
      <c r="C55" s="138" t="s">
        <v>54</v>
      </c>
      <c r="D55" s="134" t="s">
        <v>40</v>
      </c>
      <c r="E55" s="135" t="s">
        <v>74</v>
      </c>
      <c r="F55" s="134" t="s">
        <v>85</v>
      </c>
      <c r="G55" s="136" t="str">
        <f>VLOOKUP(A55,Plano_V3!$A$26:$G$592,7,0)</f>
        <v>0. Cancelado</v>
      </c>
      <c r="H55" s="136" t="s">
        <v>613</v>
      </c>
      <c r="I55" s="143" t="s">
        <v>651</v>
      </c>
      <c r="J55" s="153" t="str">
        <f>IF(VLOOKUP(A55,'Aux - pivots1'!$A:$E,3,0)=0, "",VLOOKUP(A55,'Aux - pivots1'!$A:$E,3,0))</f>
        <v/>
      </c>
      <c r="K55" s="153" t="str">
        <f>IF(VLOOKUP(A55,'Aux - pivots1'!$A:$E,4,0)=0, "",VLOOKUP(A55,'Aux - pivots1'!$A:$E,4,0))</f>
        <v/>
      </c>
      <c r="L55" s="153" t="str">
        <f>IF(VLOOKUP(A55,'Aux - pivots1'!$A:$E,5,0)=0, "",VLOOKUP(A55,'Aux - pivots1'!$A:$E,5,0))</f>
        <v/>
      </c>
      <c r="M55" s="209"/>
      <c r="N55" s="209"/>
    </row>
    <row r="56" spans="1:14" ht="16.2" hidden="1" customHeight="1" x14ac:dyDescent="0.4">
      <c r="A56" s="30" t="str">
        <f t="shared" si="0"/>
        <v>RESPONSIBILITY_PROCESS_RELnum_prop</v>
      </c>
      <c r="B56" s="142" t="s">
        <v>26</v>
      </c>
      <c r="C56" s="138" t="s">
        <v>54</v>
      </c>
      <c r="D56" s="134" t="s">
        <v>40</v>
      </c>
      <c r="E56" s="135" t="s">
        <v>74</v>
      </c>
      <c r="F56" s="134" t="s">
        <v>86</v>
      </c>
      <c r="G56" s="136" t="str">
        <f>VLOOKUP(A56,Plano_V3!$A$26:$G$592,7,0)</f>
        <v>0. Cancelado</v>
      </c>
      <c r="H56" s="136" t="s">
        <v>613</v>
      </c>
      <c r="I56" s="143" t="s">
        <v>651</v>
      </c>
      <c r="J56" s="153" t="str">
        <f>IF(VLOOKUP(A56,'Aux - pivots1'!$A:$E,3,0)=0, "",VLOOKUP(A56,'Aux - pivots1'!$A:$E,3,0))</f>
        <v/>
      </c>
      <c r="K56" s="153" t="str">
        <f>IF(VLOOKUP(A56,'Aux - pivots1'!$A:$E,4,0)=0, "",VLOOKUP(A56,'Aux - pivots1'!$A:$E,4,0))</f>
        <v/>
      </c>
      <c r="L56" s="153" t="str">
        <f>IF(VLOOKUP(A56,'Aux - pivots1'!$A:$E,5,0)=0, "",VLOOKUP(A56,'Aux - pivots1'!$A:$E,5,0))</f>
        <v/>
      </c>
      <c r="M56" s="209"/>
      <c r="N56" s="209"/>
    </row>
    <row r="57" spans="1:14" ht="16.2" hidden="1" customHeight="1" x14ac:dyDescent="0.4">
      <c r="A57" s="30" t="str">
        <f t="shared" si="0"/>
        <v>RESPONSIBILITY_PROCESS_RELSOURCE_CODE</v>
      </c>
      <c r="B57" s="142" t="s">
        <v>26</v>
      </c>
      <c r="C57" s="138" t="s">
        <v>54</v>
      </c>
      <c r="D57" s="134" t="s">
        <v>40</v>
      </c>
      <c r="E57" s="135" t="s">
        <v>74</v>
      </c>
      <c r="F57" s="134" t="s">
        <v>87</v>
      </c>
      <c r="G57" s="136" t="str">
        <f>VLOOKUP(A57,Plano_V3!$A$26:$G$592,7,0)</f>
        <v>1. Concluído</v>
      </c>
      <c r="H57" s="136" t="s">
        <v>614</v>
      </c>
      <c r="I57" s="143"/>
      <c r="J57" s="153" t="str">
        <f>IF(VLOOKUP(A57,'Aux - pivots1'!$A:$E,3,0)=0, "",VLOOKUP(A57,'Aux - pivots1'!$A:$E,3,0))</f>
        <v/>
      </c>
      <c r="K57" s="153" t="str">
        <f>IF(VLOOKUP(A57,'Aux - pivots1'!$A:$E,4,0)=0, "",VLOOKUP(A57,'Aux - pivots1'!$A:$E,4,0))</f>
        <v/>
      </c>
      <c r="L57" s="153" t="str">
        <f>IF(VLOOKUP(A57,'Aux - pivots1'!$A:$E,5,0)=0, "",VLOOKUP(A57,'Aux - pivots1'!$A:$E,5,0))</f>
        <v/>
      </c>
      <c r="M57" s="209"/>
      <c r="N57" s="209"/>
    </row>
    <row r="58" spans="1:14" ht="16.2" hidden="1" customHeight="1" x14ac:dyDescent="0.4">
      <c r="A58" s="30" t="str">
        <f t="shared" si="0"/>
        <v>RESPONSIBILITY_PROCESS_RELDATA_DATE_PART</v>
      </c>
      <c r="B58" s="142" t="s">
        <v>26</v>
      </c>
      <c r="C58" s="138" t="s">
        <v>54</v>
      </c>
      <c r="D58" s="134" t="s">
        <v>40</v>
      </c>
      <c r="E58" s="135" t="s">
        <v>74</v>
      </c>
      <c r="F58" s="134" t="s">
        <v>73</v>
      </c>
      <c r="G58" s="136" t="str">
        <f>VLOOKUP(A58,Plano_V3!$A$26:$G$592,7,0)</f>
        <v>1. Concluído</v>
      </c>
      <c r="H58" s="136" t="s">
        <v>614</v>
      </c>
      <c r="I58" s="143"/>
      <c r="J58" s="153" t="str">
        <f>IF(VLOOKUP(A58,'Aux - pivots1'!$A:$E,3,0)=0, "",VLOOKUP(A58,'Aux - pivots1'!$A:$E,3,0))</f>
        <v/>
      </c>
      <c r="K58" s="153" t="str">
        <f>IF(VLOOKUP(A58,'Aux - pivots1'!$A:$E,4,0)=0, "",VLOOKUP(A58,'Aux - pivots1'!$A:$E,4,0))</f>
        <v/>
      </c>
      <c r="L58" s="153" t="str">
        <f>IF(VLOOKUP(A58,'Aux - pivots1'!$A:$E,5,0)=0, "",VLOOKUP(A58,'Aux - pivots1'!$A:$E,5,0))</f>
        <v/>
      </c>
      <c r="M58" s="209"/>
      <c r="N58" s="209"/>
    </row>
    <row r="59" spans="1:14" ht="16.2" hidden="1" customHeight="1" x14ac:dyDescent="0.4">
      <c r="A59" s="30" t="str">
        <f t="shared" si="0"/>
        <v>PROCESS_PROPERTY_RELn.a.</v>
      </c>
      <c r="B59" s="142" t="s">
        <v>26</v>
      </c>
      <c r="C59" s="138" t="s">
        <v>54</v>
      </c>
      <c r="D59" s="134" t="s">
        <v>36</v>
      </c>
      <c r="E59" s="135" t="s">
        <v>88</v>
      </c>
      <c r="F59" s="134" t="s">
        <v>38</v>
      </c>
      <c r="G59" s="136" t="str">
        <f>VLOOKUP(A59,Plano_V3!$A$26:$G$592,7,0)</f>
        <v>1. Concluído</v>
      </c>
      <c r="H59" s="136" t="s">
        <v>614</v>
      </c>
      <c r="I59" s="143"/>
      <c r="J59" s="153" t="str">
        <f>IF(VLOOKUP(A59,'Aux - pivots1'!$A:$E,3,0)=0, "",VLOOKUP(A59,'Aux - pivots1'!$A:$E,3,0))</f>
        <v/>
      </c>
      <c r="K59" s="153" t="str">
        <f>IF(VLOOKUP(A59,'Aux - pivots1'!$A:$E,4,0)=0, "",VLOOKUP(A59,'Aux - pivots1'!$A:$E,4,0))</f>
        <v/>
      </c>
      <c r="L59" s="153" t="str">
        <f>IF(VLOOKUP(A59,'Aux - pivots1'!$A:$E,5,0)=0, "",VLOOKUP(A59,'Aux - pivots1'!$A:$E,5,0))</f>
        <v/>
      </c>
      <c r="M59" s="209"/>
      <c r="N59" s="209"/>
    </row>
    <row r="60" spans="1:14" ht="16.2" hidden="1" customHeight="1" x14ac:dyDescent="0.4">
      <c r="A60" s="30" t="str">
        <f t="shared" si="0"/>
        <v>PROCESS_PROPERTY_RELPROPERTY_BANK_ID</v>
      </c>
      <c r="B60" s="142" t="s">
        <v>26</v>
      </c>
      <c r="C60" s="138" t="s">
        <v>54</v>
      </c>
      <c r="D60" s="134" t="s">
        <v>40</v>
      </c>
      <c r="E60" s="135" t="s">
        <v>88</v>
      </c>
      <c r="F60" s="134" t="s">
        <v>41</v>
      </c>
      <c r="G60" s="136" t="str">
        <f>VLOOKUP(A60,Plano_V3!$A$26:$G$592,7,0)</f>
        <v>1. Concluído</v>
      </c>
      <c r="H60" s="136" t="s">
        <v>614</v>
      </c>
      <c r="I60" s="154"/>
      <c r="J60" s="153" t="str">
        <f>IF(VLOOKUP(A60,'Aux - pivots1'!$A:$E,3,0)=0, "",VLOOKUP(A60,'Aux - pivots1'!$A:$E,3,0))</f>
        <v/>
      </c>
      <c r="K60" s="153" t="str">
        <f>IF(VLOOKUP(A60,'Aux - pivots1'!$A:$E,4,0)=0, "",VLOOKUP(A60,'Aux - pivots1'!$A:$E,4,0))</f>
        <v/>
      </c>
      <c r="L60" s="153" t="str">
        <f>IF(VLOOKUP(A60,'Aux - pivots1'!$A:$E,5,0)=0, "",VLOOKUP(A60,'Aux - pivots1'!$A:$E,5,0))</f>
        <v/>
      </c>
      <c r="M60" s="209"/>
      <c r="N60" s="209"/>
    </row>
    <row r="61" spans="1:14" ht="16.2" hidden="1" customHeight="1" x14ac:dyDescent="0.4">
      <c r="A61" s="30" t="str">
        <f t="shared" si="0"/>
        <v>PROCESS_PROPERTY_RELPROCESS_BANK_ID</v>
      </c>
      <c r="B61" s="142" t="s">
        <v>26</v>
      </c>
      <c r="C61" s="138" t="s">
        <v>54</v>
      </c>
      <c r="D61" s="134" t="s">
        <v>40</v>
      </c>
      <c r="E61" s="135" t="s">
        <v>88</v>
      </c>
      <c r="F61" s="134" t="s">
        <v>57</v>
      </c>
      <c r="G61" s="136" t="str">
        <f>VLOOKUP(A61,Plano_V3!$A$26:$G$592,7,0)</f>
        <v>1. Concluído</v>
      </c>
      <c r="H61" s="136" t="s">
        <v>614</v>
      </c>
      <c r="I61" s="154" t="s">
        <v>650</v>
      </c>
      <c r="J61" s="153" t="str">
        <f>IF(VLOOKUP(A61,'Aux - pivots1'!$A:$E,3,0)=0, "",VLOOKUP(A61,'Aux - pivots1'!$A:$E,3,0))</f>
        <v/>
      </c>
      <c r="K61" s="153" t="str">
        <f>IF(VLOOKUP(A61,'Aux - pivots1'!$A:$E,4,0)=0, "",VLOOKUP(A61,'Aux - pivots1'!$A:$E,4,0))</f>
        <v/>
      </c>
      <c r="L61" s="153" t="str">
        <f>IF(VLOOKUP(A61,'Aux - pivots1'!$A:$E,5,0)=0, "",VLOOKUP(A61,'Aux - pivots1'!$A:$E,5,0))</f>
        <v/>
      </c>
      <c r="M61" s="209"/>
      <c r="N61" s="209"/>
    </row>
    <row r="62" spans="1:14" ht="16.2" hidden="1" customHeight="1" x14ac:dyDescent="0.4">
      <c r="A62" s="30" t="str">
        <f t="shared" si="0"/>
        <v>PROCESS_PROPERTY_RELPROPERTY_BRANCH_CODE</v>
      </c>
      <c r="B62" s="142" t="s">
        <v>26</v>
      </c>
      <c r="C62" s="138" t="s">
        <v>54</v>
      </c>
      <c r="D62" s="134" t="s">
        <v>40</v>
      </c>
      <c r="E62" s="135" t="s">
        <v>88</v>
      </c>
      <c r="F62" s="134" t="s">
        <v>43</v>
      </c>
      <c r="G62" s="136" t="str">
        <f>VLOOKUP(A62,Plano_V3!$A$26:$G$592,7,0)</f>
        <v>1. Concluído</v>
      </c>
      <c r="H62" s="136" t="s">
        <v>614</v>
      </c>
      <c r="I62" s="154" t="s">
        <v>650</v>
      </c>
      <c r="J62" s="153" t="str">
        <f>IF(VLOOKUP(A62,'Aux - pivots1'!$A:$E,3,0)=0, "",VLOOKUP(A62,'Aux - pivots1'!$A:$E,3,0))</f>
        <v/>
      </c>
      <c r="K62" s="153" t="str">
        <f>IF(VLOOKUP(A62,'Aux - pivots1'!$A:$E,4,0)=0, "",VLOOKUP(A62,'Aux - pivots1'!$A:$E,4,0))</f>
        <v/>
      </c>
      <c r="L62" s="153" t="str">
        <f>IF(VLOOKUP(A62,'Aux - pivots1'!$A:$E,5,0)=0, "",VLOOKUP(A62,'Aux - pivots1'!$A:$E,5,0))</f>
        <v/>
      </c>
      <c r="M62" s="209"/>
      <c r="N62" s="209"/>
    </row>
    <row r="63" spans="1:14" ht="16.2" hidden="1" customHeight="1" x14ac:dyDescent="0.4">
      <c r="A63" s="30" t="str">
        <f t="shared" si="0"/>
        <v>PROCESS_PROPERTY_RELPROCESS_BRANCH_CODE</v>
      </c>
      <c r="B63" s="142" t="s">
        <v>26</v>
      </c>
      <c r="C63" s="138" t="s">
        <v>54</v>
      </c>
      <c r="D63" s="134" t="s">
        <v>40</v>
      </c>
      <c r="E63" s="135" t="s">
        <v>88</v>
      </c>
      <c r="F63" s="134" t="s">
        <v>58</v>
      </c>
      <c r="G63" s="136" t="str">
        <f>VLOOKUP(A63,Plano_V3!$A$26:$G$592,7,0)</f>
        <v>1. Concluído</v>
      </c>
      <c r="H63" s="136" t="s">
        <v>614</v>
      </c>
      <c r="I63" s="154" t="s">
        <v>650</v>
      </c>
      <c r="J63" s="153" t="str">
        <f>IF(VLOOKUP(A63,'Aux - pivots1'!$A:$E,3,0)=0, "",VLOOKUP(A63,'Aux - pivots1'!$A:$E,3,0))</f>
        <v/>
      </c>
      <c r="K63" s="153" t="str">
        <f>IF(VLOOKUP(A63,'Aux - pivots1'!$A:$E,4,0)=0, "",VLOOKUP(A63,'Aux - pivots1'!$A:$E,4,0))</f>
        <v/>
      </c>
      <c r="L63" s="153" t="str">
        <f>IF(VLOOKUP(A63,'Aux - pivots1'!$A:$E,5,0)=0, "",VLOOKUP(A63,'Aux - pivots1'!$A:$E,5,0))</f>
        <v/>
      </c>
      <c r="M63" s="209"/>
      <c r="N63" s="209"/>
    </row>
    <row r="64" spans="1:14" ht="16.2" hidden="1" customHeight="1" x14ac:dyDescent="0.4">
      <c r="A64" s="30" t="str">
        <f t="shared" si="0"/>
        <v>PROCESS_PROPERTY_RELPROPERTY_CONTRACT_ID</v>
      </c>
      <c r="B64" s="142" t="s">
        <v>26</v>
      </c>
      <c r="C64" s="138" t="s">
        <v>54</v>
      </c>
      <c r="D64" s="134" t="s">
        <v>40</v>
      </c>
      <c r="E64" s="135" t="s">
        <v>88</v>
      </c>
      <c r="F64" s="134" t="s">
        <v>44</v>
      </c>
      <c r="G64" s="136" t="str">
        <f>VLOOKUP(A64,Plano_V3!$A$26:$G$592,7,0)</f>
        <v>1. Concluído</v>
      </c>
      <c r="H64" s="136" t="s">
        <v>614</v>
      </c>
      <c r="I64" s="154" t="s">
        <v>650</v>
      </c>
      <c r="J64" s="153" t="str">
        <f>IF(VLOOKUP(A64,'Aux - pivots1'!$A:$E,3,0)=0, "",VLOOKUP(A64,'Aux - pivots1'!$A:$E,3,0))</f>
        <v/>
      </c>
      <c r="K64" s="153" t="str">
        <f>IF(VLOOKUP(A64,'Aux - pivots1'!$A:$E,4,0)=0, "",VLOOKUP(A64,'Aux - pivots1'!$A:$E,4,0))</f>
        <v/>
      </c>
      <c r="L64" s="153" t="str">
        <f>IF(VLOOKUP(A64,'Aux - pivots1'!$A:$E,5,0)=0, "",VLOOKUP(A64,'Aux - pivots1'!$A:$E,5,0))</f>
        <v/>
      </c>
      <c r="M64" s="209"/>
      <c r="N64" s="209"/>
    </row>
    <row r="65" spans="1:14" ht="16.2" hidden="1" customHeight="1" x14ac:dyDescent="0.4">
      <c r="A65" s="30" t="str">
        <f t="shared" si="0"/>
        <v>PROCESS_PROPERTY_RELPROCESS_ACCOUNT_ID</v>
      </c>
      <c r="B65" s="142" t="s">
        <v>26</v>
      </c>
      <c r="C65" s="138" t="s">
        <v>54</v>
      </c>
      <c r="D65" s="134" t="s">
        <v>40</v>
      </c>
      <c r="E65" s="135" t="s">
        <v>88</v>
      </c>
      <c r="F65" s="134" t="s">
        <v>59</v>
      </c>
      <c r="G65" s="136" t="str">
        <f>VLOOKUP(A65,Plano_V3!$A$26:$G$592,7,0)</f>
        <v>1. Concluído</v>
      </c>
      <c r="H65" s="136" t="s">
        <v>614</v>
      </c>
      <c r="I65" s="154" t="s">
        <v>650</v>
      </c>
      <c r="J65" s="153" t="str">
        <f>IF(VLOOKUP(A65,'Aux - pivots1'!$A:$E,3,0)=0, "",VLOOKUP(A65,'Aux - pivots1'!$A:$E,3,0))</f>
        <v/>
      </c>
      <c r="K65" s="153" t="str">
        <f>IF(VLOOKUP(A65,'Aux - pivots1'!$A:$E,4,0)=0, "",VLOOKUP(A65,'Aux - pivots1'!$A:$E,4,0))</f>
        <v/>
      </c>
      <c r="L65" s="153" t="str">
        <f>IF(VLOOKUP(A65,'Aux - pivots1'!$A:$E,5,0)=0, "",VLOOKUP(A65,'Aux - pivots1'!$A:$E,5,0))</f>
        <v/>
      </c>
      <c r="M65" s="209"/>
      <c r="N65" s="209"/>
    </row>
    <row r="66" spans="1:14" ht="16.2" hidden="1" customHeight="1" x14ac:dyDescent="0.4">
      <c r="A66" s="30" t="str">
        <f t="shared" si="0"/>
        <v>PROCESS_PROPERTY_RELPROPERTY_REFERENCE_CODE</v>
      </c>
      <c r="B66" s="142" t="s">
        <v>26</v>
      </c>
      <c r="C66" s="138" t="s">
        <v>54</v>
      </c>
      <c r="D66" s="134" t="s">
        <v>40</v>
      </c>
      <c r="E66" s="135" t="s">
        <v>88</v>
      </c>
      <c r="F66" s="134" t="s">
        <v>45</v>
      </c>
      <c r="G66" s="136" t="str">
        <f>VLOOKUP(A66,Plano_V3!$A$26:$G$592,7,0)</f>
        <v>1. Concluído</v>
      </c>
      <c r="H66" s="136" t="s">
        <v>614</v>
      </c>
      <c r="I66" s="154"/>
      <c r="J66" s="153" t="str">
        <f>IF(VLOOKUP(A66,'Aux - pivots1'!$A:$E,3,0)=0, "",VLOOKUP(A66,'Aux - pivots1'!$A:$E,3,0))</f>
        <v/>
      </c>
      <c r="K66" s="153" t="str">
        <f>IF(VLOOKUP(A66,'Aux - pivots1'!$A:$E,4,0)=0, "",VLOOKUP(A66,'Aux - pivots1'!$A:$E,4,0))</f>
        <v/>
      </c>
      <c r="L66" s="153" t="str">
        <f>IF(VLOOKUP(A66,'Aux - pivots1'!$A:$E,5,0)=0, "",VLOOKUP(A66,'Aux - pivots1'!$A:$E,5,0))</f>
        <v/>
      </c>
      <c r="M66" s="209"/>
      <c r="N66" s="209"/>
    </row>
    <row r="67" spans="1:14" ht="16.2" hidden="1" customHeight="1" x14ac:dyDescent="0.4">
      <c r="A67" s="30" t="str">
        <f t="shared" si="0"/>
        <v>PROCESS_PROPERTY_RELPROCESS_REFERENCE_CODE</v>
      </c>
      <c r="B67" s="142" t="s">
        <v>26</v>
      </c>
      <c r="C67" s="138" t="s">
        <v>54</v>
      </c>
      <c r="D67" s="134" t="s">
        <v>40</v>
      </c>
      <c r="E67" s="135" t="s">
        <v>88</v>
      </c>
      <c r="F67" s="134" t="s">
        <v>67</v>
      </c>
      <c r="G67" s="136" t="str">
        <f>VLOOKUP(A67,Plano_V3!$A$26:$G$592,7,0)</f>
        <v>1. Concluído</v>
      </c>
      <c r="H67" s="136" t="s">
        <v>614</v>
      </c>
      <c r="I67" s="143"/>
      <c r="J67" s="153" t="str">
        <f>IF(VLOOKUP(A67,'Aux - pivots1'!$A:$E,3,0)=0, "",VLOOKUP(A67,'Aux - pivots1'!$A:$E,3,0))</f>
        <v/>
      </c>
      <c r="K67" s="153" t="str">
        <f>IF(VLOOKUP(A67,'Aux - pivots1'!$A:$E,4,0)=0, "",VLOOKUP(A67,'Aux - pivots1'!$A:$E,4,0))</f>
        <v/>
      </c>
      <c r="L67" s="153" t="str">
        <f>IF(VLOOKUP(A67,'Aux - pivots1'!$A:$E,5,0)=0, "",VLOOKUP(A67,'Aux - pivots1'!$A:$E,5,0))</f>
        <v/>
      </c>
      <c r="M67" s="209"/>
      <c r="N67" s="209"/>
    </row>
    <row r="68" spans="1:14" ht="16.2" hidden="1" customHeight="1" x14ac:dyDescent="0.4">
      <c r="A68" s="30" t="str">
        <f t="shared" si="0"/>
        <v>PROCESS_PROPERTY_RELdata_assc</v>
      </c>
      <c r="B68" s="142" t="s">
        <v>26</v>
      </c>
      <c r="C68" s="138" t="s">
        <v>54</v>
      </c>
      <c r="D68" s="134" t="s">
        <v>40</v>
      </c>
      <c r="E68" s="135" t="s">
        <v>88</v>
      </c>
      <c r="F68" s="134" t="s">
        <v>89</v>
      </c>
      <c r="G68" s="136" t="str">
        <f>VLOOKUP(A68,Plano_V3!$A$26:$G$592,7,0)</f>
        <v>0. Cancelado</v>
      </c>
      <c r="H68" s="136" t="s">
        <v>613</v>
      </c>
      <c r="I68" s="143" t="s">
        <v>651</v>
      </c>
      <c r="J68" s="153" t="str">
        <f>IF(VLOOKUP(A68,'Aux - pivots1'!$A:$E,3,0)=0, "",VLOOKUP(A68,'Aux - pivots1'!$A:$E,3,0))</f>
        <v/>
      </c>
      <c r="K68" s="153" t="str">
        <f>IF(VLOOKUP(A68,'Aux - pivots1'!$A:$E,4,0)=0, "",VLOOKUP(A68,'Aux - pivots1'!$A:$E,4,0))</f>
        <v/>
      </c>
      <c r="L68" s="153" t="str">
        <f>IF(VLOOKUP(A68,'Aux - pivots1'!$A:$E,5,0)=0, "",VLOOKUP(A68,'Aux - pivots1'!$A:$E,5,0))</f>
        <v/>
      </c>
      <c r="M68" s="209"/>
      <c r="N68" s="209"/>
    </row>
    <row r="69" spans="1:14" ht="16.2" hidden="1" customHeight="1" x14ac:dyDescent="0.4">
      <c r="A69" s="30" t="str">
        <f t="shared" si="0"/>
        <v>PROCESS_PROPERTY_RELSEIZED_PROPERTY_IND</v>
      </c>
      <c r="B69" s="142" t="s">
        <v>26</v>
      </c>
      <c r="C69" s="138" t="s">
        <v>54</v>
      </c>
      <c r="D69" s="134" t="s">
        <v>40</v>
      </c>
      <c r="E69" s="135" t="s">
        <v>88</v>
      </c>
      <c r="F69" s="134" t="s">
        <v>90</v>
      </c>
      <c r="G69" s="136" t="str">
        <f>VLOOKUP(A69,Plano_V3!$A$26:$G$592,7,0)</f>
        <v>1. Concluído</v>
      </c>
      <c r="H69" s="136" t="s">
        <v>614</v>
      </c>
      <c r="I69" s="154"/>
      <c r="J69" s="153" t="str">
        <f>IF(VLOOKUP(A69,'Aux - pivots1'!$A:$E,3,0)=0, "",VLOOKUP(A69,'Aux - pivots1'!$A:$E,3,0))</f>
        <v/>
      </c>
      <c r="K69" s="153" t="str">
        <f>IF(VLOOKUP(A69,'Aux - pivots1'!$A:$E,4,0)=0, "",VLOOKUP(A69,'Aux - pivots1'!$A:$E,4,0))</f>
        <v/>
      </c>
      <c r="L69" s="153" t="str">
        <f>IF(VLOOKUP(A69,'Aux - pivots1'!$A:$E,5,0)=0, "",VLOOKUP(A69,'Aux - pivots1'!$A:$E,5,0))</f>
        <v/>
      </c>
      <c r="M69" s="209"/>
      <c r="N69" s="209"/>
    </row>
    <row r="70" spans="1:14" ht="16.2" hidden="1" customHeight="1" x14ac:dyDescent="0.4">
      <c r="A70" s="30" t="str">
        <f t="shared" si="0"/>
        <v>PROCESS_PROPERTY_RELCOLLATERAL_PROPERTY_IND</v>
      </c>
      <c r="B70" s="142" t="s">
        <v>26</v>
      </c>
      <c r="C70" s="138" t="s">
        <v>54</v>
      </c>
      <c r="D70" s="134" t="s">
        <v>40</v>
      </c>
      <c r="E70" s="135" t="s">
        <v>88</v>
      </c>
      <c r="F70" s="134" t="s">
        <v>91</v>
      </c>
      <c r="G70" s="136" t="str">
        <f>VLOOKUP(A70,Plano_V3!$A$26:$G$592,7,0)</f>
        <v>1. Concluído</v>
      </c>
      <c r="H70" s="136" t="s">
        <v>614</v>
      </c>
      <c r="I70" s="154"/>
      <c r="J70" s="153" t="str">
        <f>IF(VLOOKUP(A70,'Aux - pivots1'!$A:$E,3,0)=0, "",VLOOKUP(A70,'Aux - pivots1'!$A:$E,3,0))</f>
        <v/>
      </c>
      <c r="K70" s="153" t="str">
        <f>IF(VLOOKUP(A70,'Aux - pivots1'!$A:$E,4,0)=0, "",VLOOKUP(A70,'Aux - pivots1'!$A:$E,4,0))</f>
        <v/>
      </c>
      <c r="L70" s="153" t="str">
        <f>IF(VLOOKUP(A70,'Aux - pivots1'!$A:$E,5,0)=0, "",VLOOKUP(A70,'Aux - pivots1'!$A:$E,5,0))</f>
        <v/>
      </c>
      <c r="M70" s="209"/>
      <c r="N70" s="209"/>
    </row>
    <row r="71" spans="1:14" ht="16.2" hidden="1" customHeight="1" x14ac:dyDescent="0.4">
      <c r="A71" s="30" t="str">
        <f t="shared" si="0"/>
        <v>PROCESS_PROPERTY_RELFINANCED_PROPERTY_IND</v>
      </c>
      <c r="B71" s="142" t="s">
        <v>26</v>
      </c>
      <c r="C71" s="138" t="s">
        <v>54</v>
      </c>
      <c r="D71" s="134" t="s">
        <v>40</v>
      </c>
      <c r="E71" s="135" t="s">
        <v>88</v>
      </c>
      <c r="F71" s="134" t="s">
        <v>92</v>
      </c>
      <c r="G71" s="136" t="str">
        <f>VLOOKUP(A71,Plano_V3!$A$26:$G$592,7,0)</f>
        <v>1. Concluído</v>
      </c>
      <c r="H71" s="136" t="s">
        <v>614</v>
      </c>
      <c r="I71" s="154"/>
      <c r="J71" s="153" t="str">
        <f>IF(VLOOKUP(A71,'Aux - pivots1'!$A:$E,3,0)=0, "",VLOOKUP(A71,'Aux - pivots1'!$A:$E,3,0))</f>
        <v/>
      </c>
      <c r="K71" s="153" t="str">
        <f>IF(VLOOKUP(A71,'Aux - pivots1'!$A:$E,4,0)=0, "",VLOOKUP(A71,'Aux - pivots1'!$A:$E,4,0))</f>
        <v/>
      </c>
      <c r="L71" s="153" t="str">
        <f>IF(VLOOKUP(A71,'Aux - pivots1'!$A:$E,5,0)=0, "",VLOOKUP(A71,'Aux - pivots1'!$A:$E,5,0))</f>
        <v/>
      </c>
      <c r="M71" s="209"/>
      <c r="N71" s="209"/>
    </row>
    <row r="72" spans="1:14" ht="16.2" hidden="1" customHeight="1" x14ac:dyDescent="0.4">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614</v>
      </c>
      <c r="I72" s="154"/>
      <c r="J72" s="153" t="str">
        <f>IF(VLOOKUP(A72,'Aux - pivots1'!$A:$E,3,0)=0, "",VLOOKUP(A72,'Aux - pivots1'!$A:$E,3,0))</f>
        <v/>
      </c>
      <c r="K72" s="153" t="str">
        <f>IF(VLOOKUP(A72,'Aux - pivots1'!$A:$E,4,0)=0, "",VLOOKUP(A72,'Aux - pivots1'!$A:$E,4,0))</f>
        <v/>
      </c>
      <c r="L72" s="153" t="str">
        <f>IF(VLOOKUP(A72,'Aux - pivots1'!$A:$E,5,0)=0, "",VLOOKUP(A72,'Aux - pivots1'!$A:$E,5,0))</f>
        <v/>
      </c>
      <c r="M72" s="209"/>
      <c r="N72" s="209"/>
    </row>
    <row r="73" spans="1:14" ht="16.2" hidden="1" customHeight="1" x14ac:dyDescent="0.4">
      <c r="A73" s="30" t="str">
        <f t="shared" si="1"/>
        <v>PROCESS_PROPERTY_RELSOURCE_CODE</v>
      </c>
      <c r="B73" s="142" t="s">
        <v>26</v>
      </c>
      <c r="C73" s="138" t="s">
        <v>54</v>
      </c>
      <c r="D73" s="134" t="s">
        <v>40</v>
      </c>
      <c r="E73" s="135" t="s">
        <v>88</v>
      </c>
      <c r="F73" s="134" t="s">
        <v>87</v>
      </c>
      <c r="G73" s="136" t="str">
        <f>VLOOKUP(A73,Plano_V3!$A$26:$G$592,7,0)</f>
        <v>1. Concluído</v>
      </c>
      <c r="H73" s="136" t="s">
        <v>614</v>
      </c>
      <c r="I73" s="154"/>
      <c r="J73" s="153" t="str">
        <f>IF(VLOOKUP(A73,'Aux - pivots1'!$A:$E,3,0)=0, "",VLOOKUP(A73,'Aux - pivots1'!$A:$E,3,0))</f>
        <v/>
      </c>
      <c r="K73" s="153" t="str">
        <f>IF(VLOOKUP(A73,'Aux - pivots1'!$A:$E,4,0)=0, "",VLOOKUP(A73,'Aux - pivots1'!$A:$E,4,0))</f>
        <v/>
      </c>
      <c r="L73" s="153" t="str">
        <f>IF(VLOOKUP(A73,'Aux - pivots1'!$A:$E,5,0)=0, "",VLOOKUP(A73,'Aux - pivots1'!$A:$E,5,0))</f>
        <v/>
      </c>
      <c r="M73" s="209"/>
      <c r="N73" s="209"/>
    </row>
    <row r="74" spans="1:14" ht="16.2" hidden="1" customHeight="1" x14ac:dyDescent="0.4">
      <c r="A74" s="30" t="str">
        <f t="shared" si="1"/>
        <v>PROCESS_PROPERTY_RELDATA_DATE_PART</v>
      </c>
      <c r="B74" s="142" t="s">
        <v>26</v>
      </c>
      <c r="C74" s="138" t="s">
        <v>54</v>
      </c>
      <c r="D74" s="134" t="s">
        <v>40</v>
      </c>
      <c r="E74" s="135" t="s">
        <v>88</v>
      </c>
      <c r="F74" s="134" t="s">
        <v>73</v>
      </c>
      <c r="G74" s="136" t="str">
        <f>VLOOKUP(A74,Plano_V3!$A$26:$G$592,7,0)</f>
        <v>1. Concluído</v>
      </c>
      <c r="H74" s="136" t="s">
        <v>614</v>
      </c>
      <c r="I74" s="154"/>
      <c r="J74" s="153" t="str">
        <f>IF(VLOOKUP(A74,'Aux - pivots1'!$A:$E,3,0)=0, "",VLOOKUP(A74,'Aux - pivots1'!$A:$E,3,0))</f>
        <v/>
      </c>
      <c r="K74" s="153" t="str">
        <f>IF(VLOOKUP(A74,'Aux - pivots1'!$A:$E,4,0)=0, "",VLOOKUP(A74,'Aux - pivots1'!$A:$E,4,0))</f>
        <v/>
      </c>
      <c r="L74" s="153" t="str">
        <f>IF(VLOOKUP(A74,'Aux - pivots1'!$A:$E,5,0)=0, "",VLOOKUP(A74,'Aux - pivots1'!$A:$E,5,0))</f>
        <v/>
      </c>
      <c r="M74" s="209"/>
      <c r="N74" s="209"/>
    </row>
    <row r="75" spans="1:14" ht="16.2" hidden="1" customHeight="1" x14ac:dyDescent="0.4">
      <c r="A75" s="30" t="str">
        <f t="shared" si="1"/>
        <v>PROPERTYn.a.</v>
      </c>
      <c r="B75" s="142" t="s">
        <v>26</v>
      </c>
      <c r="C75" s="138" t="s">
        <v>54</v>
      </c>
      <c r="D75" s="134" t="s">
        <v>36</v>
      </c>
      <c r="E75" s="135" t="s">
        <v>94</v>
      </c>
      <c r="F75" s="134" t="s">
        <v>38</v>
      </c>
      <c r="G75" s="136" t="str">
        <f>VLOOKUP(A75,Plano_V3!$A$26:$G$592,7,0)</f>
        <v>1. Concluído</v>
      </c>
      <c r="H75" s="136" t="s">
        <v>614</v>
      </c>
      <c r="I75" s="143"/>
      <c r="J75" s="153" t="str">
        <f>IF(VLOOKUP(A75,'Aux - pivots1'!$A:$E,3,0)=0, "",VLOOKUP(A75,'Aux - pivots1'!$A:$E,3,0))</f>
        <v/>
      </c>
      <c r="K75" s="153" t="str">
        <f>IF(VLOOKUP(A75,'Aux - pivots1'!$A:$E,4,0)=0, "",VLOOKUP(A75,'Aux - pivots1'!$A:$E,4,0))</f>
        <v/>
      </c>
      <c r="L75" s="153" t="str">
        <f>IF(VLOOKUP(A75,'Aux - pivots1'!$A:$E,5,0)=0, "",VLOOKUP(A75,'Aux - pivots1'!$A:$E,5,0))</f>
        <v/>
      </c>
      <c r="M75" s="209"/>
      <c r="N75" s="209"/>
    </row>
    <row r="76" spans="1:14" ht="16.2" hidden="1" customHeight="1" x14ac:dyDescent="0.4">
      <c r="A76" s="30" t="str">
        <f t="shared" si="1"/>
        <v>PROPERTYCONSTRUCTION_YEAR</v>
      </c>
      <c r="B76" s="142" t="s">
        <v>26</v>
      </c>
      <c r="C76" s="138" t="s">
        <v>54</v>
      </c>
      <c r="D76" s="134" t="s">
        <v>40</v>
      </c>
      <c r="E76" s="135" t="s">
        <v>94</v>
      </c>
      <c r="F76" s="134" t="s">
        <v>96</v>
      </c>
      <c r="G76" s="136" t="str">
        <f>VLOOKUP(A76,Plano_V3!$A$26:$G$592,7,0)</f>
        <v>1. Concluído</v>
      </c>
      <c r="H76" s="136" t="s">
        <v>614</v>
      </c>
      <c r="I76" s="143"/>
      <c r="J76" s="153" t="str">
        <f>IF(VLOOKUP(A76,'Aux - pivots1'!$A:$E,3,0)=0, "",VLOOKUP(A76,'Aux - pivots1'!$A:$E,3,0))</f>
        <v/>
      </c>
      <c r="K76" s="153" t="str">
        <f>IF(VLOOKUP(A76,'Aux - pivots1'!$A:$E,4,0)=0, "",VLOOKUP(A76,'Aux - pivots1'!$A:$E,4,0))</f>
        <v/>
      </c>
      <c r="L76" s="153" t="str">
        <f>IF(VLOOKUP(A76,'Aux - pivots1'!$A:$E,5,0)=0, "",VLOOKUP(A76,'Aux - pivots1'!$A:$E,5,0))</f>
        <v/>
      </c>
      <c r="M76" s="209"/>
      <c r="N76" s="209"/>
    </row>
    <row r="77" spans="1:14" ht="16.2" hidden="1" customHeight="1" x14ac:dyDescent="0.4">
      <c r="A77" s="30" t="str">
        <f t="shared" si="1"/>
        <v>PROPERTYNET_FLOOR_AREA</v>
      </c>
      <c r="B77" s="142" t="s">
        <v>26</v>
      </c>
      <c r="C77" s="138" t="s">
        <v>54</v>
      </c>
      <c r="D77" s="134" t="s">
        <v>40</v>
      </c>
      <c r="E77" s="135" t="s">
        <v>94</v>
      </c>
      <c r="F77" s="134" t="s">
        <v>97</v>
      </c>
      <c r="G77" s="136" t="str">
        <f>VLOOKUP(A77,Plano_V3!$A$26:$G$592,7,0)</f>
        <v>1. Concluído</v>
      </c>
      <c r="H77" s="136" t="s">
        <v>614</v>
      </c>
      <c r="I77" s="143"/>
      <c r="J77" s="153" t="str">
        <f>IF(VLOOKUP(A77,'Aux - pivots1'!$A:$E,3,0)=0, "",VLOOKUP(A77,'Aux - pivots1'!$A:$E,3,0))</f>
        <v/>
      </c>
      <c r="K77" s="153" t="str">
        <f>IF(VLOOKUP(A77,'Aux - pivots1'!$A:$E,4,0)=0, "",VLOOKUP(A77,'Aux - pivots1'!$A:$E,4,0))</f>
        <v/>
      </c>
      <c r="L77" s="153" t="str">
        <f>IF(VLOOKUP(A77,'Aux - pivots1'!$A:$E,5,0)=0, "",VLOOKUP(A77,'Aux - pivots1'!$A:$E,5,0))</f>
        <v/>
      </c>
      <c r="M77" s="209"/>
      <c r="N77" s="209"/>
    </row>
    <row r="78" spans="1:14" ht="16.2" hidden="1" customHeight="1" x14ac:dyDescent="0.4">
      <c r="A78" s="30" t="str">
        <f t="shared" si="1"/>
        <v>PROPERTYPROPERTY_BANK_ID</v>
      </c>
      <c r="B78" s="142" t="s">
        <v>26</v>
      </c>
      <c r="C78" s="138" t="s">
        <v>54</v>
      </c>
      <c r="D78" s="134" t="s">
        <v>40</v>
      </c>
      <c r="E78" s="135" t="s">
        <v>94</v>
      </c>
      <c r="F78" s="134" t="s">
        <v>41</v>
      </c>
      <c r="G78" s="136" t="str">
        <f>VLOOKUP(A78,Plano_V3!$A$26:$G$592,7,0)</f>
        <v>1. Concluído</v>
      </c>
      <c r="H78" s="136" t="s">
        <v>614</v>
      </c>
      <c r="I78" s="154"/>
      <c r="J78" s="153" t="str">
        <f>IF(VLOOKUP(A78,'Aux - pivots1'!$A:$E,3,0)=0, "",VLOOKUP(A78,'Aux - pivots1'!$A:$E,3,0))</f>
        <v/>
      </c>
      <c r="K78" s="153" t="str">
        <f>IF(VLOOKUP(A78,'Aux - pivots1'!$A:$E,4,0)=0, "",VLOOKUP(A78,'Aux - pivots1'!$A:$E,4,0))</f>
        <v/>
      </c>
      <c r="L78" s="153" t="str">
        <f>IF(VLOOKUP(A78,'Aux - pivots1'!$A:$E,5,0)=0, "",VLOOKUP(A78,'Aux - pivots1'!$A:$E,5,0))</f>
        <v/>
      </c>
      <c r="M78" s="209"/>
      <c r="N78" s="209"/>
    </row>
    <row r="79" spans="1:14" ht="16.2" hidden="1" customHeight="1" x14ac:dyDescent="0.4">
      <c r="A79" s="30" t="str">
        <f t="shared" si="1"/>
        <v>PROPERTYPROPERTY_BRANCH_CODE</v>
      </c>
      <c r="B79" s="142" t="s">
        <v>26</v>
      </c>
      <c r="C79" s="138" t="s">
        <v>54</v>
      </c>
      <c r="D79" s="134" t="s">
        <v>40</v>
      </c>
      <c r="E79" s="135" t="s">
        <v>94</v>
      </c>
      <c r="F79" s="134" t="s">
        <v>43</v>
      </c>
      <c r="G79" s="136" t="str">
        <f>VLOOKUP(A79,Plano_V3!$A$26:$G$592,7,0)</f>
        <v>1. Concluído</v>
      </c>
      <c r="H79" s="136" t="s">
        <v>614</v>
      </c>
      <c r="I79" s="154"/>
      <c r="J79" s="153" t="str">
        <f>IF(VLOOKUP(A79,'Aux - pivots1'!$A:$E,3,0)=0, "",VLOOKUP(A79,'Aux - pivots1'!$A:$E,3,0))</f>
        <v/>
      </c>
      <c r="K79" s="153" t="str">
        <f>IF(VLOOKUP(A79,'Aux - pivots1'!$A:$E,4,0)=0, "",VLOOKUP(A79,'Aux - pivots1'!$A:$E,4,0))</f>
        <v/>
      </c>
      <c r="L79" s="153" t="str">
        <f>IF(VLOOKUP(A79,'Aux - pivots1'!$A:$E,5,0)=0, "",VLOOKUP(A79,'Aux - pivots1'!$A:$E,5,0))</f>
        <v/>
      </c>
      <c r="M79" s="209"/>
      <c r="N79" s="209"/>
    </row>
    <row r="80" spans="1:14" ht="16.2" hidden="1" customHeight="1" x14ac:dyDescent="0.4">
      <c r="A80" s="30" t="str">
        <f t="shared" si="1"/>
        <v>PROPERTYPROPERTY_CONTRACT_ID</v>
      </c>
      <c r="B80" s="142" t="s">
        <v>26</v>
      </c>
      <c r="C80" s="138" t="s">
        <v>54</v>
      </c>
      <c r="D80" s="134" t="s">
        <v>40</v>
      </c>
      <c r="E80" s="135" t="s">
        <v>94</v>
      </c>
      <c r="F80" s="134" t="s">
        <v>44</v>
      </c>
      <c r="G80" s="136" t="str">
        <f>VLOOKUP(A80,Plano_V3!$A$26:$G$592,7,0)</f>
        <v>1. Concluído</v>
      </c>
      <c r="H80" s="136" t="s">
        <v>614</v>
      </c>
      <c r="I80" s="154"/>
      <c r="J80" s="153" t="str">
        <f>IF(VLOOKUP(A80,'Aux - pivots1'!$A:$E,3,0)=0, "",VLOOKUP(A80,'Aux - pivots1'!$A:$E,3,0))</f>
        <v/>
      </c>
      <c r="K80" s="153" t="str">
        <f>IF(VLOOKUP(A80,'Aux - pivots1'!$A:$E,4,0)=0, "",VLOOKUP(A80,'Aux - pivots1'!$A:$E,4,0))</f>
        <v/>
      </c>
      <c r="L80" s="153" t="str">
        <f>IF(VLOOKUP(A80,'Aux - pivots1'!$A:$E,5,0)=0, "",VLOOKUP(A80,'Aux - pivots1'!$A:$E,5,0))</f>
        <v/>
      </c>
      <c r="M80" s="209"/>
      <c r="N80" s="209"/>
    </row>
    <row r="81" spans="1:14" ht="16.2" hidden="1" customHeight="1" x14ac:dyDescent="0.4">
      <c r="A81" s="30" t="str">
        <f t="shared" si="1"/>
        <v>PROPERTYPROPERTY_REFERENCE_CODE</v>
      </c>
      <c r="B81" s="142" t="s">
        <v>26</v>
      </c>
      <c r="C81" s="138" t="s">
        <v>54</v>
      </c>
      <c r="D81" s="134" t="s">
        <v>40</v>
      </c>
      <c r="E81" s="135" t="s">
        <v>94</v>
      </c>
      <c r="F81" s="134" t="s">
        <v>45</v>
      </c>
      <c r="G81" s="136" t="str">
        <f>VLOOKUP(A81,Plano_V3!$A$26:$G$592,7,0)</f>
        <v>1. Concluído</v>
      </c>
      <c r="H81" s="136" t="s">
        <v>614</v>
      </c>
      <c r="I81" s="154"/>
      <c r="J81" s="153" t="str">
        <f>IF(VLOOKUP(A81,'Aux - pivots1'!$A:$E,3,0)=0, "",VLOOKUP(A81,'Aux - pivots1'!$A:$E,3,0))</f>
        <v/>
      </c>
      <c r="K81" s="153" t="str">
        <f>IF(VLOOKUP(A81,'Aux - pivots1'!$A:$E,4,0)=0, "",VLOOKUP(A81,'Aux - pivots1'!$A:$E,4,0))</f>
        <v/>
      </c>
      <c r="L81" s="153" t="str">
        <f>IF(VLOOKUP(A81,'Aux - pivots1'!$A:$E,5,0)=0, "",VLOOKUP(A81,'Aux - pivots1'!$A:$E,5,0))</f>
        <v/>
      </c>
      <c r="M81" s="209"/>
      <c r="N81" s="209"/>
    </row>
    <row r="82" spans="1:14" ht="16.2" hidden="1" customHeight="1" x14ac:dyDescent="0.4">
      <c r="A82" s="30" t="str">
        <f t="shared" si="1"/>
        <v>PROPERTYCADASTRAL_REGISTER_CODE</v>
      </c>
      <c r="B82" s="142" t="s">
        <v>26</v>
      </c>
      <c r="C82" s="138" t="s">
        <v>54</v>
      </c>
      <c r="D82" s="134" t="s">
        <v>40</v>
      </c>
      <c r="E82" s="135" t="s">
        <v>94</v>
      </c>
      <c r="F82" s="134" t="s">
        <v>98</v>
      </c>
      <c r="G82" s="136" t="str">
        <f>VLOOKUP(A82,Plano_V3!$A$26:$G$592,7,0)</f>
        <v>1. Concluído</v>
      </c>
      <c r="H82" s="136" t="s">
        <v>614</v>
      </c>
      <c r="I82" s="154"/>
      <c r="J82" s="153" t="str">
        <f>IF(VLOOKUP(A82,'Aux - pivots1'!$A:$E,3,0)=0, "",VLOOKUP(A82,'Aux - pivots1'!$A:$E,3,0))</f>
        <v/>
      </c>
      <c r="K82" s="153" t="str">
        <f>IF(VLOOKUP(A82,'Aux - pivots1'!$A:$E,4,0)=0, "",VLOOKUP(A82,'Aux - pivots1'!$A:$E,4,0))</f>
        <v/>
      </c>
      <c r="L82" s="153" t="str">
        <f>IF(VLOOKUP(A82,'Aux - pivots1'!$A:$E,5,0)=0, "",VLOOKUP(A82,'Aux - pivots1'!$A:$E,5,0))</f>
        <v/>
      </c>
      <c r="M82" s="209"/>
      <c r="N82" s="209"/>
    </row>
    <row r="83" spans="1:14" ht="16.2" hidden="1" customHeight="1" x14ac:dyDescent="0.4">
      <c r="A83" s="30" t="str">
        <f t="shared" si="1"/>
        <v>PROPERTYAPPRAISAL_CODE</v>
      </c>
      <c r="B83" s="142" t="s">
        <v>26</v>
      </c>
      <c r="C83" s="138" t="s">
        <v>54</v>
      </c>
      <c r="D83" s="134" t="s">
        <v>40</v>
      </c>
      <c r="E83" s="135" t="s">
        <v>94</v>
      </c>
      <c r="F83" s="134" t="s">
        <v>99</v>
      </c>
      <c r="G83" s="136" t="str">
        <f>VLOOKUP(A83,Plano_V3!$A$26:$G$592,7,0)</f>
        <v>1. Concluído</v>
      </c>
      <c r="H83" s="136" t="s">
        <v>614</v>
      </c>
      <c r="I83" s="154"/>
      <c r="J83" s="153" t="str">
        <f>IF(VLOOKUP(A83,'Aux - pivots1'!$A:$E,3,0)=0, "",VLOOKUP(A83,'Aux - pivots1'!$A:$E,3,0))</f>
        <v/>
      </c>
      <c r="K83" s="153" t="str">
        <f>IF(VLOOKUP(A83,'Aux - pivots1'!$A:$E,4,0)=0, "",VLOOKUP(A83,'Aux - pivots1'!$A:$E,4,0))</f>
        <v/>
      </c>
      <c r="L83" s="153" t="str">
        <f>IF(VLOOKUP(A83,'Aux - pivots1'!$A:$E,5,0)=0, "",VLOOKUP(A83,'Aux - pivots1'!$A:$E,5,0))</f>
        <v/>
      </c>
      <c r="M83" s="209"/>
      <c r="N83" s="209"/>
    </row>
    <row r="84" spans="1:14" ht="16.2" hidden="1" customHeight="1" x14ac:dyDescent="0.4">
      <c r="A84" s="30" t="str">
        <f t="shared" si="1"/>
        <v>PROPERTYcod_bem</v>
      </c>
      <c r="B84" s="142" t="s">
        <v>26</v>
      </c>
      <c r="C84" s="138" t="s">
        <v>54</v>
      </c>
      <c r="D84" s="134" t="s">
        <v>40</v>
      </c>
      <c r="E84" s="135" t="s">
        <v>94</v>
      </c>
      <c r="F84" s="134" t="s">
        <v>100</v>
      </c>
      <c r="G84" s="136" t="str">
        <f>VLOOKUP(A84,Plano_V3!$A$26:$G$592,7,0)</f>
        <v>0. Cancelado</v>
      </c>
      <c r="H84" s="136" t="s">
        <v>613</v>
      </c>
      <c r="I84" s="143" t="s">
        <v>651</v>
      </c>
      <c r="J84" s="153" t="str">
        <f>IF(VLOOKUP(A84,'Aux - pivots1'!$A:$E,3,0)=0, "",VLOOKUP(A84,'Aux - pivots1'!$A:$E,3,0))</f>
        <v/>
      </c>
      <c r="K84" s="153" t="str">
        <f>IF(VLOOKUP(A84,'Aux - pivots1'!$A:$E,4,0)=0, "",VLOOKUP(A84,'Aux - pivots1'!$A:$E,4,0))</f>
        <v/>
      </c>
      <c r="L84" s="153" t="str">
        <f>IF(VLOOKUP(A84,'Aux - pivots1'!$A:$E,5,0)=0, "",VLOOKUP(A84,'Aux - pivots1'!$A:$E,5,0))</f>
        <v/>
      </c>
      <c r="M84" s="209"/>
      <c r="N84" s="209"/>
    </row>
    <row r="85" spans="1:14" ht="16.2" hidden="1" customHeight="1" x14ac:dyDescent="0.4">
      <c r="A85" s="30" t="str">
        <f t="shared" si="1"/>
        <v>PROPERTYDISTRICT_MUNICIP_PARISH_CODE</v>
      </c>
      <c r="B85" s="142" t="s">
        <v>26</v>
      </c>
      <c r="C85" s="138" t="s">
        <v>54</v>
      </c>
      <c r="D85" s="134" t="s">
        <v>40</v>
      </c>
      <c r="E85" s="135" t="s">
        <v>94</v>
      </c>
      <c r="F85" s="134" t="s">
        <v>101</v>
      </c>
      <c r="G85" s="136" t="str">
        <f>VLOOKUP(A85,Plano_V3!$A$26:$G$592,7,0)</f>
        <v>1. Concluído</v>
      </c>
      <c r="H85" s="136" t="s">
        <v>614</v>
      </c>
      <c r="I85" s="154"/>
      <c r="J85" s="153" t="str">
        <f>IF(VLOOKUP(A85,'Aux - pivots1'!$A:$E,3,0)=0, "",VLOOKUP(A85,'Aux - pivots1'!$A:$E,3,0))</f>
        <v/>
      </c>
      <c r="K85" s="153" t="str">
        <f>IF(VLOOKUP(A85,'Aux - pivots1'!$A:$E,4,0)=0, "",VLOOKUP(A85,'Aux - pivots1'!$A:$E,4,0))</f>
        <v/>
      </c>
      <c r="L85" s="153" t="str">
        <f>IF(VLOOKUP(A85,'Aux - pivots1'!$A:$E,5,0)=0, "",VLOOKUP(A85,'Aux - pivots1'!$A:$E,5,0))</f>
        <v/>
      </c>
      <c r="M85" s="209"/>
      <c r="N85" s="209"/>
    </row>
    <row r="86" spans="1:14" ht="16.2" hidden="1" customHeight="1" x14ac:dyDescent="0.4">
      <c r="A86" s="30" t="str">
        <f t="shared" si="1"/>
        <v>PROPERTYPROPERTY_PURPOSE_CODE</v>
      </c>
      <c r="B86" s="142" t="s">
        <v>26</v>
      </c>
      <c r="C86" s="138" t="s">
        <v>54</v>
      </c>
      <c r="D86" s="134" t="s">
        <v>40</v>
      </c>
      <c r="E86" s="135" t="s">
        <v>94</v>
      </c>
      <c r="F86" s="134" t="s">
        <v>102</v>
      </c>
      <c r="G86" s="136" t="str">
        <f>VLOOKUP(A86,Plano_V3!$A$26:$G$592,7,0)</f>
        <v>1. Concluído</v>
      </c>
      <c r="H86" s="136" t="s">
        <v>614</v>
      </c>
      <c r="I86" s="154"/>
      <c r="J86" s="153" t="str">
        <f>IF(VLOOKUP(A86,'Aux - pivots1'!$A:$E,3,0)=0, "",VLOOKUP(A86,'Aux - pivots1'!$A:$E,3,0))</f>
        <v/>
      </c>
      <c r="K86" s="153" t="str">
        <f>IF(VLOOKUP(A86,'Aux - pivots1'!$A:$E,4,0)=0, "",VLOOKUP(A86,'Aux - pivots1'!$A:$E,4,0))</f>
        <v/>
      </c>
      <c r="L86" s="153" t="str">
        <f>IF(VLOOKUP(A86,'Aux - pivots1'!$A:$E,5,0)=0, "",VLOOKUP(A86,'Aux - pivots1'!$A:$E,5,0))</f>
        <v/>
      </c>
      <c r="M86" s="209"/>
      <c r="N86" s="209"/>
    </row>
    <row r="87" spans="1:14" ht="16.2" hidden="1" customHeight="1" x14ac:dyDescent="0.4">
      <c r="A87" s="30" t="str">
        <f t="shared" si="1"/>
        <v>PROPERTYPROPERTY_LIFETIME_CODE</v>
      </c>
      <c r="B87" s="142" t="s">
        <v>26</v>
      </c>
      <c r="C87" s="138" t="s">
        <v>54</v>
      </c>
      <c r="D87" s="134" t="s">
        <v>40</v>
      </c>
      <c r="E87" s="135" t="s">
        <v>94</v>
      </c>
      <c r="F87" s="134" t="s">
        <v>103</v>
      </c>
      <c r="G87" s="136" t="str">
        <f>VLOOKUP(A87,Plano_V3!$A$26:$G$592,7,0)</f>
        <v>1. Concluído</v>
      </c>
      <c r="H87" s="136" t="s">
        <v>614</v>
      </c>
      <c r="I87" s="154"/>
      <c r="J87" s="153" t="str">
        <f>IF(VLOOKUP(A87,'Aux - pivots1'!$A:$E,3,0)=0, "",VLOOKUP(A87,'Aux - pivots1'!$A:$E,3,0))</f>
        <v/>
      </c>
      <c r="K87" s="153" t="str">
        <f>IF(VLOOKUP(A87,'Aux - pivots1'!$A:$E,4,0)=0, "",VLOOKUP(A87,'Aux - pivots1'!$A:$E,4,0))</f>
        <v/>
      </c>
      <c r="L87" s="153" t="str">
        <f>IF(VLOOKUP(A87,'Aux - pivots1'!$A:$E,5,0)=0, "",VLOOKUP(A87,'Aux - pivots1'!$A:$E,5,0))</f>
        <v/>
      </c>
      <c r="M87" s="209"/>
      <c r="N87" s="209"/>
    </row>
    <row r="88" spans="1:14" ht="16.2" hidden="1" customHeight="1" x14ac:dyDescent="0.4">
      <c r="A88" s="30" t="str">
        <f t="shared" si="1"/>
        <v>PROPERTYADDRESS_CODE</v>
      </c>
      <c r="B88" s="142" t="s">
        <v>26</v>
      </c>
      <c r="C88" s="138" t="s">
        <v>54</v>
      </c>
      <c r="D88" s="134" t="s">
        <v>40</v>
      </c>
      <c r="E88" s="135" t="s">
        <v>94</v>
      </c>
      <c r="F88" s="134" t="s">
        <v>104</v>
      </c>
      <c r="G88" s="136" t="str">
        <f>VLOOKUP(A88,Plano_V3!$A$26:$G$592,7,0)</f>
        <v>1. Concluído</v>
      </c>
      <c r="H88" s="136" t="s">
        <v>614</v>
      </c>
      <c r="I88" s="154"/>
      <c r="J88" s="153" t="str">
        <f>IF(VLOOKUP(A88,'Aux - pivots1'!$A:$E,3,0)=0, "",VLOOKUP(A88,'Aux - pivots1'!$A:$E,3,0))</f>
        <v/>
      </c>
      <c r="K88" s="153" t="str">
        <f>IF(VLOOKUP(A88,'Aux - pivots1'!$A:$E,4,0)=0, "",VLOOKUP(A88,'Aux - pivots1'!$A:$E,4,0))</f>
        <v/>
      </c>
      <c r="L88" s="153" t="str">
        <f>IF(VLOOKUP(A88,'Aux - pivots1'!$A:$E,5,0)=0, "",VLOOKUP(A88,'Aux - pivots1'!$A:$E,5,0))</f>
        <v/>
      </c>
      <c r="M88" s="209"/>
      <c r="N88" s="209"/>
    </row>
    <row r="89" spans="1:14" ht="16.2" hidden="1" customHeight="1" x14ac:dyDescent="0.4">
      <c r="A89" s="30" t="str">
        <f t="shared" si="1"/>
        <v>PROPERTYCOUNTRY_CODE</v>
      </c>
      <c r="B89" s="142" t="s">
        <v>26</v>
      </c>
      <c r="C89" s="138" t="s">
        <v>54</v>
      </c>
      <c r="D89" s="134" t="s">
        <v>40</v>
      </c>
      <c r="E89" s="135" t="s">
        <v>94</v>
      </c>
      <c r="F89" s="134" t="s">
        <v>105</v>
      </c>
      <c r="G89" s="136" t="str">
        <f>VLOOKUP(A89,Plano_V3!$A$26:$G$592,7,0)</f>
        <v>1. Concluído</v>
      </c>
      <c r="H89" s="136" t="s">
        <v>614</v>
      </c>
      <c r="I89" s="154"/>
      <c r="J89" s="153" t="str">
        <f>IF(VLOOKUP(A89,'Aux - pivots1'!$A:$E,3,0)=0, "",VLOOKUP(A89,'Aux - pivots1'!$A:$E,3,0))</f>
        <v/>
      </c>
      <c r="K89" s="153" t="str">
        <f>IF(VLOOKUP(A89,'Aux - pivots1'!$A:$E,4,0)=0, "",VLOOKUP(A89,'Aux - pivots1'!$A:$E,4,0))</f>
        <v/>
      </c>
      <c r="L89" s="153" t="str">
        <f>IF(VLOOKUP(A89,'Aux - pivots1'!$A:$E,5,0)=0, "",VLOOKUP(A89,'Aux - pivots1'!$A:$E,5,0))</f>
        <v/>
      </c>
      <c r="M89" s="209"/>
      <c r="N89" s="209"/>
    </row>
    <row r="90" spans="1:14" ht="16.2" hidden="1" customHeight="1" x14ac:dyDescent="0.4">
      <c r="A90" s="30" t="str">
        <f t="shared" si="1"/>
        <v>PROPERTYPOSTAL_CODE</v>
      </c>
      <c r="B90" s="142" t="s">
        <v>26</v>
      </c>
      <c r="C90" s="138" t="s">
        <v>54</v>
      </c>
      <c r="D90" s="134" t="s">
        <v>40</v>
      </c>
      <c r="E90" s="135" t="s">
        <v>94</v>
      </c>
      <c r="F90" s="134" t="s">
        <v>106</v>
      </c>
      <c r="G90" s="136" t="str">
        <f>VLOOKUP(A90,Plano_V3!$A$26:$G$592,7,0)</f>
        <v>1. Concluído</v>
      </c>
      <c r="H90" s="136" t="s">
        <v>614</v>
      </c>
      <c r="I90" s="154"/>
      <c r="J90" s="153" t="str">
        <f>IF(VLOOKUP(A90,'Aux - pivots1'!$A:$E,3,0)=0, "",VLOOKUP(A90,'Aux - pivots1'!$A:$E,3,0))</f>
        <v/>
      </c>
      <c r="K90" s="153" t="str">
        <f>IF(VLOOKUP(A90,'Aux - pivots1'!$A:$E,4,0)=0, "",VLOOKUP(A90,'Aux - pivots1'!$A:$E,4,0))</f>
        <v/>
      </c>
      <c r="L90" s="153" t="str">
        <f>IF(VLOOKUP(A90,'Aux - pivots1'!$A:$E,5,0)=0, "",VLOOKUP(A90,'Aux - pivots1'!$A:$E,5,0))</f>
        <v/>
      </c>
      <c r="M90" s="209"/>
      <c r="N90" s="209"/>
    </row>
    <row r="91" spans="1:14" ht="16.2" hidden="1" customHeight="1" x14ac:dyDescent="0.4">
      <c r="A91" s="30" t="str">
        <f t="shared" si="1"/>
        <v>PROPERTYPROPERTY_TYPE_CODE</v>
      </c>
      <c r="B91" s="142" t="s">
        <v>26</v>
      </c>
      <c r="C91" s="138" t="s">
        <v>54</v>
      </c>
      <c r="D91" s="134" t="s">
        <v>40</v>
      </c>
      <c r="E91" s="135" t="s">
        <v>94</v>
      </c>
      <c r="F91" s="134" t="s">
        <v>107</v>
      </c>
      <c r="G91" s="136" t="str">
        <f>VLOOKUP(A91,Plano_V3!$A$26:$G$592,7,0)</f>
        <v>1. Concluído</v>
      </c>
      <c r="H91" s="136" t="s">
        <v>614</v>
      </c>
      <c r="I91" s="154"/>
      <c r="J91" s="153" t="str">
        <f>IF(VLOOKUP(A91,'Aux - pivots1'!$A:$E,3,0)=0, "",VLOOKUP(A91,'Aux - pivots1'!$A:$E,3,0))</f>
        <v/>
      </c>
      <c r="K91" s="153" t="str">
        <f>IF(VLOOKUP(A91,'Aux - pivots1'!$A:$E,4,0)=0, "",VLOOKUP(A91,'Aux - pivots1'!$A:$E,4,0))</f>
        <v/>
      </c>
      <c r="L91" s="153" t="str">
        <f>IF(VLOOKUP(A91,'Aux - pivots1'!$A:$E,5,0)=0, "",VLOOKUP(A91,'Aux - pivots1'!$A:$E,5,0))</f>
        <v/>
      </c>
      <c r="M91" s="209"/>
      <c r="N91" s="209"/>
    </row>
    <row r="92" spans="1:14" ht="16.2" hidden="1" customHeight="1" x14ac:dyDescent="0.4">
      <c r="A92" s="30" t="str">
        <f t="shared" si="1"/>
        <v>PROPERTYLAST_APPRAISAL_DATE</v>
      </c>
      <c r="B92" s="142" t="s">
        <v>26</v>
      </c>
      <c r="C92" s="138" t="s">
        <v>54</v>
      </c>
      <c r="D92" s="134" t="s">
        <v>40</v>
      </c>
      <c r="E92" s="135" t="s">
        <v>94</v>
      </c>
      <c r="F92" s="134" t="s">
        <v>108</v>
      </c>
      <c r="G92" s="136" t="str">
        <f>VLOOKUP(A92,Plano_V3!$A$26:$G$592,7,0)</f>
        <v>1. Concluído</v>
      </c>
      <c r="H92" s="136" t="s">
        <v>614</v>
      </c>
      <c r="I92" s="154"/>
      <c r="J92" s="153" t="str">
        <f>IF(VLOOKUP(A92,'Aux - pivots1'!$A:$E,3,0)=0, "",VLOOKUP(A92,'Aux - pivots1'!$A:$E,3,0))</f>
        <v/>
      </c>
      <c r="K92" s="153" t="str">
        <f>IF(VLOOKUP(A92,'Aux - pivots1'!$A:$E,4,0)=0, "",VLOOKUP(A92,'Aux - pivots1'!$A:$E,4,0))</f>
        <v/>
      </c>
      <c r="L92" s="153" t="str">
        <f>IF(VLOOKUP(A92,'Aux - pivots1'!$A:$E,5,0)=0, "",VLOOKUP(A92,'Aux - pivots1'!$A:$E,5,0))</f>
        <v/>
      </c>
      <c r="M92" s="209"/>
      <c r="N92" s="209"/>
    </row>
    <row r="93" spans="1:14" ht="16.2" hidden="1" customHeight="1" x14ac:dyDescent="0.4">
      <c r="A93" s="30" t="str">
        <f t="shared" si="1"/>
        <v>PROPERTYUSAGE_PERMIT_START_DATE</v>
      </c>
      <c r="B93" s="142" t="s">
        <v>26</v>
      </c>
      <c r="C93" s="138" t="s">
        <v>54</v>
      </c>
      <c r="D93" s="134" t="s">
        <v>40</v>
      </c>
      <c r="E93" s="135" t="s">
        <v>94</v>
      </c>
      <c r="F93" s="134" t="s">
        <v>109</v>
      </c>
      <c r="G93" s="136" t="str">
        <f>VLOOKUP(A93,Plano_V3!$A$26:$G$592,7,0)</f>
        <v>1. Concluído</v>
      </c>
      <c r="H93" s="136" t="s">
        <v>614</v>
      </c>
      <c r="I93" s="154"/>
      <c r="J93" s="153" t="str">
        <f>IF(VLOOKUP(A93,'Aux - pivots1'!$A:$E,3,0)=0, "",VLOOKUP(A93,'Aux - pivots1'!$A:$E,3,0))</f>
        <v/>
      </c>
      <c r="K93" s="153" t="str">
        <f>IF(VLOOKUP(A93,'Aux - pivots1'!$A:$E,4,0)=0, "",VLOOKUP(A93,'Aux - pivots1'!$A:$E,4,0))</f>
        <v/>
      </c>
      <c r="L93" s="153" t="str">
        <f>IF(VLOOKUP(A93,'Aux - pivots1'!$A:$E,5,0)=0, "",VLOOKUP(A93,'Aux - pivots1'!$A:$E,5,0))</f>
        <v/>
      </c>
      <c r="M93" s="209"/>
      <c r="N93" s="209"/>
    </row>
    <row r="94" spans="1:14" ht="16.2" hidden="1" customHeight="1" x14ac:dyDescent="0.4">
      <c r="A94" s="30" t="str">
        <f t="shared" si="1"/>
        <v>PROPERTYCONSERVATORY_REG_FILE_ID</v>
      </c>
      <c r="B94" s="142" t="s">
        <v>26</v>
      </c>
      <c r="C94" s="138" t="s">
        <v>54</v>
      </c>
      <c r="D94" s="134" t="s">
        <v>40</v>
      </c>
      <c r="E94" s="135" t="s">
        <v>94</v>
      </c>
      <c r="F94" s="134" t="s">
        <v>110</v>
      </c>
      <c r="G94" s="136" t="str">
        <f>VLOOKUP(A94,Plano_V3!$A$26:$G$592,7,0)</f>
        <v>1. Concluído</v>
      </c>
      <c r="H94" s="136" t="s">
        <v>614</v>
      </c>
      <c r="I94" s="154"/>
      <c r="J94" s="153" t="str">
        <f>IF(VLOOKUP(A94,'Aux - pivots1'!$A:$E,3,0)=0, "",VLOOKUP(A94,'Aux - pivots1'!$A:$E,3,0))</f>
        <v/>
      </c>
      <c r="K94" s="153" t="str">
        <f>IF(VLOOKUP(A94,'Aux - pivots1'!$A:$E,4,0)=0, "",VLOOKUP(A94,'Aux - pivots1'!$A:$E,4,0))</f>
        <v/>
      </c>
      <c r="L94" s="153" t="str">
        <f>IF(VLOOKUP(A94,'Aux - pivots1'!$A:$E,5,0)=0, "",VLOOKUP(A94,'Aux - pivots1'!$A:$E,5,0))</f>
        <v/>
      </c>
      <c r="M94" s="209"/>
      <c r="N94" s="209"/>
    </row>
    <row r="95" spans="1:14" ht="16.2" hidden="1" customHeight="1" x14ac:dyDescent="0.4">
      <c r="A95" s="30" t="str">
        <f t="shared" si="1"/>
        <v>PROPERTYFLOOR_NUMBER</v>
      </c>
      <c r="B95" s="142" t="s">
        <v>26</v>
      </c>
      <c r="C95" s="138" t="s">
        <v>54</v>
      </c>
      <c r="D95" s="134" t="s">
        <v>40</v>
      </c>
      <c r="E95" s="135" t="s">
        <v>94</v>
      </c>
      <c r="F95" s="134" t="s">
        <v>111</v>
      </c>
      <c r="G95" s="136" t="str">
        <f>VLOOKUP(A95,Plano_V3!$A$26:$G$592,7,0)</f>
        <v>1. Concluído</v>
      </c>
      <c r="H95" s="136" t="s">
        <v>614</v>
      </c>
      <c r="I95" s="154"/>
      <c r="J95" s="153" t="str">
        <f>IF(VLOOKUP(A95,'Aux - pivots1'!$A:$E,3,0)=0, "",VLOOKUP(A95,'Aux - pivots1'!$A:$E,3,0))</f>
        <v/>
      </c>
      <c r="K95" s="153" t="str">
        <f>IF(VLOOKUP(A95,'Aux - pivots1'!$A:$E,4,0)=0, "",VLOOKUP(A95,'Aux - pivots1'!$A:$E,4,0))</f>
        <v/>
      </c>
      <c r="L95" s="153" t="str">
        <f>IF(VLOOKUP(A95,'Aux - pivots1'!$A:$E,5,0)=0, "",VLOOKUP(A95,'Aux - pivots1'!$A:$E,5,0))</f>
        <v/>
      </c>
      <c r="M95" s="209"/>
      <c r="N95" s="209"/>
    </row>
    <row r="96" spans="1:14" ht="16.2" hidden="1" customHeight="1" x14ac:dyDescent="0.4">
      <c r="A96" s="30" t="str">
        <f t="shared" si="1"/>
        <v>PROPERTYLOCALITY</v>
      </c>
      <c r="B96" s="142" t="s">
        <v>26</v>
      </c>
      <c r="C96" s="138" t="s">
        <v>54</v>
      </c>
      <c r="D96" s="134" t="s">
        <v>40</v>
      </c>
      <c r="E96" s="135" t="s">
        <v>94</v>
      </c>
      <c r="F96" s="134" t="s">
        <v>112</v>
      </c>
      <c r="G96" s="136" t="str">
        <f>VLOOKUP(A96,Plano_V3!$A$26:$G$592,7,0)</f>
        <v>1. Concluído</v>
      </c>
      <c r="H96" s="136" t="s">
        <v>614</v>
      </c>
      <c r="I96" s="154"/>
      <c r="J96" s="153" t="str">
        <f>IF(VLOOKUP(A96,'Aux - pivots1'!$A:$E,3,0)=0, "",VLOOKUP(A96,'Aux - pivots1'!$A:$E,3,0))</f>
        <v/>
      </c>
      <c r="K96" s="153" t="str">
        <f>IF(VLOOKUP(A96,'Aux - pivots1'!$A:$E,4,0)=0, "",VLOOKUP(A96,'Aux - pivots1'!$A:$E,4,0))</f>
        <v/>
      </c>
      <c r="L96" s="153" t="str">
        <f>IF(VLOOKUP(A96,'Aux - pivots1'!$A:$E,5,0)=0, "",VLOOKUP(A96,'Aux - pivots1'!$A:$E,5,0))</f>
        <v/>
      </c>
      <c r="M96" s="209"/>
      <c r="N96" s="209"/>
    </row>
    <row r="97" spans="1:14" ht="16.2" hidden="1" customHeight="1" x14ac:dyDescent="0.4">
      <c r="A97" s="30" t="str">
        <f t="shared" si="1"/>
        <v>PROPERTYPROPERTY_LOT</v>
      </c>
      <c r="B97" s="142" t="s">
        <v>26</v>
      </c>
      <c r="C97" s="138" t="s">
        <v>54</v>
      </c>
      <c r="D97" s="134" t="s">
        <v>40</v>
      </c>
      <c r="E97" s="135" t="s">
        <v>94</v>
      </c>
      <c r="F97" s="134" t="s">
        <v>113</v>
      </c>
      <c r="G97" s="136" t="str">
        <f>VLOOKUP(A97,Plano_V3!$A$26:$G$592,7,0)</f>
        <v>1. Concluído</v>
      </c>
      <c r="H97" s="136" t="s">
        <v>614</v>
      </c>
      <c r="I97" s="154"/>
      <c r="J97" s="153" t="str">
        <f>IF(VLOOKUP(A97,'Aux - pivots1'!$A:$E,3,0)=0, "",VLOOKUP(A97,'Aux - pivots1'!$A:$E,3,0))</f>
        <v/>
      </c>
      <c r="K97" s="153" t="str">
        <f>IF(VLOOKUP(A97,'Aux - pivots1'!$A:$E,4,0)=0, "",VLOOKUP(A97,'Aux - pivots1'!$A:$E,4,0))</f>
        <v/>
      </c>
      <c r="L97" s="153" t="str">
        <f>IF(VLOOKUP(A97,'Aux - pivots1'!$A:$E,5,0)=0, "",VLOOKUP(A97,'Aux - pivots1'!$A:$E,5,0))</f>
        <v/>
      </c>
      <c r="M97" s="209"/>
      <c r="N97" s="209"/>
    </row>
    <row r="98" spans="1:14" ht="16.2" hidden="1" customHeight="1" x14ac:dyDescent="0.4">
      <c r="A98" s="30" t="str">
        <f t="shared" si="1"/>
        <v>PROPERTYLAST_APPRAISAL_AMOUNT</v>
      </c>
      <c r="B98" s="142" t="s">
        <v>26</v>
      </c>
      <c r="C98" s="138" t="s">
        <v>54</v>
      </c>
      <c r="D98" s="134" t="s">
        <v>40</v>
      </c>
      <c r="E98" s="135" t="s">
        <v>94</v>
      </c>
      <c r="F98" s="134" t="s">
        <v>114</v>
      </c>
      <c r="G98" s="136" t="str">
        <f>VLOOKUP(A98,Plano_V3!$A$26:$G$592,7,0)</f>
        <v>1. Concluído</v>
      </c>
      <c r="H98" s="136" t="s">
        <v>614</v>
      </c>
      <c r="I98" s="154"/>
      <c r="J98" s="153" t="str">
        <f>IF(VLOOKUP(A98,'Aux - pivots1'!$A:$E,3,0)=0, "",VLOOKUP(A98,'Aux - pivots1'!$A:$E,3,0))</f>
        <v/>
      </c>
      <c r="K98" s="153" t="str">
        <f>IF(VLOOKUP(A98,'Aux - pivots1'!$A:$E,4,0)=0, "",VLOOKUP(A98,'Aux - pivots1'!$A:$E,4,0))</f>
        <v/>
      </c>
      <c r="L98" s="153" t="str">
        <f>IF(VLOOKUP(A98,'Aux - pivots1'!$A:$E,5,0)=0, "",VLOOKUP(A98,'Aux - pivots1'!$A:$E,5,0))</f>
        <v/>
      </c>
      <c r="M98" s="209"/>
      <c r="N98" s="209"/>
    </row>
    <row r="99" spans="1:14" ht="16.2" hidden="1" customHeight="1" x14ac:dyDescent="0.4">
      <c r="A99" s="30" t="str">
        <f t="shared" si="1"/>
        <v>PROPERTYNET_APPRAISAL_AMOUNT</v>
      </c>
      <c r="B99" s="142" t="s">
        <v>26</v>
      </c>
      <c r="C99" s="138" t="s">
        <v>54</v>
      </c>
      <c r="D99" s="134" t="s">
        <v>40</v>
      </c>
      <c r="E99" s="135" t="s">
        <v>94</v>
      </c>
      <c r="F99" s="134" t="s">
        <v>115</v>
      </c>
      <c r="G99" s="136" t="str">
        <f>VLOOKUP(A99,Plano_V3!$A$26:$G$592,7,0)</f>
        <v>1. Concluído</v>
      </c>
      <c r="H99" s="136" t="s">
        <v>614</v>
      </c>
      <c r="I99" s="154"/>
      <c r="J99" s="153" t="str">
        <f>IF(VLOOKUP(A99,'Aux - pivots1'!$A:$E,3,0)=0, "",VLOOKUP(A99,'Aux - pivots1'!$A:$E,3,0))</f>
        <v/>
      </c>
      <c r="K99" s="153" t="str">
        <f>IF(VLOOKUP(A99,'Aux - pivots1'!$A:$E,4,0)=0, "",VLOOKUP(A99,'Aux - pivots1'!$A:$E,4,0))</f>
        <v/>
      </c>
      <c r="L99" s="153" t="str">
        <f>IF(VLOOKUP(A99,'Aux - pivots1'!$A:$E,5,0)=0, "",VLOOKUP(A99,'Aux - pivots1'!$A:$E,5,0))</f>
        <v/>
      </c>
      <c r="M99" s="209"/>
      <c r="N99" s="209"/>
    </row>
    <row r="100" spans="1:14" ht="16.2" hidden="1" customHeight="1" x14ac:dyDescent="0.4">
      <c r="A100" s="30" t="str">
        <f t="shared" si="1"/>
        <v>PROPERTYCOLLATERAL_FAST_SALE_AMOUNT</v>
      </c>
      <c r="B100" s="142" t="s">
        <v>26</v>
      </c>
      <c r="C100" s="138" t="s">
        <v>54</v>
      </c>
      <c r="D100" s="134" t="s">
        <v>40</v>
      </c>
      <c r="E100" s="135" t="s">
        <v>94</v>
      </c>
      <c r="F100" s="134" t="s">
        <v>116</v>
      </c>
      <c r="G100" s="136" t="str">
        <f>VLOOKUP(A100,Plano_V3!$A$26:$G$592,7,0)</f>
        <v>1. Concluído</v>
      </c>
      <c r="H100" s="136" t="s">
        <v>614</v>
      </c>
      <c r="I100" s="154"/>
      <c r="J100" s="153" t="str">
        <f>IF(VLOOKUP(A100,'Aux - pivots1'!$A:$E,3,0)=0, "",VLOOKUP(A100,'Aux - pivots1'!$A:$E,3,0))</f>
        <v/>
      </c>
      <c r="K100" s="153" t="str">
        <f>IF(VLOOKUP(A100,'Aux - pivots1'!$A:$E,4,0)=0, "",VLOOKUP(A100,'Aux - pivots1'!$A:$E,4,0))</f>
        <v/>
      </c>
      <c r="L100" s="153" t="str">
        <f>IF(VLOOKUP(A100,'Aux - pivots1'!$A:$E,5,0)=0, "",VLOOKUP(A100,'Aux - pivots1'!$A:$E,5,0))</f>
        <v/>
      </c>
      <c r="M100" s="209"/>
      <c r="N100" s="209"/>
    </row>
    <row r="101" spans="1:14" ht="16.2" hidden="1" customHeight="1" x14ac:dyDescent="0.4">
      <c r="A101" s="30" t="str">
        <f t="shared" si="1"/>
        <v>PROPERTYADDRESS</v>
      </c>
      <c r="B101" s="142" t="s">
        <v>26</v>
      </c>
      <c r="C101" s="138" t="s">
        <v>54</v>
      </c>
      <c r="D101" s="134" t="s">
        <v>40</v>
      </c>
      <c r="E101" s="135" t="s">
        <v>94</v>
      </c>
      <c r="F101" s="134" t="s">
        <v>117</v>
      </c>
      <c r="G101" s="136" t="str">
        <f>VLOOKUP(A101,Plano_V3!$A$26:$G$592,7,0)</f>
        <v>1. Concluído</v>
      </c>
      <c r="H101" s="136" t="s">
        <v>614</v>
      </c>
      <c r="I101" s="154"/>
      <c r="J101" s="153" t="str">
        <f>IF(VLOOKUP(A101,'Aux - pivots1'!$A:$E,3,0)=0, "",VLOOKUP(A101,'Aux - pivots1'!$A:$E,3,0))</f>
        <v/>
      </c>
      <c r="K101" s="153" t="str">
        <f>IF(VLOOKUP(A101,'Aux - pivots1'!$A:$E,4,0)=0, "",VLOOKUP(A101,'Aux - pivots1'!$A:$E,4,0))</f>
        <v/>
      </c>
      <c r="L101" s="153" t="str">
        <f>IF(VLOOKUP(A101,'Aux - pivots1'!$A:$E,5,0)=0, "",VLOOKUP(A101,'Aux - pivots1'!$A:$E,5,0))</f>
        <v/>
      </c>
      <c r="M101" s="209"/>
      <c r="N101" s="209"/>
    </row>
    <row r="102" spans="1:14" ht="16.2" hidden="1" customHeight="1" x14ac:dyDescent="0.4">
      <c r="A102" s="30" t="str">
        <f t="shared" si="1"/>
        <v>PROPERTYPROPERTY_NUMBER</v>
      </c>
      <c r="B102" s="142" t="s">
        <v>26</v>
      </c>
      <c r="C102" s="138" t="s">
        <v>54</v>
      </c>
      <c r="D102" s="134" t="s">
        <v>40</v>
      </c>
      <c r="E102" s="135" t="s">
        <v>94</v>
      </c>
      <c r="F102" s="134" t="s">
        <v>118</v>
      </c>
      <c r="G102" s="136" t="str">
        <f>VLOOKUP(A102,Plano_V3!$A$26:$G$592,7,0)</f>
        <v>1. Concluído</v>
      </c>
      <c r="H102" s="136" t="s">
        <v>614</v>
      </c>
      <c r="I102" s="154"/>
      <c r="J102" s="153" t="str">
        <f>IF(VLOOKUP(A102,'Aux - pivots1'!$A:$E,3,0)=0, "",VLOOKUP(A102,'Aux - pivots1'!$A:$E,3,0))</f>
        <v/>
      </c>
      <c r="K102" s="153" t="str">
        <f>IF(VLOOKUP(A102,'Aux - pivots1'!$A:$E,4,0)=0, "",VLOOKUP(A102,'Aux - pivots1'!$A:$E,4,0))</f>
        <v/>
      </c>
      <c r="L102" s="153" t="str">
        <f>IF(VLOOKUP(A102,'Aux - pivots1'!$A:$E,5,0)=0, "",VLOOKUP(A102,'Aux - pivots1'!$A:$E,5,0))</f>
        <v/>
      </c>
      <c r="M102" s="209"/>
      <c r="N102" s="209"/>
    </row>
    <row r="103" spans="1:14" ht="16.2" hidden="1" customHeight="1" x14ac:dyDescent="0.4">
      <c r="A103" s="30" t="str">
        <f t="shared" si="1"/>
        <v>PROPERTYOrigem</v>
      </c>
      <c r="B103" s="142" t="s">
        <v>26</v>
      </c>
      <c r="C103" s="138" t="s">
        <v>54</v>
      </c>
      <c r="D103" s="134" t="s">
        <v>40</v>
      </c>
      <c r="E103" s="135" t="s">
        <v>94</v>
      </c>
      <c r="F103" s="134" t="s">
        <v>119</v>
      </c>
      <c r="G103" s="136" t="str">
        <f>VLOOKUP(A103,Plano_V3!$A$26:$G$592,7,0)</f>
        <v>0. Cancelado</v>
      </c>
      <c r="H103" s="136" t="s">
        <v>613</v>
      </c>
      <c r="I103" s="143" t="s">
        <v>652</v>
      </c>
      <c r="J103" s="153" t="str">
        <f>IF(VLOOKUP(A103,'Aux - pivots1'!$A:$E,3,0)=0, "",VLOOKUP(A103,'Aux - pivots1'!$A:$E,3,0))</f>
        <v/>
      </c>
      <c r="K103" s="153" t="str">
        <f>IF(VLOOKUP(A103,'Aux - pivots1'!$A:$E,4,0)=0, "",VLOOKUP(A103,'Aux - pivots1'!$A:$E,4,0))</f>
        <v/>
      </c>
      <c r="L103" s="153" t="str">
        <f>IF(VLOOKUP(A103,'Aux - pivots1'!$A:$E,5,0)=0, "",VLOOKUP(A103,'Aux - pivots1'!$A:$E,5,0))</f>
        <v/>
      </c>
      <c r="M103" s="209"/>
      <c r="N103" s="209"/>
    </row>
    <row r="104" spans="1:14" ht="16.2" hidden="1" customHeight="1" x14ac:dyDescent="0.4">
      <c r="A104" s="30" t="str">
        <f t="shared" si="1"/>
        <v>PROPERTYCURRENT_CONSTRUCTION_PCT</v>
      </c>
      <c r="B104" s="142" t="s">
        <v>26</v>
      </c>
      <c r="C104" s="138" t="s">
        <v>54</v>
      </c>
      <c r="D104" s="134" t="s">
        <v>40</v>
      </c>
      <c r="E104" s="135" t="s">
        <v>94</v>
      </c>
      <c r="F104" s="134" t="s">
        <v>120</v>
      </c>
      <c r="G104" s="136" t="str">
        <f>VLOOKUP(A104,Plano_V3!$A$26:$G$592,7,0)</f>
        <v>1. Concluído</v>
      </c>
      <c r="H104" s="136" t="s">
        <v>614</v>
      </c>
      <c r="I104" s="143" t="s">
        <v>653</v>
      </c>
      <c r="J104" s="153">
        <f>IF(VLOOKUP(A104,'Aux - pivots1'!$A:$E,3,0)=0, "",VLOOKUP(A104,'Aux - pivots1'!$A:$E,3,0))</f>
        <v>45491</v>
      </c>
      <c r="K104" s="153">
        <f>IF(VLOOKUP(A104,'Aux - pivots1'!$A:$E,4,0)=0, "",VLOOKUP(A104,'Aux - pivots1'!$A:$E,4,0))</f>
        <v>45495</v>
      </c>
      <c r="L104" s="153">
        <f>IF(VLOOKUP(A104,'Aux - pivots1'!$A:$E,5,0)=0, "",VLOOKUP(A104,'Aux - pivots1'!$A:$E,5,0))</f>
        <v>45495</v>
      </c>
      <c r="M104" s="209"/>
      <c r="N104" s="209"/>
    </row>
    <row r="105" spans="1:14" ht="16.2" hidden="1" customHeight="1" x14ac:dyDescent="0.4">
      <c r="A105" s="30" t="str">
        <f t="shared" si="1"/>
        <v>PROPERTYCONSTRUCTION_COMPLETED_PCT</v>
      </c>
      <c r="B105" s="142" t="s">
        <v>26</v>
      </c>
      <c r="C105" s="138" t="s">
        <v>54</v>
      </c>
      <c r="D105" s="134" t="s">
        <v>40</v>
      </c>
      <c r="E105" s="135" t="s">
        <v>94</v>
      </c>
      <c r="F105" s="134" t="s">
        <v>121</v>
      </c>
      <c r="G105" s="136" t="str">
        <f>VLOOKUP(A105,Plano_V3!$A$26:$G$592,7,0)</f>
        <v>1. Concluído</v>
      </c>
      <c r="H105" s="136" t="s">
        <v>614</v>
      </c>
      <c r="I105" s="143" t="s">
        <v>653</v>
      </c>
      <c r="J105" s="153">
        <f>IF(VLOOKUP(A105,'Aux - pivots1'!$A:$E,3,0)=0, "",VLOOKUP(A105,'Aux - pivots1'!$A:$E,3,0))</f>
        <v>45491</v>
      </c>
      <c r="K105" s="153">
        <f>IF(VLOOKUP(A105,'Aux - pivots1'!$A:$E,4,0)=0, "",VLOOKUP(A105,'Aux - pivots1'!$A:$E,4,0))</f>
        <v>45495</v>
      </c>
      <c r="L105" s="153">
        <f>IF(VLOOKUP(A105,'Aux - pivots1'!$A:$E,5,0)=0, "",VLOOKUP(A105,'Aux - pivots1'!$A:$E,5,0))</f>
        <v>45495</v>
      </c>
      <c r="M105" s="209"/>
      <c r="N105" s="209"/>
    </row>
    <row r="106" spans="1:14" ht="16.2" hidden="1" customHeight="1" x14ac:dyDescent="0.4">
      <c r="A106" s="30" t="str">
        <f t="shared" si="1"/>
        <v>PROPERTYDATA_DATE_PART</v>
      </c>
      <c r="B106" s="142" t="s">
        <v>26</v>
      </c>
      <c r="C106" s="138" t="s">
        <v>54</v>
      </c>
      <c r="D106" s="134" t="s">
        <v>40</v>
      </c>
      <c r="E106" s="135" t="s">
        <v>94</v>
      </c>
      <c r="F106" s="134" t="s">
        <v>73</v>
      </c>
      <c r="G106" s="136" t="str">
        <f>VLOOKUP(A106,Plano_V3!$A$26:$G$592,7,0)</f>
        <v>1. Concluído</v>
      </c>
      <c r="H106" s="136" t="s">
        <v>614</v>
      </c>
      <c r="I106" s="154"/>
      <c r="J106" s="153" t="str">
        <f>IF(VLOOKUP(A106,'Aux - pivots1'!$A:$E,3,0)=0, "",VLOOKUP(A106,'Aux - pivots1'!$A:$E,3,0))</f>
        <v/>
      </c>
      <c r="K106" s="153" t="str">
        <f>IF(VLOOKUP(A106,'Aux - pivots1'!$A:$E,4,0)=0, "",VLOOKUP(A106,'Aux - pivots1'!$A:$E,4,0))</f>
        <v/>
      </c>
      <c r="L106" s="153" t="str">
        <f>IF(VLOOKUP(A106,'Aux - pivots1'!$A:$E,5,0)=0, "",VLOOKUP(A106,'Aux - pivots1'!$A:$E,5,0))</f>
        <v/>
      </c>
      <c r="M106" s="209"/>
      <c r="N106" s="209"/>
    </row>
    <row r="107" spans="1:14" ht="16.2" hidden="1" customHeight="1" x14ac:dyDescent="0.4">
      <c r="A107" s="30" t="str">
        <f t="shared" si="1"/>
        <v>PROPERTYCGARANT_BEM</v>
      </c>
      <c r="B107" s="142" t="s">
        <v>26</v>
      </c>
      <c r="C107" s="138" t="s">
        <v>54</v>
      </c>
      <c r="D107" s="134" t="s">
        <v>40</v>
      </c>
      <c r="E107" s="135" t="s">
        <v>94</v>
      </c>
      <c r="F107" s="134" t="s">
        <v>1943</v>
      </c>
      <c r="G107" s="136" t="str">
        <f>VLOOKUP(A107,Plano_V3!$A$26:$G$592,7,0)</f>
        <v>6. Em implementação (re-especificação)</v>
      </c>
      <c r="H107" s="136" t="s">
        <v>619</v>
      </c>
      <c r="I107" s="154"/>
      <c r="J107" s="153" t="str">
        <f>IF(VLOOKUP(A107,'Aux - pivots1'!$A:$E,3,0)=0, "",VLOOKUP(A107,'Aux - pivots1'!$A:$E,3,0))</f>
        <v/>
      </c>
      <c r="K107" s="153" t="str">
        <f>IF(VLOOKUP(A107,'Aux - pivots1'!$A:$E,4,0)=0, "",VLOOKUP(A107,'Aux - pivots1'!$A:$E,4,0))</f>
        <v/>
      </c>
      <c r="L107" s="153" t="str">
        <f>IF(VLOOKUP(A107,'Aux - pivots1'!$A:$E,5,0)=0, "",VLOOKUP(A107,'Aux - pivots1'!$A:$E,5,0))</f>
        <v/>
      </c>
      <c r="M107" s="209"/>
      <c r="N107" s="209"/>
    </row>
    <row r="108" spans="1:14" ht="16.2" hidden="1" customHeight="1" x14ac:dyDescent="0.4">
      <c r="A108" s="30" t="str">
        <f t="shared" si="1"/>
        <v>PROPERTYURBANIZATION</v>
      </c>
      <c r="B108" s="142" t="s">
        <v>26</v>
      </c>
      <c r="C108" s="138" t="s">
        <v>54</v>
      </c>
      <c r="D108" s="134" t="s">
        <v>40</v>
      </c>
      <c r="E108" s="135" t="s">
        <v>94</v>
      </c>
      <c r="F108" s="134" t="s">
        <v>122</v>
      </c>
      <c r="G108" s="136" t="str">
        <f>VLOOKUP(A108,Plano_V3!$A$26:$G$592,7,0)</f>
        <v>1. Concluído</v>
      </c>
      <c r="H108" s="136" t="s">
        <v>614</v>
      </c>
      <c r="I108" s="154"/>
      <c r="J108" s="153" t="str">
        <f>IF(VLOOKUP(A108,'Aux - pivots1'!$A:$E,3,0)=0, "",VLOOKUP(A108,'Aux - pivots1'!$A:$E,3,0))</f>
        <v/>
      </c>
      <c r="K108" s="153" t="str">
        <f>IF(VLOOKUP(A108,'Aux - pivots1'!$A:$E,4,0)=0, "",VLOOKUP(A108,'Aux - pivots1'!$A:$E,4,0))</f>
        <v/>
      </c>
      <c r="L108" s="153" t="str">
        <f>IF(VLOOKUP(A108,'Aux - pivots1'!$A:$E,5,0)=0, "",VLOOKUP(A108,'Aux - pivots1'!$A:$E,5,0))</f>
        <v/>
      </c>
      <c r="M108" s="209"/>
      <c r="N108" s="209"/>
    </row>
    <row r="109" spans="1:14" ht="16.2" hidden="1" customHeight="1" x14ac:dyDescent="0.4">
      <c r="A109" s="30" t="str">
        <f t="shared" si="1"/>
        <v>PROPERTY_ENERGY_CERTIFICATEn.a.</v>
      </c>
      <c r="B109" s="142" t="s">
        <v>26</v>
      </c>
      <c r="C109" s="138" t="s">
        <v>54</v>
      </c>
      <c r="D109" s="134" t="s">
        <v>36</v>
      </c>
      <c r="E109" s="135" t="s">
        <v>123</v>
      </c>
      <c r="F109" s="134" t="s">
        <v>38</v>
      </c>
      <c r="G109" s="136" t="str">
        <f>VLOOKUP(A109,Plano_V3!$A$26:$G$592,7,0)</f>
        <v>1. Concluído</v>
      </c>
      <c r="H109" s="136" t="s">
        <v>614</v>
      </c>
      <c r="I109" s="143"/>
      <c r="J109" s="153" t="str">
        <f>IF(VLOOKUP(A109,'Aux - pivots1'!$A:$E,3,0)=0, "",VLOOKUP(A109,'Aux - pivots1'!$A:$E,3,0))</f>
        <v/>
      </c>
      <c r="K109" s="153" t="str">
        <f>IF(VLOOKUP(A109,'Aux - pivots1'!$A:$E,4,0)=0, "",VLOOKUP(A109,'Aux - pivots1'!$A:$E,4,0))</f>
        <v/>
      </c>
      <c r="L109" s="153" t="str">
        <f>IF(VLOOKUP(A109,'Aux - pivots1'!$A:$E,5,0)=0, "",VLOOKUP(A109,'Aux - pivots1'!$A:$E,5,0))</f>
        <v/>
      </c>
      <c r="M109" s="209"/>
      <c r="N109" s="209"/>
    </row>
    <row r="110" spans="1:14" ht="16.2" hidden="1" customHeight="1" x14ac:dyDescent="0.4">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614</v>
      </c>
      <c r="I110" s="143"/>
      <c r="J110" s="153" t="str">
        <f>IF(VLOOKUP(A110,'Aux - pivots1'!$A:$E,3,0)=0, "",VLOOKUP(A110,'Aux - pivots1'!$A:$E,3,0))</f>
        <v/>
      </c>
      <c r="K110" s="153" t="str">
        <f>IF(VLOOKUP(A110,'Aux - pivots1'!$A:$E,4,0)=0, "",VLOOKUP(A110,'Aux - pivots1'!$A:$E,4,0))</f>
        <v/>
      </c>
      <c r="L110" s="153" t="str">
        <f>IF(VLOOKUP(A110,'Aux - pivots1'!$A:$E,5,0)=0, "",VLOOKUP(A110,'Aux - pivots1'!$A:$E,5,0))</f>
        <v/>
      </c>
      <c r="M110" s="209"/>
      <c r="N110" s="209"/>
    </row>
    <row r="111" spans="1:14" ht="16.2" hidden="1" customHeight="1" x14ac:dyDescent="0.4">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614</v>
      </c>
      <c r="I111" s="143"/>
      <c r="J111" s="153" t="str">
        <f>IF(VLOOKUP(A111,'Aux - pivots1'!$A:$E,3,0)=0, "",VLOOKUP(A111,'Aux - pivots1'!$A:$E,3,0))</f>
        <v/>
      </c>
      <c r="K111" s="153" t="str">
        <f>IF(VLOOKUP(A111,'Aux - pivots1'!$A:$E,4,0)=0, "",VLOOKUP(A111,'Aux - pivots1'!$A:$E,4,0))</f>
        <v/>
      </c>
      <c r="L111" s="153" t="str">
        <f>IF(VLOOKUP(A111,'Aux - pivots1'!$A:$E,5,0)=0, "",VLOOKUP(A111,'Aux - pivots1'!$A:$E,5,0))</f>
        <v/>
      </c>
      <c r="M111" s="209"/>
      <c r="N111" s="209"/>
    </row>
    <row r="112" spans="1:14" ht="16.2" hidden="1" customHeight="1" x14ac:dyDescent="0.4">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614</v>
      </c>
      <c r="I112" s="143"/>
      <c r="J112" s="153" t="str">
        <f>IF(VLOOKUP(A112,'Aux - pivots1'!$A:$E,3,0)=0, "",VLOOKUP(A112,'Aux - pivots1'!$A:$E,3,0))</f>
        <v/>
      </c>
      <c r="K112" s="153" t="str">
        <f>IF(VLOOKUP(A112,'Aux - pivots1'!$A:$E,4,0)=0, "",VLOOKUP(A112,'Aux - pivots1'!$A:$E,4,0))</f>
        <v/>
      </c>
      <c r="L112" s="153" t="str">
        <f>IF(VLOOKUP(A112,'Aux - pivots1'!$A:$E,5,0)=0, "",VLOOKUP(A112,'Aux - pivots1'!$A:$E,5,0))</f>
        <v/>
      </c>
      <c r="M112" s="209"/>
      <c r="N112" s="209"/>
    </row>
    <row r="113" spans="1:14" ht="16.2" hidden="1" customHeight="1" x14ac:dyDescent="0.4">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614</v>
      </c>
      <c r="I113" s="143"/>
      <c r="J113" s="153" t="str">
        <f>IF(VLOOKUP(A113,'Aux - pivots1'!$A:$E,3,0)=0, "",VLOOKUP(A113,'Aux - pivots1'!$A:$E,3,0))</f>
        <v/>
      </c>
      <c r="K113" s="153" t="str">
        <f>IF(VLOOKUP(A113,'Aux - pivots1'!$A:$E,4,0)=0, "",VLOOKUP(A113,'Aux - pivots1'!$A:$E,4,0))</f>
        <v/>
      </c>
      <c r="L113" s="153" t="str">
        <f>IF(VLOOKUP(A113,'Aux - pivots1'!$A:$E,5,0)=0, "",VLOOKUP(A113,'Aux - pivots1'!$A:$E,5,0))</f>
        <v/>
      </c>
      <c r="M113" s="209"/>
      <c r="N113" s="209"/>
    </row>
    <row r="114" spans="1:14" ht="16.2" hidden="1" customHeight="1" x14ac:dyDescent="0.4">
      <c r="A114" s="30" t="str">
        <f t="shared" si="1"/>
        <v>PROPERTY_ENERGY_CERTIFICATELAND_REGISTRY_OFFICE_CODE</v>
      </c>
      <c r="B114" s="142" t="s">
        <v>26</v>
      </c>
      <c r="C114" s="138" t="s">
        <v>54</v>
      </c>
      <c r="D114" s="134" t="s">
        <v>40</v>
      </c>
      <c r="E114" s="135" t="s">
        <v>123</v>
      </c>
      <c r="F114" s="134" t="s">
        <v>125</v>
      </c>
      <c r="G114" s="136" t="str">
        <f>VLOOKUP(A114,Plano_V3!$A$26:$G$592,7,0)</f>
        <v>6. Em implementação (re-especificação)</v>
      </c>
      <c r="H114" s="136" t="s">
        <v>619</v>
      </c>
      <c r="I114" s="143"/>
      <c r="J114" s="153" t="str">
        <f>IF(VLOOKUP(A114,'Aux - pivots1'!$A:$E,3,0)=0, "",VLOOKUP(A114,'Aux - pivots1'!$A:$E,3,0))</f>
        <v/>
      </c>
      <c r="K114" s="153" t="str">
        <f>IF(VLOOKUP(A114,'Aux - pivots1'!$A:$E,4,0)=0, "",VLOOKUP(A114,'Aux - pivots1'!$A:$E,4,0))</f>
        <v/>
      </c>
      <c r="L114" s="153" t="str">
        <f>IF(VLOOKUP(A114,'Aux - pivots1'!$A:$E,5,0)=0, "",VLOOKUP(A114,'Aux - pivots1'!$A:$E,5,0))</f>
        <v/>
      </c>
      <c r="M114" s="209"/>
      <c r="N114" s="209"/>
    </row>
    <row r="115" spans="1:14" ht="16.2" hidden="1" customHeight="1" x14ac:dyDescent="0.4">
      <c r="A115" s="30" t="str">
        <f t="shared" si="1"/>
        <v>PROPERTY_ENERGY_CERTIFICATEPROPERTY_IDENTIFICATION_CODE</v>
      </c>
      <c r="B115" s="142" t="s">
        <v>26</v>
      </c>
      <c r="C115" s="138" t="s">
        <v>54</v>
      </c>
      <c r="D115" s="134" t="s">
        <v>40</v>
      </c>
      <c r="E115" s="135" t="s">
        <v>123</v>
      </c>
      <c r="F115" s="134" t="s">
        <v>126</v>
      </c>
      <c r="G115" s="136" t="str">
        <f>VLOOKUP(A115,Plano_V3!$A$26:$G$592,7,0)</f>
        <v>6. Em implementação (re-especificação)</v>
      </c>
      <c r="H115" s="136" t="s">
        <v>619</v>
      </c>
      <c r="I115" s="143"/>
      <c r="J115" s="153" t="str">
        <f>IF(VLOOKUP(A115,'Aux - pivots1'!$A:$E,3,0)=0, "",VLOOKUP(A115,'Aux - pivots1'!$A:$E,3,0))</f>
        <v/>
      </c>
      <c r="K115" s="153" t="str">
        <f>IF(VLOOKUP(A115,'Aux - pivots1'!$A:$E,4,0)=0, "",VLOOKUP(A115,'Aux - pivots1'!$A:$E,4,0))</f>
        <v/>
      </c>
      <c r="L115" s="153" t="str">
        <f>IF(VLOOKUP(A115,'Aux - pivots1'!$A:$E,5,0)=0, "",VLOOKUP(A115,'Aux - pivots1'!$A:$E,5,0))</f>
        <v/>
      </c>
      <c r="M115" s="209"/>
      <c r="N115" s="209"/>
    </row>
    <row r="116" spans="1:14" ht="16.2" hidden="1" customHeight="1" x14ac:dyDescent="0.4">
      <c r="A116" s="30" t="str">
        <f t="shared" si="1"/>
        <v>PROPERTY_ENERGY_CERTIFICATEENERGY_CERTIFICATION_SYSTEM_CODE</v>
      </c>
      <c r="B116" s="142" t="s">
        <v>26</v>
      </c>
      <c r="C116" s="138" t="s">
        <v>54</v>
      </c>
      <c r="D116" s="134" t="s">
        <v>40</v>
      </c>
      <c r="E116" s="135" t="s">
        <v>123</v>
      </c>
      <c r="F116" s="134" t="s">
        <v>127</v>
      </c>
      <c r="G116" s="136" t="str">
        <f>VLOOKUP(A116,Plano_V3!$A$26:$G$592,7,0)</f>
        <v>6. Em implementação (re-especificação)</v>
      </c>
      <c r="H116" s="136" t="s">
        <v>619</v>
      </c>
      <c r="I116" s="143"/>
      <c r="J116" s="153" t="str">
        <f>IF(VLOOKUP(A116,'Aux - pivots1'!$A:$E,3,0)=0, "",VLOOKUP(A116,'Aux - pivots1'!$A:$E,3,0))</f>
        <v/>
      </c>
      <c r="K116" s="153" t="str">
        <f>IF(VLOOKUP(A116,'Aux - pivots1'!$A:$E,4,0)=0, "",VLOOKUP(A116,'Aux - pivots1'!$A:$E,4,0))</f>
        <v/>
      </c>
      <c r="L116" s="153" t="str">
        <f>IF(VLOOKUP(A116,'Aux - pivots1'!$A:$E,5,0)=0, "",VLOOKUP(A116,'Aux - pivots1'!$A:$E,5,0))</f>
        <v/>
      </c>
      <c r="M116" s="209"/>
      <c r="N116" s="209"/>
    </row>
    <row r="117" spans="1:14" ht="16.2" hidden="1" customHeight="1" x14ac:dyDescent="0.4">
      <c r="A117" s="30" t="str">
        <f t="shared" si="1"/>
        <v>PROPERTY_ENERGY_CERTIFICATEEPC_ISSUING_DATE</v>
      </c>
      <c r="B117" s="142" t="s">
        <v>26</v>
      </c>
      <c r="C117" s="138" t="s">
        <v>54</v>
      </c>
      <c r="D117" s="134" t="s">
        <v>40</v>
      </c>
      <c r="E117" s="135" t="s">
        <v>123</v>
      </c>
      <c r="F117" s="134" t="s">
        <v>128</v>
      </c>
      <c r="G117" s="136" t="str">
        <f>VLOOKUP(A117,Plano_V3!$A$26:$G$592,7,0)</f>
        <v>6. Em implementação (re-especificação)</v>
      </c>
      <c r="H117" s="136" t="s">
        <v>619</v>
      </c>
      <c r="I117" s="143"/>
      <c r="J117" s="153" t="str">
        <f>IF(VLOOKUP(A117,'Aux - pivots1'!$A:$E,3,0)=0, "",VLOOKUP(A117,'Aux - pivots1'!$A:$E,3,0))</f>
        <v/>
      </c>
      <c r="K117" s="153" t="str">
        <f>IF(VLOOKUP(A117,'Aux - pivots1'!$A:$E,4,0)=0, "",VLOOKUP(A117,'Aux - pivots1'!$A:$E,4,0))</f>
        <v/>
      </c>
      <c r="L117" s="153" t="str">
        <f>IF(VLOOKUP(A117,'Aux - pivots1'!$A:$E,5,0)=0, "",VLOOKUP(A117,'Aux - pivots1'!$A:$E,5,0))</f>
        <v/>
      </c>
      <c r="M117" s="209"/>
      <c r="N117" s="209"/>
    </row>
    <row r="118" spans="1:14" ht="16.2" hidden="1" customHeight="1" x14ac:dyDescent="0.4">
      <c r="A118" s="30" t="str">
        <f t="shared" si="1"/>
        <v>PROPERTY_ENERGY_CERTIFICATEEPC_EXPIRATION_DATE</v>
      </c>
      <c r="B118" s="142" t="s">
        <v>26</v>
      </c>
      <c r="C118" s="138" t="s">
        <v>54</v>
      </c>
      <c r="D118" s="134" t="s">
        <v>40</v>
      </c>
      <c r="E118" s="135" t="s">
        <v>123</v>
      </c>
      <c r="F118" s="134" t="s">
        <v>129</v>
      </c>
      <c r="G118" s="136" t="str">
        <f>VLOOKUP(A118,Plano_V3!$A$26:$G$592,7,0)</f>
        <v>6. Em implementação (re-especificação)</v>
      </c>
      <c r="H118" s="136" t="s">
        <v>619</v>
      </c>
      <c r="I118" s="143"/>
      <c r="J118" s="153" t="str">
        <f>IF(VLOOKUP(A118,'Aux - pivots1'!$A:$E,3,0)=0, "",VLOOKUP(A118,'Aux - pivots1'!$A:$E,3,0))</f>
        <v/>
      </c>
      <c r="K118" s="153" t="str">
        <f>IF(VLOOKUP(A118,'Aux - pivots1'!$A:$E,4,0)=0, "",VLOOKUP(A118,'Aux - pivots1'!$A:$E,4,0))</f>
        <v/>
      </c>
      <c r="L118" s="153" t="str">
        <f>IF(VLOOKUP(A118,'Aux - pivots1'!$A:$E,5,0)=0, "",VLOOKUP(A118,'Aux - pivots1'!$A:$E,5,0))</f>
        <v/>
      </c>
      <c r="M118" s="209"/>
      <c r="N118" s="209"/>
    </row>
    <row r="119" spans="1:14" ht="16.2" hidden="1" customHeight="1" x14ac:dyDescent="0.4">
      <c r="A119" s="30" t="str">
        <f t="shared" si="1"/>
        <v>PROPERTY_ENERGY_CERTIFICATEEPC</v>
      </c>
      <c r="B119" s="142" t="s">
        <v>26</v>
      </c>
      <c r="C119" s="138" t="s">
        <v>54</v>
      </c>
      <c r="D119" s="134" t="s">
        <v>40</v>
      </c>
      <c r="E119" s="135" t="s">
        <v>123</v>
      </c>
      <c r="F119" s="134" t="s">
        <v>47</v>
      </c>
      <c r="G119" s="136" t="str">
        <f>VLOOKUP(A119,Plano_V3!$A$26:$G$592,7,0)</f>
        <v>6. Em implementação (re-especificação)</v>
      </c>
      <c r="H119" s="136" t="s">
        <v>619</v>
      </c>
      <c r="I119" s="143"/>
      <c r="J119" s="153" t="str">
        <f>IF(VLOOKUP(A119,'Aux - pivots1'!$A:$E,3,0)=0, "",VLOOKUP(A119,'Aux - pivots1'!$A:$E,3,0))</f>
        <v/>
      </c>
      <c r="K119" s="153" t="str">
        <f>IF(VLOOKUP(A119,'Aux - pivots1'!$A:$E,4,0)=0, "",VLOOKUP(A119,'Aux - pivots1'!$A:$E,4,0))</f>
        <v/>
      </c>
      <c r="L119" s="153" t="str">
        <f>IF(VLOOKUP(A119,'Aux - pivots1'!$A:$E,5,0)=0, "",VLOOKUP(A119,'Aux - pivots1'!$A:$E,5,0))</f>
        <v/>
      </c>
      <c r="M119" s="209"/>
      <c r="N119" s="209"/>
    </row>
    <row r="120" spans="1:14" ht="16.2" hidden="1" customHeight="1" x14ac:dyDescent="0.4">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614</v>
      </c>
      <c r="I120" s="143"/>
      <c r="J120" s="153" t="str">
        <f>IF(VLOOKUP(A120,'Aux - pivots1'!$A:$E,3,0)=0, "",VLOOKUP(A120,'Aux - pivots1'!$A:$E,3,0))</f>
        <v/>
      </c>
      <c r="K120" s="153" t="str">
        <f>IF(VLOOKUP(A120,'Aux - pivots1'!$A:$E,4,0)=0, "",VLOOKUP(A120,'Aux - pivots1'!$A:$E,4,0))</f>
        <v/>
      </c>
      <c r="L120" s="153" t="str">
        <f>IF(VLOOKUP(A120,'Aux - pivots1'!$A:$E,5,0)=0, "",VLOOKUP(A120,'Aux - pivots1'!$A:$E,5,0))</f>
        <v/>
      </c>
      <c r="M120" s="209"/>
      <c r="N120" s="209"/>
    </row>
    <row r="121" spans="1:14" ht="16.2" hidden="1" customHeight="1" x14ac:dyDescent="0.4">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614</v>
      </c>
      <c r="I121" s="143"/>
      <c r="J121" s="153" t="str">
        <f>IF(VLOOKUP(A121,'Aux - pivots1'!$A:$E,3,0)=0, "",VLOOKUP(A121,'Aux - pivots1'!$A:$E,3,0))</f>
        <v/>
      </c>
      <c r="K121" s="153" t="str">
        <f>IF(VLOOKUP(A121,'Aux - pivots1'!$A:$E,4,0)=0, "",VLOOKUP(A121,'Aux - pivots1'!$A:$E,4,0))</f>
        <v/>
      </c>
      <c r="L121" s="153" t="str">
        <f>IF(VLOOKUP(A121,'Aux - pivots1'!$A:$E,5,0)=0, "",VLOOKUP(A121,'Aux - pivots1'!$A:$E,5,0))</f>
        <v/>
      </c>
      <c r="M121" s="209"/>
      <c r="N121" s="209"/>
    </row>
    <row r="122" spans="1:14" ht="16.2" hidden="1" customHeight="1" x14ac:dyDescent="0.4">
      <c r="A122" s="30" t="str">
        <f t="shared" si="1"/>
        <v>PROPERTY_ENERGY_CERTIFICATEENERGY_EFFICIENCY_IND</v>
      </c>
      <c r="B122" s="142" t="s">
        <v>26</v>
      </c>
      <c r="C122" s="138" t="s">
        <v>54</v>
      </c>
      <c r="D122" s="134" t="s">
        <v>40</v>
      </c>
      <c r="E122" s="135" t="s">
        <v>123</v>
      </c>
      <c r="F122" s="134" t="s">
        <v>132</v>
      </c>
      <c r="G122" s="136" t="str">
        <f>VLOOKUP(A122,Plano_V3!$A$26:$G$592,7,0)</f>
        <v>6. Em implementação (re-especificação)</v>
      </c>
      <c r="H122" s="136" t="s">
        <v>619</v>
      </c>
      <c r="I122" s="143"/>
      <c r="J122" s="153" t="str">
        <f>IF(VLOOKUP(A122,'Aux - pivots1'!$A:$E,3,0)=0, "",VLOOKUP(A122,'Aux - pivots1'!$A:$E,3,0))</f>
        <v/>
      </c>
      <c r="K122" s="153" t="str">
        <f>IF(VLOOKUP(A122,'Aux - pivots1'!$A:$E,4,0)=0, "",VLOOKUP(A122,'Aux - pivots1'!$A:$E,4,0))</f>
        <v/>
      </c>
      <c r="L122" s="153" t="str">
        <f>IF(VLOOKUP(A122,'Aux - pivots1'!$A:$E,5,0)=0, "",VLOOKUP(A122,'Aux - pivots1'!$A:$E,5,0))</f>
        <v/>
      </c>
      <c r="M122" s="209"/>
      <c r="N122" s="209"/>
    </row>
    <row r="123" spans="1:14" ht="16.2" hidden="1" customHeight="1" x14ac:dyDescent="0.4">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614</v>
      </c>
      <c r="I123" s="143"/>
      <c r="J123" s="153" t="str">
        <f>IF(VLOOKUP(A123,'Aux - pivots1'!$A:$E,3,0)=0, "",VLOOKUP(A123,'Aux - pivots1'!$A:$E,3,0))</f>
        <v/>
      </c>
      <c r="K123" s="153" t="str">
        <f>IF(VLOOKUP(A123,'Aux - pivots1'!$A:$E,4,0)=0, "",VLOOKUP(A123,'Aux - pivots1'!$A:$E,4,0))</f>
        <v/>
      </c>
      <c r="L123" s="153" t="str">
        <f>IF(VLOOKUP(A123,'Aux - pivots1'!$A:$E,5,0)=0, "",VLOOKUP(A123,'Aux - pivots1'!$A:$E,5,0))</f>
        <v/>
      </c>
      <c r="M123" s="209"/>
      <c r="N123" s="209"/>
    </row>
    <row r="124" spans="1:14" ht="16.2" hidden="1" customHeight="1" x14ac:dyDescent="0.4">
      <c r="A124" s="30" t="str">
        <f t="shared" si="1"/>
        <v>PROPERTY_ENERGY_CERTIFICATENZEB_IND</v>
      </c>
      <c r="B124" s="142" t="s">
        <v>26</v>
      </c>
      <c r="C124" s="138" t="s">
        <v>54</v>
      </c>
      <c r="D124" s="134" t="s">
        <v>40</v>
      </c>
      <c r="E124" s="135" t="s">
        <v>123</v>
      </c>
      <c r="F124" s="134" t="s">
        <v>134</v>
      </c>
      <c r="G124" s="136" t="str">
        <f>VLOOKUP(A124,Plano_V3!$A$26:$G$592,7,0)</f>
        <v>6. Em implementação (re-especificação)</v>
      </c>
      <c r="H124" s="136" t="s">
        <v>619</v>
      </c>
      <c r="I124" s="143"/>
      <c r="J124" s="153" t="str">
        <f>IF(VLOOKUP(A124,'Aux - pivots1'!$A:$E,3,0)=0, "",VLOOKUP(A124,'Aux - pivots1'!$A:$E,3,0))</f>
        <v/>
      </c>
      <c r="K124" s="153" t="str">
        <f>IF(VLOOKUP(A124,'Aux - pivots1'!$A:$E,4,0)=0, "",VLOOKUP(A124,'Aux - pivots1'!$A:$E,4,0))</f>
        <v/>
      </c>
      <c r="L124" s="153" t="str">
        <f>IF(VLOOKUP(A124,'Aux - pivots1'!$A:$E,5,0)=0, "",VLOOKUP(A124,'Aux - pivots1'!$A:$E,5,0))</f>
        <v/>
      </c>
      <c r="M124" s="209"/>
      <c r="N124" s="209"/>
    </row>
    <row r="125" spans="1:14" ht="16.2" hidden="1" customHeight="1" x14ac:dyDescent="0.4">
      <c r="A125" s="30" t="str">
        <f t="shared" si="1"/>
        <v>PROPERTY_ENERGY_CERTIFICATEACTUAL_VALUE_IND</v>
      </c>
      <c r="B125" s="142" t="s">
        <v>26</v>
      </c>
      <c r="C125" s="138" t="s">
        <v>54</v>
      </c>
      <c r="D125" s="134" t="s">
        <v>40</v>
      </c>
      <c r="E125" s="135" t="s">
        <v>123</v>
      </c>
      <c r="F125" s="134" t="s">
        <v>49</v>
      </c>
      <c r="G125" s="136" t="str">
        <f>VLOOKUP(A125,Plano_V3!$A$26:$G$592,7,0)</f>
        <v>6. Em implementação (re-especificação)</v>
      </c>
      <c r="H125" s="136" t="s">
        <v>619</v>
      </c>
      <c r="I125" s="143"/>
      <c r="J125" s="153" t="str">
        <f>IF(VLOOKUP(A125,'Aux - pivots1'!$A:$E,3,0)=0, "",VLOOKUP(A125,'Aux - pivots1'!$A:$E,3,0))</f>
        <v/>
      </c>
      <c r="K125" s="153" t="str">
        <f>IF(VLOOKUP(A125,'Aux - pivots1'!$A:$E,4,0)=0, "",VLOOKUP(A125,'Aux - pivots1'!$A:$E,4,0))</f>
        <v/>
      </c>
      <c r="L125" s="153" t="str">
        <f>IF(VLOOKUP(A125,'Aux - pivots1'!$A:$E,5,0)=0, "",VLOOKUP(A125,'Aux - pivots1'!$A:$E,5,0))</f>
        <v/>
      </c>
      <c r="M125" s="209"/>
      <c r="N125" s="209"/>
    </row>
    <row r="126" spans="1:14" ht="16.2" hidden="1" customHeight="1" x14ac:dyDescent="0.4">
      <c r="A126" s="30" t="str">
        <f t="shared" si="1"/>
        <v>PROPERTY_ENERGY_CERTIFICATEEP_SCORE</v>
      </c>
      <c r="B126" s="142" t="s">
        <v>26</v>
      </c>
      <c r="C126" s="138" t="s">
        <v>54</v>
      </c>
      <c r="D126" s="134" t="s">
        <v>40</v>
      </c>
      <c r="E126" s="135" t="s">
        <v>123</v>
      </c>
      <c r="F126" s="134" t="s">
        <v>135</v>
      </c>
      <c r="G126" s="136" t="str">
        <f>VLOOKUP(A126,Plano_V3!$A$26:$G$592,7,0)</f>
        <v>1. Concluído</v>
      </c>
      <c r="H126" s="136" t="s">
        <v>614</v>
      </c>
      <c r="I126" s="143"/>
      <c r="J126" s="153" t="str">
        <f>IF(VLOOKUP(A126,'Aux - pivots1'!$A:$E,3,0)=0, "",VLOOKUP(A126,'Aux - pivots1'!$A:$E,3,0))</f>
        <v/>
      </c>
      <c r="K126" s="153" t="str">
        <f>IF(VLOOKUP(A126,'Aux - pivots1'!$A:$E,4,0)=0, "",VLOOKUP(A126,'Aux - pivots1'!$A:$E,4,0))</f>
        <v/>
      </c>
      <c r="L126" s="153" t="str">
        <f>IF(VLOOKUP(A126,'Aux - pivots1'!$A:$E,5,0)=0, "",VLOOKUP(A126,'Aux - pivots1'!$A:$E,5,0))</f>
        <v/>
      </c>
      <c r="M126" s="209"/>
      <c r="N126" s="209"/>
    </row>
    <row r="127" spans="1:14" ht="16.2" hidden="1" customHeight="1" x14ac:dyDescent="0.4">
      <c r="A127" s="30" t="str">
        <f t="shared" si="1"/>
        <v>PROPERTY_ENERGY_CERTIFICATESOURCE_CODE</v>
      </c>
      <c r="B127" s="142" t="s">
        <v>26</v>
      </c>
      <c r="C127" s="138" t="s">
        <v>54</v>
      </c>
      <c r="D127" s="134" t="s">
        <v>40</v>
      </c>
      <c r="E127" s="135" t="s">
        <v>123</v>
      </c>
      <c r="F127" s="134" t="s">
        <v>87</v>
      </c>
      <c r="G127" s="136" t="str">
        <f>VLOOKUP(A127,Plano_V3!$A$26:$G$592,7,0)</f>
        <v>6. Em implementação (re-especificação)</v>
      </c>
      <c r="H127" s="136" t="s">
        <v>619</v>
      </c>
      <c r="I127" s="143"/>
      <c r="J127" s="153" t="str">
        <f>IF(VLOOKUP(A127,'Aux - pivots1'!$A:$E,3,0)=0, "",VLOOKUP(A127,'Aux - pivots1'!$A:$E,3,0))</f>
        <v/>
      </c>
      <c r="K127" s="153" t="str">
        <f>IF(VLOOKUP(A127,'Aux - pivots1'!$A:$E,4,0)=0, "",VLOOKUP(A127,'Aux - pivots1'!$A:$E,4,0))</f>
        <v/>
      </c>
      <c r="L127" s="153" t="str">
        <f>IF(VLOOKUP(A127,'Aux - pivots1'!$A:$E,5,0)=0, "",VLOOKUP(A127,'Aux - pivots1'!$A:$E,5,0))</f>
        <v/>
      </c>
      <c r="M127" s="209"/>
      <c r="N127" s="209"/>
    </row>
    <row r="128" spans="1:14" ht="16.2" hidden="1" customHeight="1" x14ac:dyDescent="0.4">
      <c r="A128" s="30" t="str">
        <f t="shared" si="1"/>
        <v>PROPERTY_ENERGY_CERTIFICATEDATA_DATE_PART</v>
      </c>
      <c r="B128" s="142" t="s">
        <v>26</v>
      </c>
      <c r="C128" s="138" t="s">
        <v>54</v>
      </c>
      <c r="D128" s="134" t="s">
        <v>40</v>
      </c>
      <c r="E128" s="135" t="s">
        <v>123</v>
      </c>
      <c r="F128" s="134" t="s">
        <v>73</v>
      </c>
      <c r="G128" s="136" t="str">
        <f>VLOOKUP(A128,Plano_V3!$A$26:$G$592,7,0)</f>
        <v>1. Concluído</v>
      </c>
      <c r="H128" s="136" t="s">
        <v>614</v>
      </c>
      <c r="I128" s="143"/>
      <c r="J128" s="153" t="str">
        <f>IF(VLOOKUP(A128,'Aux - pivots1'!$A:$E,3,0)=0, "",VLOOKUP(A128,'Aux - pivots1'!$A:$E,3,0))</f>
        <v/>
      </c>
      <c r="K128" s="153" t="str">
        <f>IF(VLOOKUP(A128,'Aux - pivots1'!$A:$E,4,0)=0, "",VLOOKUP(A128,'Aux - pivots1'!$A:$E,4,0))</f>
        <v/>
      </c>
      <c r="L128" s="153" t="str">
        <f>IF(VLOOKUP(A128,'Aux - pivots1'!$A:$E,5,0)=0, "",VLOOKUP(A128,'Aux - pivots1'!$A:$E,5,0))</f>
        <v/>
      </c>
      <c r="M128" s="209"/>
      <c r="N128" s="209"/>
    </row>
    <row r="129" spans="1:14" ht="16.2" hidden="1" customHeight="1" x14ac:dyDescent="0.4">
      <c r="A129" s="30" t="str">
        <f t="shared" si="1"/>
        <v>PROPERTY_ENERGY_CERTIFICATECERTIFICATE_TYPE</v>
      </c>
      <c r="B129" s="142" t="s">
        <v>26</v>
      </c>
      <c r="C129" s="138" t="s">
        <v>54</v>
      </c>
      <c r="D129" s="134" t="s">
        <v>40</v>
      </c>
      <c r="E129" s="135" t="s">
        <v>123</v>
      </c>
      <c r="F129" s="134" t="s">
        <v>136</v>
      </c>
      <c r="G129" s="136" t="str">
        <f>VLOOKUP(A129,Plano_V3!$A$26:$G$592,7,0)</f>
        <v>6. Em implementação (re-especificação)</v>
      </c>
      <c r="H129" s="136" t="s">
        <v>619</v>
      </c>
      <c r="I129" s="143"/>
      <c r="J129" s="153" t="str">
        <f>IF(VLOOKUP(A129,'Aux - pivots1'!$A:$E,3,0)=0, "",VLOOKUP(A129,'Aux - pivots1'!$A:$E,3,0))</f>
        <v/>
      </c>
      <c r="K129" s="153" t="str">
        <f>IF(VLOOKUP(A129,'Aux - pivots1'!$A:$E,4,0)=0, "",VLOOKUP(A129,'Aux - pivots1'!$A:$E,4,0))</f>
        <v/>
      </c>
      <c r="L129" s="153" t="str">
        <f>IF(VLOOKUP(A129,'Aux - pivots1'!$A:$E,5,0)=0, "",VLOOKUP(A129,'Aux - pivots1'!$A:$E,5,0))</f>
        <v/>
      </c>
      <c r="M129" s="209"/>
      <c r="N129" s="209"/>
    </row>
    <row r="130" spans="1:14" ht="16.2" hidden="1" customHeight="1" x14ac:dyDescent="0.4">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614</v>
      </c>
      <c r="I130" s="143"/>
      <c r="J130" s="153" t="str">
        <f>IF(VLOOKUP(A130,'Aux - pivots1'!$A:$E,3,0)=0, "",VLOOKUP(A130,'Aux - pivots1'!$A:$E,3,0))</f>
        <v/>
      </c>
      <c r="K130" s="153" t="str">
        <f>IF(VLOOKUP(A130,'Aux - pivots1'!$A:$E,4,0)=0, "",VLOOKUP(A130,'Aux - pivots1'!$A:$E,4,0))</f>
        <v/>
      </c>
      <c r="L130" s="153" t="str">
        <f>IF(VLOOKUP(A130,'Aux - pivots1'!$A:$E,5,0)=0, "",VLOOKUP(A130,'Aux - pivots1'!$A:$E,5,0))</f>
        <v/>
      </c>
      <c r="M130" s="209"/>
      <c r="N130" s="209"/>
    </row>
    <row r="131" spans="1:14" ht="16.2" hidden="1" customHeight="1" x14ac:dyDescent="0.4">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614</v>
      </c>
      <c r="I131" s="143"/>
      <c r="J131" s="153" t="str">
        <f>IF(VLOOKUP(A131,'Aux - pivots1'!$A:$E,3,0)=0, "",VLOOKUP(A131,'Aux - pivots1'!$A:$E,3,0))</f>
        <v/>
      </c>
      <c r="K131" s="153" t="str">
        <f>IF(VLOOKUP(A131,'Aux - pivots1'!$A:$E,4,0)=0, "",VLOOKUP(A131,'Aux - pivots1'!$A:$E,4,0))</f>
        <v/>
      </c>
      <c r="L131" s="153" t="str">
        <f>IF(VLOOKUP(A131,'Aux - pivots1'!$A:$E,5,0)=0, "",VLOOKUP(A131,'Aux - pivots1'!$A:$E,5,0))</f>
        <v/>
      </c>
      <c r="M131" s="209"/>
      <c r="N131" s="209"/>
    </row>
    <row r="132" spans="1:14" ht="16.2" hidden="1" customHeight="1" x14ac:dyDescent="0.4">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614</v>
      </c>
      <c r="I132" s="143"/>
      <c r="J132" s="153" t="str">
        <f>IF(VLOOKUP(A132,'Aux - pivots1'!$A:$E,3,0)=0, "",VLOOKUP(A132,'Aux - pivots1'!$A:$E,3,0))</f>
        <v/>
      </c>
      <c r="K132" s="153" t="str">
        <f>IF(VLOOKUP(A132,'Aux - pivots1'!$A:$E,4,0)=0, "",VLOOKUP(A132,'Aux - pivots1'!$A:$E,4,0))</f>
        <v/>
      </c>
      <c r="L132" s="153" t="str">
        <f>IF(VLOOKUP(A132,'Aux - pivots1'!$A:$E,5,0)=0, "",VLOOKUP(A132,'Aux - pivots1'!$A:$E,5,0))</f>
        <v/>
      </c>
      <c r="M132" s="209"/>
      <c r="N132" s="209"/>
    </row>
    <row r="133" spans="1:14" ht="16.2" hidden="1" customHeight="1" x14ac:dyDescent="0.4">
      <c r="A133" s="30" t="str">
        <f t="shared" si="1"/>
        <v>PROPERTY_ENERGY_CERTIFICATEHEIGHT</v>
      </c>
      <c r="B133" s="142" t="s">
        <v>26</v>
      </c>
      <c r="C133" s="138" t="s">
        <v>54</v>
      </c>
      <c r="D133" s="134" t="s">
        <v>40</v>
      </c>
      <c r="E133" s="135" t="s">
        <v>123</v>
      </c>
      <c r="F133" s="134" t="s">
        <v>140</v>
      </c>
      <c r="G133" s="136" t="str">
        <f>VLOOKUP(A133,Plano_V3!$A$26:$G$592,7,0)</f>
        <v>1. Concluído</v>
      </c>
      <c r="H133" s="136" t="s">
        <v>614</v>
      </c>
      <c r="I133" s="143"/>
      <c r="J133" s="153" t="str">
        <f>IF(VLOOKUP(A133,'Aux - pivots1'!$A:$E,3,0)=0, "",VLOOKUP(A133,'Aux - pivots1'!$A:$E,3,0))</f>
        <v/>
      </c>
      <c r="K133" s="153" t="str">
        <f>IF(VLOOKUP(A133,'Aux - pivots1'!$A:$E,4,0)=0, "",VLOOKUP(A133,'Aux - pivots1'!$A:$E,4,0))</f>
        <v/>
      </c>
      <c r="L133" s="153" t="str">
        <f>IF(VLOOKUP(A133,'Aux - pivots1'!$A:$E,5,0)=0, "",VLOOKUP(A133,'Aux - pivots1'!$A:$E,5,0))</f>
        <v/>
      </c>
      <c r="M133" s="209"/>
      <c r="N133" s="209"/>
    </row>
    <row r="134" spans="1:14" ht="16.2" hidden="1" customHeight="1" x14ac:dyDescent="0.4">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614</v>
      </c>
      <c r="I134" s="143"/>
      <c r="J134" s="153" t="str">
        <f>IF(VLOOKUP(A134,'Aux - pivots1'!$A:$E,3,0)=0, "",VLOOKUP(A134,'Aux - pivots1'!$A:$E,3,0))</f>
        <v/>
      </c>
      <c r="K134" s="153" t="str">
        <f>IF(VLOOKUP(A134,'Aux - pivots1'!$A:$E,4,0)=0, "",VLOOKUP(A134,'Aux - pivots1'!$A:$E,4,0))</f>
        <v/>
      </c>
      <c r="L134" s="153" t="str">
        <f>IF(VLOOKUP(A134,'Aux - pivots1'!$A:$E,5,0)=0, "",VLOOKUP(A134,'Aux - pivots1'!$A:$E,5,0))</f>
        <v/>
      </c>
      <c r="M134" s="209"/>
      <c r="N134" s="209"/>
    </row>
    <row r="135" spans="1:14" ht="16.2" hidden="1" customHeight="1" x14ac:dyDescent="0.4">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614</v>
      </c>
      <c r="I135" s="143"/>
      <c r="J135" s="153" t="str">
        <f>IF(VLOOKUP(A135,'Aux - pivots1'!$A:$E,3,0)=0, "",VLOOKUP(A135,'Aux - pivots1'!$A:$E,3,0))</f>
        <v/>
      </c>
      <c r="K135" s="153" t="str">
        <f>IF(VLOOKUP(A135,'Aux - pivots1'!$A:$E,4,0)=0, "",VLOOKUP(A135,'Aux - pivots1'!$A:$E,4,0))</f>
        <v/>
      </c>
      <c r="L135" s="153" t="str">
        <f>IF(VLOOKUP(A135,'Aux - pivots1'!$A:$E,5,0)=0, "",VLOOKUP(A135,'Aux - pivots1'!$A:$E,5,0))</f>
        <v/>
      </c>
      <c r="M135" s="209"/>
      <c r="N135" s="209"/>
    </row>
    <row r="136" spans="1:14" ht="16.2" hidden="1" customHeight="1" x14ac:dyDescent="0.4">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614</v>
      </c>
      <c r="I136" s="143"/>
      <c r="J136" s="153" t="str">
        <f>IF(VLOOKUP(A136,'Aux - pivots1'!$A:$E,3,0)=0, "",VLOOKUP(A136,'Aux - pivots1'!$A:$E,3,0))</f>
        <v/>
      </c>
      <c r="K136" s="153" t="str">
        <f>IF(VLOOKUP(A136,'Aux - pivots1'!$A:$E,4,0)=0, "",VLOOKUP(A136,'Aux - pivots1'!$A:$E,4,0))</f>
        <v/>
      </c>
      <c r="L136" s="153" t="str">
        <f>IF(VLOOKUP(A136,'Aux - pivots1'!$A:$E,5,0)=0, "",VLOOKUP(A136,'Aux - pivots1'!$A:$E,5,0))</f>
        <v/>
      </c>
      <c r="M136" s="209"/>
      <c r="N136" s="209"/>
    </row>
    <row r="137" spans="1:14" ht="16.2" hidden="1" customHeight="1" x14ac:dyDescent="0.4">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614</v>
      </c>
      <c r="I137" s="143"/>
      <c r="J137" s="153" t="str">
        <f>IF(VLOOKUP(A137,'Aux - pivots1'!$A:$E,3,0)=0, "",VLOOKUP(A137,'Aux - pivots1'!$A:$E,3,0))</f>
        <v/>
      </c>
      <c r="K137" s="153" t="str">
        <f>IF(VLOOKUP(A137,'Aux - pivots1'!$A:$E,4,0)=0, "",VLOOKUP(A137,'Aux - pivots1'!$A:$E,4,0))</f>
        <v/>
      </c>
      <c r="L137" s="153" t="str">
        <f>IF(VLOOKUP(A137,'Aux - pivots1'!$A:$E,5,0)=0, "",VLOOKUP(A137,'Aux - pivots1'!$A:$E,5,0))</f>
        <v/>
      </c>
      <c r="M137" s="209"/>
      <c r="N137" s="209"/>
    </row>
    <row r="138" spans="1:14" ht="16.2" hidden="1" customHeight="1" x14ac:dyDescent="0.4">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614</v>
      </c>
      <c r="I138" s="143"/>
      <c r="J138" s="153" t="str">
        <f>IF(VLOOKUP(A138,'Aux - pivots1'!$A:$E,3,0)=0, "",VLOOKUP(A138,'Aux - pivots1'!$A:$E,3,0))</f>
        <v/>
      </c>
      <c r="K138" s="153" t="str">
        <f>IF(VLOOKUP(A138,'Aux - pivots1'!$A:$E,4,0)=0, "",VLOOKUP(A138,'Aux - pivots1'!$A:$E,4,0))</f>
        <v/>
      </c>
      <c r="L138" s="153" t="str">
        <f>IF(VLOOKUP(A138,'Aux - pivots1'!$A:$E,5,0)=0, "",VLOOKUP(A138,'Aux - pivots1'!$A:$E,5,0))</f>
        <v/>
      </c>
      <c r="M138" s="209"/>
      <c r="N138" s="209"/>
    </row>
    <row r="139" spans="1:14" ht="16.2" hidden="1" customHeight="1" x14ac:dyDescent="0.4">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614</v>
      </c>
      <c r="I139" s="143"/>
      <c r="J139" s="153" t="str">
        <f>IF(VLOOKUP(A139,'Aux - pivots1'!$A:$E,3,0)=0, "",VLOOKUP(A139,'Aux - pivots1'!$A:$E,3,0))</f>
        <v/>
      </c>
      <c r="K139" s="153" t="str">
        <f>IF(VLOOKUP(A139,'Aux - pivots1'!$A:$E,4,0)=0, "",VLOOKUP(A139,'Aux - pivots1'!$A:$E,4,0))</f>
        <v/>
      </c>
      <c r="L139" s="153" t="str">
        <f>IF(VLOOKUP(A139,'Aux - pivots1'!$A:$E,5,0)=0, "",VLOOKUP(A139,'Aux - pivots1'!$A:$E,5,0))</f>
        <v/>
      </c>
      <c r="M139" s="209"/>
      <c r="N139" s="209"/>
    </row>
    <row r="140" spans="1:14" ht="16.2" hidden="1" customHeight="1" x14ac:dyDescent="0.4">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614</v>
      </c>
      <c r="I140" s="143"/>
      <c r="J140" s="153" t="str">
        <f>IF(VLOOKUP(A140,'Aux - pivots1'!$A:$E,3,0)=0, "",VLOOKUP(A140,'Aux - pivots1'!$A:$E,3,0))</f>
        <v/>
      </c>
      <c r="K140" s="153" t="str">
        <f>IF(VLOOKUP(A140,'Aux - pivots1'!$A:$E,4,0)=0, "",VLOOKUP(A140,'Aux - pivots1'!$A:$E,4,0))</f>
        <v/>
      </c>
      <c r="L140" s="153" t="str">
        <f>IF(VLOOKUP(A140,'Aux - pivots1'!$A:$E,5,0)=0, "",VLOOKUP(A140,'Aux - pivots1'!$A:$E,5,0))</f>
        <v/>
      </c>
      <c r="M140" s="209"/>
      <c r="N140" s="209"/>
    </row>
    <row r="141" spans="1:14" ht="16.2" hidden="1" customHeight="1" x14ac:dyDescent="0.4">
      <c r="A141" s="30" t="str">
        <f t="shared" si="2"/>
        <v>PROPERTY_ENERGY_CERTIFICATEENERGY_CONSUMPTION_VALUE_YEAR</v>
      </c>
      <c r="B141" s="142" t="s">
        <v>26</v>
      </c>
      <c r="C141" s="138" t="s">
        <v>54</v>
      </c>
      <c r="D141" s="134" t="s">
        <v>40</v>
      </c>
      <c r="E141" s="135" t="s">
        <v>123</v>
      </c>
      <c r="F141" s="134" t="s">
        <v>51</v>
      </c>
      <c r="G141" s="136" t="str">
        <f>VLOOKUP(A141,Plano_V3!$A$26:$G$592,7,0)</f>
        <v>6. Em implementação (re-especificação)</v>
      </c>
      <c r="H141" s="136" t="s">
        <v>619</v>
      </c>
      <c r="I141" s="143"/>
      <c r="J141" s="153" t="str">
        <f>IF(VLOOKUP(A141,'Aux - pivots1'!$A:$E,3,0)=0, "",VLOOKUP(A141,'Aux - pivots1'!$A:$E,3,0))</f>
        <v/>
      </c>
      <c r="K141" s="153" t="str">
        <f>IF(VLOOKUP(A141,'Aux - pivots1'!$A:$E,4,0)=0, "",VLOOKUP(A141,'Aux - pivots1'!$A:$E,4,0))</f>
        <v/>
      </c>
      <c r="L141" s="153" t="str">
        <f>IF(VLOOKUP(A141,'Aux - pivots1'!$A:$E,5,0)=0, "",VLOOKUP(A141,'Aux - pivots1'!$A:$E,5,0))</f>
        <v/>
      </c>
      <c r="M141" s="209"/>
      <c r="N141" s="209"/>
    </row>
    <row r="142" spans="1:14" ht="16.2" hidden="1" customHeight="1" x14ac:dyDescent="0.4">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614</v>
      </c>
      <c r="I142" s="143"/>
      <c r="J142" s="153" t="str">
        <f>IF(VLOOKUP(A142,'Aux - pivots1'!$A:$E,3,0)=0, "",VLOOKUP(A142,'Aux - pivots1'!$A:$E,3,0))</f>
        <v/>
      </c>
      <c r="K142" s="153" t="str">
        <f>IF(VLOOKUP(A142,'Aux - pivots1'!$A:$E,4,0)=0, "",VLOOKUP(A142,'Aux - pivots1'!$A:$E,4,0))</f>
        <v/>
      </c>
      <c r="L142" s="153" t="str">
        <f>IF(VLOOKUP(A142,'Aux - pivots1'!$A:$E,5,0)=0, "",VLOOKUP(A142,'Aux - pivots1'!$A:$E,5,0))</f>
        <v/>
      </c>
      <c r="M142" s="209"/>
      <c r="N142" s="209"/>
    </row>
    <row r="143" spans="1:14" ht="16.2" hidden="1" customHeight="1" x14ac:dyDescent="0.4">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614</v>
      </c>
      <c r="I143" s="143"/>
      <c r="J143" s="153" t="str">
        <f>IF(VLOOKUP(A143,'Aux - pivots1'!$A:$E,3,0)=0, "",VLOOKUP(A143,'Aux - pivots1'!$A:$E,3,0))</f>
        <v/>
      </c>
      <c r="K143" s="153" t="str">
        <f>IF(VLOOKUP(A143,'Aux - pivots1'!$A:$E,4,0)=0, "",VLOOKUP(A143,'Aux - pivots1'!$A:$E,4,0))</f>
        <v/>
      </c>
      <c r="L143" s="153" t="str">
        <f>IF(VLOOKUP(A143,'Aux - pivots1'!$A:$E,5,0)=0, "",VLOOKUP(A143,'Aux - pivots1'!$A:$E,5,0))</f>
        <v/>
      </c>
      <c r="M143" s="209"/>
      <c r="N143" s="209"/>
    </row>
    <row r="144" spans="1:14" ht="16.2" hidden="1" customHeight="1" x14ac:dyDescent="0.4">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614</v>
      </c>
      <c r="I144" s="143"/>
      <c r="J144" s="153" t="str">
        <f>IF(VLOOKUP(A144,'Aux - pivots1'!$A:$E,3,0)=0, "",VLOOKUP(A144,'Aux - pivots1'!$A:$E,3,0))</f>
        <v/>
      </c>
      <c r="K144" s="153" t="str">
        <f>IF(VLOOKUP(A144,'Aux - pivots1'!$A:$E,4,0)=0, "",VLOOKUP(A144,'Aux - pivots1'!$A:$E,4,0))</f>
        <v/>
      </c>
      <c r="L144" s="153" t="str">
        <f>IF(VLOOKUP(A144,'Aux - pivots1'!$A:$E,5,0)=0, "",VLOOKUP(A144,'Aux - pivots1'!$A:$E,5,0))</f>
        <v/>
      </c>
      <c r="M144" s="209"/>
      <c r="N144" s="209"/>
    </row>
    <row r="145" spans="1:14" ht="16.2" hidden="1" customHeight="1" x14ac:dyDescent="0.4">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614</v>
      </c>
      <c r="I145" s="143"/>
      <c r="J145" s="153" t="str">
        <f>IF(VLOOKUP(A145,'Aux - pivots1'!$A:$E,3,0)=0, "",VLOOKUP(A145,'Aux - pivots1'!$A:$E,3,0))</f>
        <v/>
      </c>
      <c r="K145" s="153" t="str">
        <f>IF(VLOOKUP(A145,'Aux - pivots1'!$A:$E,4,0)=0, "",VLOOKUP(A145,'Aux - pivots1'!$A:$E,4,0))</f>
        <v/>
      </c>
      <c r="L145" s="153" t="str">
        <f>IF(VLOOKUP(A145,'Aux - pivots1'!$A:$E,5,0)=0, "",VLOOKUP(A145,'Aux - pivots1'!$A:$E,5,0))</f>
        <v/>
      </c>
      <c r="M145" s="209"/>
      <c r="N145" s="209"/>
    </row>
    <row r="146" spans="1:14" ht="16.2" hidden="1" customHeight="1" x14ac:dyDescent="0.4">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614</v>
      </c>
      <c r="I146" s="143"/>
      <c r="J146" s="153" t="str">
        <f>IF(VLOOKUP(A146,'Aux - pivots1'!$A:$E,3,0)=0, "",VLOOKUP(A146,'Aux - pivots1'!$A:$E,3,0))</f>
        <v/>
      </c>
      <c r="K146" s="153" t="str">
        <f>IF(VLOOKUP(A146,'Aux - pivots1'!$A:$E,4,0)=0, "",VLOOKUP(A146,'Aux - pivots1'!$A:$E,4,0))</f>
        <v/>
      </c>
      <c r="L146" s="153" t="str">
        <f>IF(VLOOKUP(A146,'Aux - pivots1'!$A:$E,5,0)=0, "",VLOOKUP(A146,'Aux - pivots1'!$A:$E,5,0))</f>
        <v/>
      </c>
      <c r="M146" s="209"/>
      <c r="N146" s="209"/>
    </row>
    <row r="147" spans="1:14" ht="16.2" hidden="1" customHeight="1" x14ac:dyDescent="0.4">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614</v>
      </c>
      <c r="I147" s="143"/>
      <c r="J147" s="153" t="str">
        <f>IF(VLOOKUP(A147,'Aux - pivots1'!$A:$E,3,0)=0, "",VLOOKUP(A147,'Aux - pivots1'!$A:$E,3,0))</f>
        <v/>
      </c>
      <c r="K147" s="153" t="str">
        <f>IF(VLOOKUP(A147,'Aux - pivots1'!$A:$E,4,0)=0, "",VLOOKUP(A147,'Aux - pivots1'!$A:$E,4,0))</f>
        <v/>
      </c>
      <c r="L147" s="153" t="str">
        <f>IF(VLOOKUP(A147,'Aux - pivots1'!$A:$E,5,0)=0, "",VLOOKUP(A147,'Aux - pivots1'!$A:$E,5,0))</f>
        <v/>
      </c>
      <c r="M147" s="209"/>
      <c r="N147" s="209"/>
    </row>
    <row r="148" spans="1:14" ht="16.2" hidden="1" customHeight="1" x14ac:dyDescent="0.4">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614</v>
      </c>
      <c r="I148" s="143"/>
      <c r="J148" s="153" t="str">
        <f>IF(VLOOKUP(A148,'Aux - pivots1'!$A:$E,3,0)=0, "",VLOOKUP(A148,'Aux - pivots1'!$A:$E,3,0))</f>
        <v/>
      </c>
      <c r="K148" s="153" t="str">
        <f>IF(VLOOKUP(A148,'Aux - pivots1'!$A:$E,4,0)=0, "",VLOOKUP(A148,'Aux - pivots1'!$A:$E,4,0))</f>
        <v/>
      </c>
      <c r="L148" s="153" t="str">
        <f>IF(VLOOKUP(A148,'Aux - pivots1'!$A:$E,5,0)=0, "",VLOOKUP(A148,'Aux - pivots1'!$A:$E,5,0))</f>
        <v/>
      </c>
      <c r="M148" s="209"/>
      <c r="N148" s="209"/>
    </row>
    <row r="149" spans="1:14" ht="16.2" hidden="1" customHeight="1" x14ac:dyDescent="0.4">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614</v>
      </c>
      <c r="I149" s="143"/>
      <c r="J149" s="153" t="str">
        <f>IF(VLOOKUP(A149,'Aux - pivots1'!$A:$E,3,0)=0, "",VLOOKUP(A149,'Aux - pivots1'!$A:$E,3,0))</f>
        <v/>
      </c>
      <c r="K149" s="153" t="str">
        <f>IF(VLOOKUP(A149,'Aux - pivots1'!$A:$E,4,0)=0, "",VLOOKUP(A149,'Aux - pivots1'!$A:$E,4,0))</f>
        <v/>
      </c>
      <c r="L149" s="153" t="str">
        <f>IF(VLOOKUP(A149,'Aux - pivots1'!$A:$E,5,0)=0, "",VLOOKUP(A149,'Aux - pivots1'!$A:$E,5,0))</f>
        <v/>
      </c>
      <c r="M149" s="209"/>
      <c r="N149" s="209"/>
    </row>
    <row r="150" spans="1:14" ht="16.2" hidden="1" customHeight="1" x14ac:dyDescent="0.4">
      <c r="A150" s="30" t="str">
        <f t="shared" si="2"/>
        <v>PROPERTY_ENERGY_CERTIFICATECARBON_EMISSION_VALUE_YEAR</v>
      </c>
      <c r="B150" s="142" t="s">
        <v>26</v>
      </c>
      <c r="C150" s="138" t="s">
        <v>54</v>
      </c>
      <c r="D150" s="134" t="s">
        <v>40</v>
      </c>
      <c r="E150" s="135" t="s">
        <v>123</v>
      </c>
      <c r="F150" s="134" t="s">
        <v>52</v>
      </c>
      <c r="G150" s="136" t="str">
        <f>VLOOKUP(A150,Plano_V3!$A$26:$G$592,7,0)</f>
        <v>6. Em implementação (re-especificação)</v>
      </c>
      <c r="H150" s="136" t="s">
        <v>619</v>
      </c>
      <c r="I150" s="143"/>
      <c r="J150" s="153" t="str">
        <f>IF(VLOOKUP(A150,'Aux - pivots1'!$A:$E,3,0)=0, "",VLOOKUP(A150,'Aux - pivots1'!$A:$E,3,0))</f>
        <v/>
      </c>
      <c r="K150" s="153" t="str">
        <f>IF(VLOOKUP(A150,'Aux - pivots1'!$A:$E,4,0)=0, "",VLOOKUP(A150,'Aux - pivots1'!$A:$E,4,0))</f>
        <v/>
      </c>
      <c r="L150" s="153" t="str">
        <f>IF(VLOOKUP(A150,'Aux - pivots1'!$A:$E,5,0)=0, "",VLOOKUP(A150,'Aux - pivots1'!$A:$E,5,0))</f>
        <v/>
      </c>
      <c r="M150" s="209"/>
      <c r="N150" s="209"/>
    </row>
    <row r="151" spans="1:14" ht="16.2" hidden="1" customHeight="1" x14ac:dyDescent="0.4">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614</v>
      </c>
      <c r="I151" s="143"/>
      <c r="J151" s="153" t="str">
        <f>IF(VLOOKUP(A151,'Aux - pivots1'!$A:$E,3,0)=0, "",VLOOKUP(A151,'Aux - pivots1'!$A:$E,3,0))</f>
        <v/>
      </c>
      <c r="K151" s="153" t="str">
        <f>IF(VLOOKUP(A151,'Aux - pivots1'!$A:$E,4,0)=0, "",VLOOKUP(A151,'Aux - pivots1'!$A:$E,4,0))</f>
        <v/>
      </c>
      <c r="L151" s="153" t="str">
        <f>IF(VLOOKUP(A151,'Aux - pivots1'!$A:$E,5,0)=0, "",VLOOKUP(A151,'Aux - pivots1'!$A:$E,5,0))</f>
        <v/>
      </c>
      <c r="M151" s="209"/>
      <c r="N151" s="209"/>
    </row>
    <row r="152" spans="1:14" ht="16.2" hidden="1" customHeight="1" x14ac:dyDescent="0.4">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614</v>
      </c>
      <c r="I152" s="143"/>
      <c r="J152" s="153" t="str">
        <f>IF(VLOOKUP(A152,'Aux - pivots1'!$A:$E,3,0)=0, "",VLOOKUP(A152,'Aux - pivots1'!$A:$E,3,0))</f>
        <v/>
      </c>
      <c r="K152" s="153" t="str">
        <f>IF(VLOOKUP(A152,'Aux - pivots1'!$A:$E,4,0)=0, "",VLOOKUP(A152,'Aux - pivots1'!$A:$E,4,0))</f>
        <v/>
      </c>
      <c r="L152" s="153" t="str">
        <f>IF(VLOOKUP(A152,'Aux - pivots1'!$A:$E,5,0)=0, "",VLOOKUP(A152,'Aux - pivots1'!$A:$E,5,0))</f>
        <v/>
      </c>
      <c r="M152" s="209"/>
      <c r="N152" s="209"/>
    </row>
    <row r="153" spans="1:14" ht="16.2" hidden="1" customHeight="1" x14ac:dyDescent="0.4">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614</v>
      </c>
      <c r="I153" s="143"/>
      <c r="J153" s="153" t="str">
        <f>IF(VLOOKUP(A153,'Aux - pivots1'!$A:$E,3,0)=0, "",VLOOKUP(A153,'Aux - pivots1'!$A:$E,3,0))</f>
        <v/>
      </c>
      <c r="K153" s="153" t="str">
        <f>IF(VLOOKUP(A153,'Aux - pivots1'!$A:$E,4,0)=0, "",VLOOKUP(A153,'Aux - pivots1'!$A:$E,4,0))</f>
        <v/>
      </c>
      <c r="L153" s="153" t="str">
        <f>IF(VLOOKUP(A153,'Aux - pivots1'!$A:$E,5,0)=0, "",VLOOKUP(A153,'Aux - pivots1'!$A:$E,5,0))</f>
        <v/>
      </c>
      <c r="M153" s="209"/>
      <c r="N153" s="209"/>
    </row>
    <row r="154" spans="1:14" ht="16.2" hidden="1" customHeight="1" x14ac:dyDescent="0.4">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614</v>
      </c>
      <c r="I154" s="143"/>
      <c r="J154" s="153" t="str">
        <f>IF(VLOOKUP(A154,'Aux - pivots1'!$A:$E,3,0)=0, "",VLOOKUP(A154,'Aux - pivots1'!$A:$E,3,0))</f>
        <v/>
      </c>
      <c r="K154" s="153" t="str">
        <f>IF(VLOOKUP(A154,'Aux - pivots1'!$A:$E,4,0)=0, "",VLOOKUP(A154,'Aux - pivots1'!$A:$E,4,0))</f>
        <v/>
      </c>
      <c r="L154" s="153" t="str">
        <f>IF(VLOOKUP(A154,'Aux - pivots1'!$A:$E,5,0)=0, "",VLOOKUP(A154,'Aux - pivots1'!$A:$E,5,0))</f>
        <v/>
      </c>
      <c r="M154" s="209"/>
      <c r="N154" s="209"/>
    </row>
    <row r="155" spans="1:14" ht="16.2" hidden="1" customHeight="1" x14ac:dyDescent="0.4">
      <c r="A155" s="30" t="str">
        <f t="shared" si="2"/>
        <v>PROPERTY_ENERGY_CERTIFICATEREN_ENERGY_PRODUCED_VALUE</v>
      </c>
      <c r="B155" s="142" t="s">
        <v>26</v>
      </c>
      <c r="C155" s="138" t="s">
        <v>54</v>
      </c>
      <c r="D155" s="134" t="s">
        <v>40</v>
      </c>
      <c r="E155" s="135" t="s">
        <v>123</v>
      </c>
      <c r="F155" s="134" t="s">
        <v>160</v>
      </c>
      <c r="G155" s="136" t="str">
        <f>VLOOKUP(A155,Plano_V3!$A$26:$G$592,7,0)</f>
        <v>6. Em implementação (re-especificação)</v>
      </c>
      <c r="H155" s="136" t="s">
        <v>619</v>
      </c>
      <c r="I155" s="143"/>
      <c r="J155" s="153" t="str">
        <f>IF(VLOOKUP(A155,'Aux - pivots1'!$A:$E,3,0)=0, "",VLOOKUP(A155,'Aux - pivots1'!$A:$E,3,0))</f>
        <v/>
      </c>
      <c r="K155" s="153" t="str">
        <f>IF(VLOOKUP(A155,'Aux - pivots1'!$A:$E,4,0)=0, "",VLOOKUP(A155,'Aux - pivots1'!$A:$E,4,0))</f>
        <v/>
      </c>
      <c r="L155" s="153" t="str">
        <f>IF(VLOOKUP(A155,'Aux - pivots1'!$A:$E,5,0)=0, "",VLOOKUP(A155,'Aux - pivots1'!$A:$E,5,0))</f>
        <v/>
      </c>
      <c r="M155" s="209"/>
      <c r="N155" s="209"/>
    </row>
    <row r="156" spans="1:14" ht="16.2" hidden="1" customHeight="1" x14ac:dyDescent="0.4">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614</v>
      </c>
      <c r="I156" s="143"/>
      <c r="J156" s="153" t="str">
        <f>IF(VLOOKUP(A156,'Aux - pivots1'!$A:$E,3,0)=0, "",VLOOKUP(A156,'Aux - pivots1'!$A:$E,3,0))</f>
        <v/>
      </c>
      <c r="K156" s="153" t="str">
        <f>IF(VLOOKUP(A156,'Aux - pivots1'!$A:$E,4,0)=0, "",VLOOKUP(A156,'Aux - pivots1'!$A:$E,4,0))</f>
        <v/>
      </c>
      <c r="L156" s="153" t="str">
        <f>IF(VLOOKUP(A156,'Aux - pivots1'!$A:$E,5,0)=0, "",VLOOKUP(A156,'Aux - pivots1'!$A:$E,5,0))</f>
        <v/>
      </c>
      <c r="M156" s="209"/>
      <c r="N156" s="209"/>
    </row>
    <row r="157" spans="1:14" ht="16.2" hidden="1" customHeight="1" x14ac:dyDescent="0.4">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614</v>
      </c>
      <c r="I157" s="143"/>
      <c r="J157" s="153" t="str">
        <f>IF(VLOOKUP(A157,'Aux - pivots1'!$A:$E,3,0)=0, "",VLOOKUP(A157,'Aux - pivots1'!$A:$E,3,0))</f>
        <v/>
      </c>
      <c r="K157" s="153" t="str">
        <f>IF(VLOOKUP(A157,'Aux - pivots1'!$A:$E,4,0)=0, "",VLOOKUP(A157,'Aux - pivots1'!$A:$E,4,0))</f>
        <v/>
      </c>
      <c r="L157" s="153" t="str">
        <f>IF(VLOOKUP(A157,'Aux - pivots1'!$A:$E,5,0)=0, "",VLOOKUP(A157,'Aux - pivots1'!$A:$E,5,0))</f>
        <v/>
      </c>
      <c r="M157" s="209"/>
      <c r="N157" s="209"/>
    </row>
    <row r="158" spans="1:14" ht="16.2" hidden="1" customHeight="1" x14ac:dyDescent="0.4">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614</v>
      </c>
      <c r="I158" s="143"/>
      <c r="J158" s="153" t="str">
        <f>IF(VLOOKUP(A158,'Aux - pivots1'!$A:$E,3,0)=0, "",VLOOKUP(A158,'Aux - pivots1'!$A:$E,3,0))</f>
        <v/>
      </c>
      <c r="K158" s="153" t="str">
        <f>IF(VLOOKUP(A158,'Aux - pivots1'!$A:$E,4,0)=0, "",VLOOKUP(A158,'Aux - pivots1'!$A:$E,4,0))</f>
        <v/>
      </c>
      <c r="L158" s="153" t="str">
        <f>IF(VLOOKUP(A158,'Aux - pivots1'!$A:$E,5,0)=0, "",VLOOKUP(A158,'Aux - pivots1'!$A:$E,5,0))</f>
        <v/>
      </c>
      <c r="M158" s="209"/>
      <c r="N158" s="209"/>
    </row>
    <row r="159" spans="1:14" ht="16.2" hidden="1" customHeight="1" x14ac:dyDescent="0.4">
      <c r="A159" s="30" t="str">
        <f t="shared" si="2"/>
        <v>PROPERTY_ENERGY_CERTIFICATEPRIMARY_ENERGY_REQ_VALUE</v>
      </c>
      <c r="B159" s="142" t="s">
        <v>26</v>
      </c>
      <c r="C159" s="138" t="s">
        <v>54</v>
      </c>
      <c r="D159" s="134" t="s">
        <v>40</v>
      </c>
      <c r="E159" s="135" t="s">
        <v>123</v>
      </c>
      <c r="F159" s="134" t="s">
        <v>164</v>
      </c>
      <c r="G159" s="136" t="str">
        <f>VLOOKUP(A159,Plano_V3!$A$26:$G$592,7,0)</f>
        <v>6. Em implementação (re-especificação)</v>
      </c>
      <c r="H159" s="136" t="s">
        <v>619</v>
      </c>
      <c r="I159" s="143"/>
      <c r="J159" s="153" t="str">
        <f>IF(VLOOKUP(A159,'Aux - pivots1'!$A:$E,3,0)=0, "",VLOOKUP(A159,'Aux - pivots1'!$A:$E,3,0))</f>
        <v/>
      </c>
      <c r="K159" s="153" t="str">
        <f>IF(VLOOKUP(A159,'Aux - pivots1'!$A:$E,4,0)=0, "",VLOOKUP(A159,'Aux - pivots1'!$A:$E,4,0))</f>
        <v/>
      </c>
      <c r="L159" s="153" t="str">
        <f>IF(VLOOKUP(A159,'Aux - pivots1'!$A:$E,5,0)=0, "",VLOOKUP(A159,'Aux - pivots1'!$A:$E,5,0))</f>
        <v/>
      </c>
      <c r="M159" s="209"/>
      <c r="N159" s="209"/>
    </row>
    <row r="160" spans="1:14" ht="16.2" hidden="1" customHeight="1" x14ac:dyDescent="0.4">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614</v>
      </c>
      <c r="I160" s="143"/>
      <c r="J160" s="153" t="str">
        <f>IF(VLOOKUP(A160,'Aux - pivots1'!$A:$E,3,0)=0, "",VLOOKUP(A160,'Aux - pivots1'!$A:$E,3,0))</f>
        <v/>
      </c>
      <c r="K160" s="153" t="str">
        <f>IF(VLOOKUP(A160,'Aux - pivots1'!$A:$E,4,0)=0, "",VLOOKUP(A160,'Aux - pivots1'!$A:$E,4,0))</f>
        <v/>
      </c>
      <c r="L160" s="153" t="str">
        <f>IF(VLOOKUP(A160,'Aux - pivots1'!$A:$E,5,0)=0, "",VLOOKUP(A160,'Aux - pivots1'!$A:$E,5,0))</f>
        <v/>
      </c>
      <c r="M160" s="209"/>
      <c r="N160" s="209"/>
    </row>
    <row r="161" spans="1:14" ht="16.2" hidden="1" customHeight="1" x14ac:dyDescent="0.4">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614</v>
      </c>
      <c r="I161" s="143"/>
      <c r="J161" s="153" t="str">
        <f>IF(VLOOKUP(A161,'Aux - pivots1'!$A:$E,3,0)=0, "",VLOOKUP(A161,'Aux - pivots1'!$A:$E,3,0))</f>
        <v/>
      </c>
      <c r="K161" s="153" t="str">
        <f>IF(VLOOKUP(A161,'Aux - pivots1'!$A:$E,4,0)=0, "",VLOOKUP(A161,'Aux - pivots1'!$A:$E,4,0))</f>
        <v/>
      </c>
      <c r="L161" s="153" t="str">
        <f>IF(VLOOKUP(A161,'Aux - pivots1'!$A:$E,5,0)=0, "",VLOOKUP(A161,'Aux - pivots1'!$A:$E,5,0))</f>
        <v/>
      </c>
      <c r="M161" s="209"/>
      <c r="N161" s="209"/>
    </row>
    <row r="162" spans="1:14" ht="16.2" hidden="1" customHeight="1" x14ac:dyDescent="0.4">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614</v>
      </c>
      <c r="I162" s="143"/>
      <c r="J162" s="153" t="str">
        <f>IF(VLOOKUP(A162,'Aux - pivots1'!$A:$E,3,0)=0, "",VLOOKUP(A162,'Aux - pivots1'!$A:$E,3,0))</f>
        <v/>
      </c>
      <c r="K162" s="153" t="str">
        <f>IF(VLOOKUP(A162,'Aux - pivots1'!$A:$E,4,0)=0, "",VLOOKUP(A162,'Aux - pivots1'!$A:$E,4,0))</f>
        <v/>
      </c>
      <c r="L162" s="153" t="str">
        <f>IF(VLOOKUP(A162,'Aux - pivots1'!$A:$E,5,0)=0, "",VLOOKUP(A162,'Aux - pivots1'!$A:$E,5,0))</f>
        <v/>
      </c>
      <c r="M162" s="209"/>
      <c r="N162" s="209"/>
    </row>
    <row r="163" spans="1:14" ht="16.2" hidden="1" customHeight="1" x14ac:dyDescent="0.4">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614</v>
      </c>
      <c r="I163" s="143"/>
      <c r="J163" s="153" t="str">
        <f>IF(VLOOKUP(A163,'Aux - pivots1'!$A:$E,3,0)=0, "",VLOOKUP(A163,'Aux - pivots1'!$A:$E,3,0))</f>
        <v/>
      </c>
      <c r="K163" s="153" t="str">
        <f>IF(VLOOKUP(A163,'Aux - pivots1'!$A:$E,4,0)=0, "",VLOOKUP(A163,'Aux - pivots1'!$A:$E,4,0))</f>
        <v/>
      </c>
      <c r="L163" s="153" t="str">
        <f>IF(VLOOKUP(A163,'Aux - pivots1'!$A:$E,5,0)=0, "",VLOOKUP(A163,'Aux - pivots1'!$A:$E,5,0))</f>
        <v/>
      </c>
      <c r="M163" s="209"/>
      <c r="N163" s="209"/>
    </row>
    <row r="164" spans="1:14" ht="16.2" hidden="1" customHeight="1" x14ac:dyDescent="0.4">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614</v>
      </c>
      <c r="I164" s="143"/>
      <c r="J164" s="153" t="str">
        <f>IF(VLOOKUP(A164,'Aux - pivots1'!$A:$E,3,0)=0, "",VLOOKUP(A164,'Aux - pivots1'!$A:$E,3,0))</f>
        <v/>
      </c>
      <c r="K164" s="153" t="str">
        <f>IF(VLOOKUP(A164,'Aux - pivots1'!$A:$E,4,0)=0, "",VLOOKUP(A164,'Aux - pivots1'!$A:$E,4,0))</f>
        <v/>
      </c>
      <c r="L164" s="153" t="str">
        <f>IF(VLOOKUP(A164,'Aux - pivots1'!$A:$E,5,0)=0, "",VLOOKUP(A164,'Aux - pivots1'!$A:$E,5,0))</f>
        <v/>
      </c>
      <c r="M164" s="209"/>
      <c r="N164" s="209"/>
    </row>
    <row r="165" spans="1:14" ht="16.2" hidden="1" customHeight="1" x14ac:dyDescent="0.4">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614</v>
      </c>
      <c r="I165" s="143"/>
      <c r="J165" s="153" t="str">
        <f>IF(VLOOKUP(A165,'Aux - pivots1'!$A:$E,3,0)=0, "",VLOOKUP(A165,'Aux - pivots1'!$A:$E,3,0))</f>
        <v/>
      </c>
      <c r="K165" s="153" t="str">
        <f>IF(VLOOKUP(A165,'Aux - pivots1'!$A:$E,4,0)=0, "",VLOOKUP(A165,'Aux - pivots1'!$A:$E,4,0))</f>
        <v/>
      </c>
      <c r="L165" s="153" t="str">
        <f>IF(VLOOKUP(A165,'Aux - pivots1'!$A:$E,5,0)=0, "",VLOOKUP(A165,'Aux - pivots1'!$A:$E,5,0))</f>
        <v/>
      </c>
      <c r="M165" s="209"/>
      <c r="N165" s="209"/>
    </row>
    <row r="166" spans="1:14" ht="16.2" hidden="1" customHeight="1" x14ac:dyDescent="0.4">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614</v>
      </c>
      <c r="I166" s="143"/>
      <c r="J166" s="153" t="str">
        <f>IF(VLOOKUP(A166,'Aux - pivots1'!$A:$E,3,0)=0, "",VLOOKUP(A166,'Aux - pivots1'!$A:$E,3,0))</f>
        <v/>
      </c>
      <c r="K166" s="153" t="str">
        <f>IF(VLOOKUP(A166,'Aux - pivots1'!$A:$E,4,0)=0, "",VLOOKUP(A166,'Aux - pivots1'!$A:$E,4,0))</f>
        <v/>
      </c>
      <c r="L166" s="153" t="str">
        <f>IF(VLOOKUP(A166,'Aux - pivots1'!$A:$E,5,0)=0, "",VLOOKUP(A166,'Aux - pivots1'!$A:$E,5,0))</f>
        <v/>
      </c>
      <c r="M166" s="209"/>
      <c r="N166" s="209"/>
    </row>
    <row r="167" spans="1:14" ht="16.2" hidden="1" customHeight="1" x14ac:dyDescent="0.4">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614</v>
      </c>
      <c r="I167" s="143"/>
      <c r="J167" s="153" t="str">
        <f>IF(VLOOKUP(A167,'Aux - pivots1'!$A:$E,3,0)=0, "",VLOOKUP(A167,'Aux - pivots1'!$A:$E,3,0))</f>
        <v/>
      </c>
      <c r="K167" s="153" t="str">
        <f>IF(VLOOKUP(A167,'Aux - pivots1'!$A:$E,4,0)=0, "",VLOOKUP(A167,'Aux - pivots1'!$A:$E,4,0))</f>
        <v/>
      </c>
      <c r="L167" s="153" t="str">
        <f>IF(VLOOKUP(A167,'Aux - pivots1'!$A:$E,5,0)=0, "",VLOOKUP(A167,'Aux - pivots1'!$A:$E,5,0))</f>
        <v/>
      </c>
      <c r="M167" s="209"/>
      <c r="N167" s="209"/>
    </row>
    <row r="168" spans="1:14" ht="16.2" hidden="1" customHeight="1" x14ac:dyDescent="0.4">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614</v>
      </c>
      <c r="I168" s="143"/>
      <c r="J168" s="153" t="str">
        <f>IF(VLOOKUP(A168,'Aux - pivots1'!$A:$E,3,0)=0, "",VLOOKUP(A168,'Aux - pivots1'!$A:$E,3,0))</f>
        <v/>
      </c>
      <c r="K168" s="153" t="str">
        <f>IF(VLOOKUP(A168,'Aux - pivots1'!$A:$E,4,0)=0, "",VLOOKUP(A168,'Aux - pivots1'!$A:$E,4,0))</f>
        <v/>
      </c>
      <c r="L168" s="153" t="str">
        <f>IF(VLOOKUP(A168,'Aux - pivots1'!$A:$E,5,0)=0, "",VLOOKUP(A168,'Aux - pivots1'!$A:$E,5,0))</f>
        <v/>
      </c>
      <c r="M168" s="209"/>
      <c r="N168" s="209"/>
    </row>
    <row r="169" spans="1:14" ht="16.2" hidden="1" customHeight="1" x14ac:dyDescent="0.4">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614</v>
      </c>
      <c r="I169" s="143"/>
      <c r="J169" s="153" t="str">
        <f>IF(VLOOKUP(A169,'Aux - pivots1'!$A:$E,3,0)=0, "",VLOOKUP(A169,'Aux - pivots1'!$A:$E,3,0))</f>
        <v/>
      </c>
      <c r="K169" s="153" t="str">
        <f>IF(VLOOKUP(A169,'Aux - pivots1'!$A:$E,4,0)=0, "",VLOOKUP(A169,'Aux - pivots1'!$A:$E,4,0))</f>
        <v/>
      </c>
      <c r="L169" s="153" t="str">
        <f>IF(VLOOKUP(A169,'Aux - pivots1'!$A:$E,5,0)=0, "",VLOOKUP(A169,'Aux - pivots1'!$A:$E,5,0))</f>
        <v/>
      </c>
      <c r="M169" s="209"/>
      <c r="N169" s="209"/>
    </row>
    <row r="170" spans="1:14" ht="16.2" hidden="1" customHeight="1" x14ac:dyDescent="0.4">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614</v>
      </c>
      <c r="I170" s="143"/>
      <c r="J170" s="153" t="str">
        <f>IF(VLOOKUP(A170,'Aux - pivots1'!$A:$E,3,0)=0, "",VLOOKUP(A170,'Aux - pivots1'!$A:$E,3,0))</f>
        <v/>
      </c>
      <c r="K170" s="153" t="str">
        <f>IF(VLOOKUP(A170,'Aux - pivots1'!$A:$E,4,0)=0, "",VLOOKUP(A170,'Aux - pivots1'!$A:$E,4,0))</f>
        <v/>
      </c>
      <c r="L170" s="153" t="str">
        <f>IF(VLOOKUP(A170,'Aux - pivots1'!$A:$E,5,0)=0, "",VLOOKUP(A170,'Aux - pivots1'!$A:$E,5,0))</f>
        <v/>
      </c>
      <c r="M170" s="209"/>
      <c r="N170" s="209"/>
    </row>
    <row r="171" spans="1:14" ht="16.2" hidden="1" customHeight="1" x14ac:dyDescent="0.4">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614</v>
      </c>
      <c r="I171" s="143"/>
      <c r="J171" s="153" t="str">
        <f>IF(VLOOKUP(A171,'Aux - pivots1'!$A:$E,3,0)=0, "",VLOOKUP(A171,'Aux - pivots1'!$A:$E,3,0))</f>
        <v/>
      </c>
      <c r="K171" s="153" t="str">
        <f>IF(VLOOKUP(A171,'Aux - pivots1'!$A:$E,4,0)=0, "",VLOOKUP(A171,'Aux - pivots1'!$A:$E,4,0))</f>
        <v/>
      </c>
      <c r="L171" s="153" t="str">
        <f>IF(VLOOKUP(A171,'Aux - pivots1'!$A:$E,5,0)=0, "",VLOOKUP(A171,'Aux - pivots1'!$A:$E,5,0))</f>
        <v/>
      </c>
      <c r="M171" s="209"/>
      <c r="N171" s="209"/>
    </row>
    <row r="172" spans="1:14" ht="16.2" hidden="1" customHeight="1" x14ac:dyDescent="0.4">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614</v>
      </c>
      <c r="I172" s="143"/>
      <c r="J172" s="153" t="str">
        <f>IF(VLOOKUP(A172,'Aux - pivots1'!$A:$E,3,0)=0, "",VLOOKUP(A172,'Aux - pivots1'!$A:$E,3,0))</f>
        <v/>
      </c>
      <c r="K172" s="153" t="str">
        <f>IF(VLOOKUP(A172,'Aux - pivots1'!$A:$E,4,0)=0, "",VLOOKUP(A172,'Aux - pivots1'!$A:$E,4,0))</f>
        <v/>
      </c>
      <c r="L172" s="153" t="str">
        <f>IF(VLOOKUP(A172,'Aux - pivots1'!$A:$E,5,0)=0, "",VLOOKUP(A172,'Aux - pivots1'!$A:$E,5,0))</f>
        <v/>
      </c>
      <c r="M172" s="209"/>
      <c r="N172" s="209"/>
    </row>
    <row r="173" spans="1:14" ht="16.2" hidden="1" customHeight="1" x14ac:dyDescent="0.4">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614</v>
      </c>
      <c r="I173" s="143"/>
      <c r="J173" s="153" t="str">
        <f>IF(VLOOKUP(A173,'Aux - pivots1'!$A:$E,3,0)=0, "",VLOOKUP(A173,'Aux - pivots1'!$A:$E,3,0))</f>
        <v/>
      </c>
      <c r="K173" s="153" t="str">
        <f>IF(VLOOKUP(A173,'Aux - pivots1'!$A:$E,4,0)=0, "",VLOOKUP(A173,'Aux - pivots1'!$A:$E,4,0))</f>
        <v/>
      </c>
      <c r="L173" s="153" t="str">
        <f>IF(VLOOKUP(A173,'Aux - pivots1'!$A:$E,5,0)=0, "",VLOOKUP(A173,'Aux - pivots1'!$A:$E,5,0))</f>
        <v/>
      </c>
      <c r="M173" s="209"/>
      <c r="N173" s="209"/>
    </row>
    <row r="174" spans="1:14" ht="16.2" hidden="1" customHeight="1" x14ac:dyDescent="0.4">
      <c r="A174" s="30" t="str">
        <f t="shared" si="2"/>
        <v>PROPERTY_ENERGY_CERTIFICATENET_FLOOR_AREA</v>
      </c>
      <c r="B174" s="142" t="s">
        <v>26</v>
      </c>
      <c r="C174" s="138" t="s">
        <v>54</v>
      </c>
      <c r="D174" s="134" t="s">
        <v>40</v>
      </c>
      <c r="E174" s="135" t="s">
        <v>123</v>
      </c>
      <c r="F174" s="134" t="s">
        <v>97</v>
      </c>
      <c r="G174" s="136" t="str">
        <f>VLOOKUP(A174,Plano_V3!$A$26:$G$592,7,0)</f>
        <v>6. Em implementação (re-especificação)</v>
      </c>
      <c r="H174" s="136" t="s">
        <v>619</v>
      </c>
      <c r="I174" s="143"/>
      <c r="J174" s="153" t="str">
        <f>IF(VLOOKUP(A174,'Aux - pivots1'!$A:$E,3,0)=0, "",VLOOKUP(A174,'Aux - pivots1'!$A:$E,3,0))</f>
        <v/>
      </c>
      <c r="K174" s="153" t="str">
        <f>IF(VLOOKUP(A174,'Aux - pivots1'!$A:$E,4,0)=0, "",VLOOKUP(A174,'Aux - pivots1'!$A:$E,4,0))</f>
        <v/>
      </c>
      <c r="L174" s="153" t="str">
        <f>IF(VLOOKUP(A174,'Aux - pivots1'!$A:$E,5,0)=0, "",VLOOKUP(A174,'Aux - pivots1'!$A:$E,5,0))</f>
        <v/>
      </c>
      <c r="M174" s="209"/>
      <c r="N174" s="209"/>
    </row>
    <row r="175" spans="1:14" ht="16.2" hidden="1" customHeight="1" x14ac:dyDescent="0.4">
      <c r="A175" s="30" t="str">
        <f t="shared" si="2"/>
        <v>PROPERTY_ENERGY_CERTIFICATECADASTRAL_REGISTER_CODE</v>
      </c>
      <c r="B175" s="142" t="s">
        <v>26</v>
      </c>
      <c r="C175" s="138" t="s">
        <v>54</v>
      </c>
      <c r="D175" s="134" t="s">
        <v>40</v>
      </c>
      <c r="E175" s="135" t="s">
        <v>123</v>
      </c>
      <c r="F175" s="134" t="s">
        <v>98</v>
      </c>
      <c r="G175" s="136" t="str">
        <f>VLOOKUP(A175,Plano_V3!$A$26:$G$592,7,0)</f>
        <v>6. Em implementação (re-especificação)</v>
      </c>
      <c r="H175" s="136" t="s">
        <v>619</v>
      </c>
      <c r="I175" s="143"/>
      <c r="J175" s="153" t="str">
        <f>IF(VLOOKUP(A175,'Aux - pivots1'!$A:$E,3,0)=0, "",VLOOKUP(A175,'Aux - pivots1'!$A:$E,3,0))</f>
        <v/>
      </c>
      <c r="K175" s="153" t="str">
        <f>IF(VLOOKUP(A175,'Aux - pivots1'!$A:$E,4,0)=0, "",VLOOKUP(A175,'Aux - pivots1'!$A:$E,4,0))</f>
        <v/>
      </c>
      <c r="L175" s="153" t="str">
        <f>IF(VLOOKUP(A175,'Aux - pivots1'!$A:$E,5,0)=0, "",VLOOKUP(A175,'Aux - pivots1'!$A:$E,5,0))</f>
        <v/>
      </c>
      <c r="M175" s="209"/>
      <c r="N175" s="209"/>
    </row>
    <row r="176" spans="1:14" ht="16.2" hidden="1" customHeight="1" x14ac:dyDescent="0.4">
      <c r="A176" s="30" t="str">
        <f t="shared" si="2"/>
        <v>PROPERTY_ENERGY_CERTIFICATEDISTRICT_MUNICIP_PARISH_CODE</v>
      </c>
      <c r="B176" s="142" t="s">
        <v>26</v>
      </c>
      <c r="C176" s="138" t="s">
        <v>54</v>
      </c>
      <c r="D176" s="134" t="s">
        <v>40</v>
      </c>
      <c r="E176" s="135" t="s">
        <v>123</v>
      </c>
      <c r="F176" s="134" t="s">
        <v>101</v>
      </c>
      <c r="G176" s="136" t="str">
        <f>VLOOKUP(A176,Plano_V3!$A$26:$G$592,7,0)</f>
        <v>6. Em implementação (re-especificação)</v>
      </c>
      <c r="H176" s="136" t="s">
        <v>619</v>
      </c>
      <c r="I176" s="143"/>
      <c r="J176" s="153" t="str">
        <f>IF(VLOOKUP(A176,'Aux - pivots1'!$A:$E,3,0)=0, "",VLOOKUP(A176,'Aux - pivots1'!$A:$E,3,0))</f>
        <v/>
      </c>
      <c r="K176" s="153" t="str">
        <f>IF(VLOOKUP(A176,'Aux - pivots1'!$A:$E,4,0)=0, "",VLOOKUP(A176,'Aux - pivots1'!$A:$E,4,0))</f>
        <v/>
      </c>
      <c r="L176" s="153" t="str">
        <f>IF(VLOOKUP(A176,'Aux - pivots1'!$A:$E,5,0)=0, "",VLOOKUP(A176,'Aux - pivots1'!$A:$E,5,0))</f>
        <v/>
      </c>
      <c r="M176" s="209"/>
      <c r="N176" s="209"/>
    </row>
    <row r="177" spans="1:14" ht="16.2" hidden="1" customHeight="1" x14ac:dyDescent="0.4">
      <c r="A177" s="30" t="str">
        <f t="shared" si="2"/>
        <v>PROPERTY_ENERGY_CERTIFICATEPROPERTY_PURPOSE_CODE</v>
      </c>
      <c r="B177" s="142" t="s">
        <v>26</v>
      </c>
      <c r="C177" s="138" t="s">
        <v>54</v>
      </c>
      <c r="D177" s="134" t="s">
        <v>40</v>
      </c>
      <c r="E177" s="135" t="s">
        <v>123</v>
      </c>
      <c r="F177" s="134" t="s">
        <v>102</v>
      </c>
      <c r="G177" s="136" t="str">
        <f>VLOOKUP(A177,Plano_V3!$A$26:$G$592,7,0)</f>
        <v>6. Em implementação (re-especificação)</v>
      </c>
      <c r="H177" s="136" t="s">
        <v>619</v>
      </c>
      <c r="I177" s="143"/>
      <c r="J177" s="153" t="str">
        <f>IF(VLOOKUP(A177,'Aux - pivots1'!$A:$E,3,0)=0, "",VLOOKUP(A177,'Aux - pivots1'!$A:$E,3,0))</f>
        <v/>
      </c>
      <c r="K177" s="153" t="str">
        <f>IF(VLOOKUP(A177,'Aux - pivots1'!$A:$E,4,0)=0, "",VLOOKUP(A177,'Aux - pivots1'!$A:$E,4,0))</f>
        <v/>
      </c>
      <c r="L177" s="153" t="str">
        <f>IF(VLOOKUP(A177,'Aux - pivots1'!$A:$E,5,0)=0, "",VLOOKUP(A177,'Aux - pivots1'!$A:$E,5,0))</f>
        <v/>
      </c>
      <c r="M177" s="209"/>
      <c r="N177" s="209"/>
    </row>
    <row r="178" spans="1:14" ht="16.2" hidden="1" customHeight="1" x14ac:dyDescent="0.4">
      <c r="A178" s="30" t="str">
        <f t="shared" si="2"/>
        <v>PROPERTY_ENERGY_CERTIFICATEADDRESS_CODE</v>
      </c>
      <c r="B178" s="142" t="s">
        <v>26</v>
      </c>
      <c r="C178" s="138" t="s">
        <v>54</v>
      </c>
      <c r="D178" s="134" t="s">
        <v>40</v>
      </c>
      <c r="E178" s="135" t="s">
        <v>123</v>
      </c>
      <c r="F178" s="134" t="s">
        <v>104</v>
      </c>
      <c r="G178" s="136" t="str">
        <f>VLOOKUP(A178,Plano_V3!$A$26:$G$592,7,0)</f>
        <v>6. Em implementação (re-especificação)</v>
      </c>
      <c r="H178" s="136" t="s">
        <v>619</v>
      </c>
      <c r="I178" s="143"/>
      <c r="J178" s="153" t="str">
        <f>IF(VLOOKUP(A178,'Aux - pivots1'!$A:$E,3,0)=0, "",VLOOKUP(A178,'Aux - pivots1'!$A:$E,3,0))</f>
        <v/>
      </c>
      <c r="K178" s="153" t="str">
        <f>IF(VLOOKUP(A178,'Aux - pivots1'!$A:$E,4,0)=0, "",VLOOKUP(A178,'Aux - pivots1'!$A:$E,4,0))</f>
        <v/>
      </c>
      <c r="L178" s="153" t="str">
        <f>IF(VLOOKUP(A178,'Aux - pivots1'!$A:$E,5,0)=0, "",VLOOKUP(A178,'Aux - pivots1'!$A:$E,5,0))</f>
        <v/>
      </c>
      <c r="M178" s="209"/>
      <c r="N178" s="209"/>
    </row>
    <row r="179" spans="1:14" ht="16.2" hidden="1" customHeight="1" x14ac:dyDescent="0.4">
      <c r="A179" s="30" t="str">
        <f t="shared" si="2"/>
        <v>PROPERTY_ENERGY_CERTIFICATEFLOOR_NUMBER</v>
      </c>
      <c r="B179" s="142" t="s">
        <v>26</v>
      </c>
      <c r="C179" s="138" t="s">
        <v>54</v>
      </c>
      <c r="D179" s="134" t="s">
        <v>40</v>
      </c>
      <c r="E179" s="135" t="s">
        <v>123</v>
      </c>
      <c r="F179" s="134" t="s">
        <v>111</v>
      </c>
      <c r="G179" s="136" t="str">
        <f>VLOOKUP(A179,Plano_V3!$A$26:$G$592,7,0)</f>
        <v>6. Em implementação (re-especificação)</v>
      </c>
      <c r="H179" s="136" t="s">
        <v>619</v>
      </c>
      <c r="I179" s="143"/>
      <c r="J179" s="153" t="str">
        <f>IF(VLOOKUP(A179,'Aux - pivots1'!$A:$E,3,0)=0, "",VLOOKUP(A179,'Aux - pivots1'!$A:$E,3,0))</f>
        <v/>
      </c>
      <c r="K179" s="153" t="str">
        <f>IF(VLOOKUP(A179,'Aux - pivots1'!$A:$E,4,0)=0, "",VLOOKUP(A179,'Aux - pivots1'!$A:$E,4,0))</f>
        <v/>
      </c>
      <c r="L179" s="153" t="str">
        <f>IF(VLOOKUP(A179,'Aux - pivots1'!$A:$E,5,0)=0, "",VLOOKUP(A179,'Aux - pivots1'!$A:$E,5,0))</f>
        <v/>
      </c>
      <c r="M179" s="209"/>
      <c r="N179" s="209"/>
    </row>
    <row r="180" spans="1:14" ht="16.2" hidden="1" customHeight="1" x14ac:dyDescent="0.4">
      <c r="A180" s="30" t="str">
        <f t="shared" si="2"/>
        <v>PROPERTY_ENERGY_CERTIFICATELOCALITY</v>
      </c>
      <c r="B180" s="142" t="s">
        <v>26</v>
      </c>
      <c r="C180" s="138" t="s">
        <v>54</v>
      </c>
      <c r="D180" s="134" t="s">
        <v>40</v>
      </c>
      <c r="E180" s="135" t="s">
        <v>123</v>
      </c>
      <c r="F180" s="134" t="s">
        <v>112</v>
      </c>
      <c r="G180" s="136" t="str">
        <f>VLOOKUP(A180,Plano_V3!$A$26:$G$592,7,0)</f>
        <v>6. Em implementação (re-especificação)</v>
      </c>
      <c r="H180" s="136" t="s">
        <v>619</v>
      </c>
      <c r="I180" s="143"/>
      <c r="J180" s="153" t="str">
        <f>IF(VLOOKUP(A180,'Aux - pivots1'!$A:$E,3,0)=0, "",VLOOKUP(A180,'Aux - pivots1'!$A:$E,3,0))</f>
        <v/>
      </c>
      <c r="K180" s="153" t="str">
        <f>IF(VLOOKUP(A180,'Aux - pivots1'!$A:$E,4,0)=0, "",VLOOKUP(A180,'Aux - pivots1'!$A:$E,4,0))</f>
        <v/>
      </c>
      <c r="L180" s="153" t="str">
        <f>IF(VLOOKUP(A180,'Aux - pivots1'!$A:$E,5,0)=0, "",VLOOKUP(A180,'Aux - pivots1'!$A:$E,5,0))</f>
        <v/>
      </c>
      <c r="M180" s="209"/>
      <c r="N180" s="209"/>
    </row>
    <row r="181" spans="1:14" ht="16.2" hidden="1" customHeight="1" x14ac:dyDescent="0.4">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614</v>
      </c>
      <c r="I181" s="143"/>
      <c r="J181" s="153" t="str">
        <f>IF(VLOOKUP(A181,'Aux - pivots1'!$A:$E,3,0)=0, "",VLOOKUP(A181,'Aux - pivots1'!$A:$E,3,0))</f>
        <v/>
      </c>
      <c r="K181" s="153" t="str">
        <f>IF(VLOOKUP(A181,'Aux - pivots1'!$A:$E,4,0)=0, "",VLOOKUP(A181,'Aux - pivots1'!$A:$E,4,0))</f>
        <v/>
      </c>
      <c r="L181" s="153" t="str">
        <f>IF(VLOOKUP(A181,'Aux - pivots1'!$A:$E,5,0)=0, "",VLOOKUP(A181,'Aux - pivots1'!$A:$E,5,0))</f>
        <v/>
      </c>
      <c r="M181" s="209"/>
      <c r="N181" s="209"/>
    </row>
    <row r="182" spans="1:14" ht="16.2" hidden="1" customHeight="1" x14ac:dyDescent="0.4">
      <c r="A182" s="30" t="str">
        <f t="shared" si="2"/>
        <v>modesg_param_sfcs_taxon_europeian.a.</v>
      </c>
      <c r="B182" s="142" t="s">
        <v>26</v>
      </c>
      <c r="C182" s="138" t="s">
        <v>181</v>
      </c>
      <c r="D182" s="134" t="s">
        <v>36</v>
      </c>
      <c r="E182" s="135" t="s">
        <v>182</v>
      </c>
      <c r="F182" s="134" t="s">
        <v>38</v>
      </c>
      <c r="G182" s="136" t="str">
        <f>VLOOKUP(A182,Plano_V3!$A$26:$G$592,7,0)</f>
        <v>1. Concluído</v>
      </c>
      <c r="H182" s="136" t="s">
        <v>614</v>
      </c>
      <c r="I182" s="143"/>
      <c r="J182" s="153">
        <f>IF(VLOOKUP(A182,'Aux - pivots1'!$A:$E,3,0)=0, "",VLOOKUP(A182,'Aux - pivots1'!$A:$E,3,0))</f>
        <v>45563</v>
      </c>
      <c r="K182" s="153">
        <f>IF(VLOOKUP(A182,'Aux - pivots1'!$A:$E,4,0)=0, "",VLOOKUP(A182,'Aux - pivots1'!$A:$E,4,0))</f>
        <v>45603</v>
      </c>
      <c r="L182" s="153">
        <f>IF(VLOOKUP(A182,'Aux - pivots1'!$A:$E,5,0)=0, "",VLOOKUP(A182,'Aux - pivots1'!$A:$E,5,0))</f>
        <v>45604</v>
      </c>
      <c r="M182" s="209"/>
      <c r="N182" s="209"/>
    </row>
    <row r="183" spans="1:14" ht="16.2" hidden="1" customHeight="1" x14ac:dyDescent="0.4">
      <c r="A183" s="30" t="str">
        <f t="shared" si="2"/>
        <v>modesg_param_sfcs_taxon_europeiacbalcao</v>
      </c>
      <c r="B183" s="142" t="s">
        <v>26</v>
      </c>
      <c r="C183" s="138" t="s">
        <v>181</v>
      </c>
      <c r="D183" s="134" t="s">
        <v>40</v>
      </c>
      <c r="E183" s="135" t="s">
        <v>182</v>
      </c>
      <c r="F183" s="134" t="s">
        <v>183</v>
      </c>
      <c r="G183" s="136" t="str">
        <f>VLOOKUP(A183,Plano_V3!$A$26:$G$592,7,0)</f>
        <v>1. Concluído</v>
      </c>
      <c r="H183" s="136" t="s">
        <v>614</v>
      </c>
      <c r="I183" s="154"/>
      <c r="J183" s="153" t="str">
        <f>IF(VLOOKUP(A183,'Aux - pivots1'!$A:$E,3,0)=0, "",VLOOKUP(A183,'Aux - pivots1'!$A:$E,3,0))</f>
        <v/>
      </c>
      <c r="K183" s="153">
        <f>IF(VLOOKUP(A183,'Aux - pivots1'!$A:$E,4,0)=0, "",VLOOKUP(A183,'Aux - pivots1'!$A:$E,4,0))</f>
        <v>45603</v>
      </c>
      <c r="L183" s="153" t="str">
        <f>IF(VLOOKUP(A183,'Aux - pivots1'!$A:$E,5,0)=0, "",VLOOKUP(A183,'Aux - pivots1'!$A:$E,5,0))</f>
        <v/>
      </c>
      <c r="M183" s="209"/>
      <c r="N183" s="209"/>
    </row>
    <row r="184" spans="1:14" ht="16.2" hidden="1" customHeight="1" x14ac:dyDescent="0.4">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614</v>
      </c>
      <c r="I184" s="154"/>
      <c r="J184" s="153" t="str">
        <f>IF(VLOOKUP(A184,'Aux - pivots1'!$A:$E,3,0)=0, "",VLOOKUP(A184,'Aux - pivots1'!$A:$E,3,0))</f>
        <v/>
      </c>
      <c r="K184" s="153">
        <f>IF(VLOOKUP(A184,'Aux - pivots1'!$A:$E,4,0)=0, "",VLOOKUP(A184,'Aux - pivots1'!$A:$E,4,0))</f>
        <v>45603</v>
      </c>
      <c r="L184" s="153" t="str">
        <f>IF(VLOOKUP(A184,'Aux - pivots1'!$A:$E,5,0)=0, "",VLOOKUP(A184,'Aux - pivots1'!$A:$E,5,0))</f>
        <v/>
      </c>
      <c r="M184" s="209"/>
      <c r="N184" s="209"/>
    </row>
    <row r="185" spans="1:14" ht="16.2" hidden="1" customHeight="1" x14ac:dyDescent="0.4">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614</v>
      </c>
      <c r="I185" s="154"/>
      <c r="J185" s="153" t="str">
        <f>IF(VLOOKUP(A185,'Aux - pivots1'!$A:$E,3,0)=0, "",VLOOKUP(A185,'Aux - pivots1'!$A:$E,3,0))</f>
        <v/>
      </c>
      <c r="K185" s="153">
        <f>IF(VLOOKUP(A185,'Aux - pivots1'!$A:$E,4,0)=0, "",VLOOKUP(A185,'Aux - pivots1'!$A:$E,4,0))</f>
        <v>45603</v>
      </c>
      <c r="L185" s="153" t="str">
        <f>IF(VLOOKUP(A185,'Aux - pivots1'!$A:$E,5,0)=0, "",VLOOKUP(A185,'Aux - pivots1'!$A:$E,5,0))</f>
        <v/>
      </c>
      <c r="M185" s="209"/>
      <c r="N185" s="209"/>
    </row>
    <row r="186" spans="1:14" ht="16.2" hidden="1" customHeight="1" x14ac:dyDescent="0.4">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614</v>
      </c>
      <c r="I186" s="154"/>
      <c r="J186" s="153" t="str">
        <f>IF(VLOOKUP(A186,'Aux - pivots1'!$A:$E,3,0)=0, "",VLOOKUP(A186,'Aux - pivots1'!$A:$E,3,0))</f>
        <v/>
      </c>
      <c r="K186" s="153">
        <f>IF(VLOOKUP(A186,'Aux - pivots1'!$A:$E,4,0)=0, "",VLOOKUP(A186,'Aux - pivots1'!$A:$E,4,0))</f>
        <v>45603</v>
      </c>
      <c r="L186" s="153" t="str">
        <f>IF(VLOOKUP(A186,'Aux - pivots1'!$A:$E,5,0)=0, "",VLOOKUP(A186,'Aux - pivots1'!$A:$E,5,0))</f>
        <v/>
      </c>
      <c r="M186" s="209"/>
      <c r="N186" s="209"/>
    </row>
    <row r="187" spans="1:14" ht="16.2" hidden="1" customHeight="1" x14ac:dyDescent="0.4">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614</v>
      </c>
      <c r="I187" s="154"/>
      <c r="J187" s="153" t="str">
        <f>IF(VLOOKUP(A187,'Aux - pivots1'!$A:$E,3,0)=0, "",VLOOKUP(A187,'Aux - pivots1'!$A:$E,3,0))</f>
        <v/>
      </c>
      <c r="K187" s="153">
        <f>IF(VLOOKUP(A187,'Aux - pivots1'!$A:$E,4,0)=0, "",VLOOKUP(A187,'Aux - pivots1'!$A:$E,4,0))</f>
        <v>45603</v>
      </c>
      <c r="L187" s="153" t="str">
        <f>IF(VLOOKUP(A187,'Aux - pivots1'!$A:$E,5,0)=0, "",VLOOKUP(A187,'Aux - pivots1'!$A:$E,5,0))</f>
        <v/>
      </c>
      <c r="M187" s="209"/>
      <c r="N187" s="209"/>
    </row>
    <row r="188" spans="1:14" ht="16.2" hidden="1" customHeight="1" x14ac:dyDescent="0.4">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614</v>
      </c>
      <c r="I188" s="154"/>
      <c r="J188" s="153" t="str">
        <f>IF(VLOOKUP(A188,'Aux - pivots1'!$A:$E,3,0)=0, "",VLOOKUP(A188,'Aux - pivots1'!$A:$E,3,0))</f>
        <v/>
      </c>
      <c r="K188" s="153">
        <f>IF(VLOOKUP(A188,'Aux - pivots1'!$A:$E,4,0)=0, "",VLOOKUP(A188,'Aux - pivots1'!$A:$E,4,0))</f>
        <v>45603</v>
      </c>
      <c r="L188" s="153" t="str">
        <f>IF(VLOOKUP(A188,'Aux - pivots1'!$A:$E,5,0)=0, "",VLOOKUP(A188,'Aux - pivots1'!$A:$E,5,0))</f>
        <v/>
      </c>
      <c r="M188" s="209"/>
      <c r="N188" s="209"/>
    </row>
    <row r="189" spans="1:14" ht="16.2" hidden="1" customHeight="1" x14ac:dyDescent="0.4">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614</v>
      </c>
      <c r="I189" s="154"/>
      <c r="J189" s="153" t="str">
        <f>IF(VLOOKUP(A189,'Aux - pivots1'!$A:$E,3,0)=0, "",VLOOKUP(A189,'Aux - pivots1'!$A:$E,3,0))</f>
        <v/>
      </c>
      <c r="K189" s="153">
        <f>IF(VLOOKUP(A189,'Aux - pivots1'!$A:$E,4,0)=0, "",VLOOKUP(A189,'Aux - pivots1'!$A:$E,4,0))</f>
        <v>45603</v>
      </c>
      <c r="L189" s="153" t="str">
        <f>IF(VLOOKUP(A189,'Aux - pivots1'!$A:$E,5,0)=0, "",VLOOKUP(A189,'Aux - pivots1'!$A:$E,5,0))</f>
        <v/>
      </c>
      <c r="M189" s="209"/>
      <c r="N189" s="209"/>
    </row>
    <row r="190" spans="1:14" ht="16.2" hidden="1" customHeight="1" x14ac:dyDescent="0.4">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614</v>
      </c>
      <c r="I190" s="154"/>
      <c r="J190" s="153" t="str">
        <f>IF(VLOOKUP(A190,'Aux - pivots1'!$A:$E,3,0)=0, "",VLOOKUP(A190,'Aux - pivots1'!$A:$E,3,0))</f>
        <v/>
      </c>
      <c r="K190" s="153">
        <f>IF(VLOOKUP(A190,'Aux - pivots1'!$A:$E,4,0)=0, "",VLOOKUP(A190,'Aux - pivots1'!$A:$E,4,0))</f>
        <v>45603</v>
      </c>
      <c r="L190" s="153" t="str">
        <f>IF(VLOOKUP(A190,'Aux - pivots1'!$A:$E,5,0)=0, "",VLOOKUP(A190,'Aux - pivots1'!$A:$E,5,0))</f>
        <v/>
      </c>
      <c r="M190" s="209"/>
      <c r="N190" s="209"/>
    </row>
    <row r="191" spans="1:14" ht="16.2" hidden="1" customHeight="1" x14ac:dyDescent="0.4">
      <c r="A191" s="30" t="str">
        <f t="shared" si="2"/>
        <v>modesg_param_sfcs_taxon_europeiacod_regra</v>
      </c>
      <c r="B191" s="142" t="s">
        <v>26</v>
      </c>
      <c r="C191" s="138" t="s">
        <v>181</v>
      </c>
      <c r="D191" s="134" t="s">
        <v>40</v>
      </c>
      <c r="E191" s="135" t="s">
        <v>182</v>
      </c>
      <c r="F191" s="134" t="s">
        <v>191</v>
      </c>
      <c r="G191" s="136" t="str">
        <f>VLOOKUP(A191,Plano_V3!$A$26:$G$592,7,0)</f>
        <v>1. Concluído</v>
      </c>
      <c r="H191" s="136" t="s">
        <v>614</v>
      </c>
      <c r="I191" s="143"/>
      <c r="J191" s="153">
        <f>IF(VLOOKUP(A191,'Aux - pivots1'!$A:$E,3,0)=0, "",VLOOKUP(A191,'Aux - pivots1'!$A:$E,3,0))</f>
        <v>45563</v>
      </c>
      <c r="K191" s="153">
        <f>IF(VLOOKUP(A191,'Aux - pivots1'!$A:$E,4,0)=0, "",VLOOKUP(A191,'Aux - pivots1'!$A:$E,4,0))</f>
        <v>45603</v>
      </c>
      <c r="L191" s="153">
        <f>IF(VLOOKUP(A191,'Aux - pivots1'!$A:$E,5,0)=0, "",VLOOKUP(A191,'Aux - pivots1'!$A:$E,5,0))</f>
        <v>45604</v>
      </c>
      <c r="M191" s="209"/>
      <c r="N191" s="209"/>
    </row>
    <row r="192" spans="1:14" ht="16.2" hidden="1" customHeight="1" x14ac:dyDescent="0.4">
      <c r="A192" s="30" t="str">
        <f t="shared" si="2"/>
        <v>modesg_param_sfcs_taxon_europeiacomite</v>
      </c>
      <c r="B192" s="142" t="s">
        <v>26</v>
      </c>
      <c r="C192" s="138" t="s">
        <v>181</v>
      </c>
      <c r="D192" s="134" t="s">
        <v>40</v>
      </c>
      <c r="E192" s="135" t="s">
        <v>182</v>
      </c>
      <c r="F192" s="134" t="s">
        <v>192</v>
      </c>
      <c r="G192" s="136" t="str">
        <f>VLOOKUP(A192,Plano_V3!$A$26:$G$592,7,0)</f>
        <v>1. Concluído</v>
      </c>
      <c r="H192" s="136" t="s">
        <v>614</v>
      </c>
      <c r="I192" s="143"/>
      <c r="J192" s="153">
        <f>IF(VLOOKUP(A192,'Aux - pivots1'!$A:$E,3,0)=0, "",VLOOKUP(A192,'Aux - pivots1'!$A:$E,3,0))</f>
        <v>45563</v>
      </c>
      <c r="K192" s="153">
        <f>IF(VLOOKUP(A192,'Aux - pivots1'!$A:$E,4,0)=0, "",VLOOKUP(A192,'Aux - pivots1'!$A:$E,4,0))</f>
        <v>45603</v>
      </c>
      <c r="L192" s="153">
        <f>IF(VLOOKUP(A192,'Aux - pivots1'!$A:$E,5,0)=0, "",VLOOKUP(A192,'Aux - pivots1'!$A:$E,5,0))</f>
        <v>45604</v>
      </c>
      <c r="M192" s="209"/>
      <c r="N192" s="209"/>
    </row>
    <row r="193" spans="1:14" ht="16.2" hidden="1" customHeight="1" x14ac:dyDescent="0.4">
      <c r="A193" s="30" t="str">
        <f t="shared" si="2"/>
        <v>modesg_param_sfcs_taxon_europeiadata_aprvc</v>
      </c>
      <c r="B193" s="142" t="s">
        <v>26</v>
      </c>
      <c r="C193" s="138" t="s">
        <v>181</v>
      </c>
      <c r="D193" s="134" t="s">
        <v>40</v>
      </c>
      <c r="E193" s="135" t="s">
        <v>182</v>
      </c>
      <c r="F193" s="134" t="s">
        <v>193</v>
      </c>
      <c r="G193" s="136" t="str">
        <f>VLOOKUP(A193,Plano_V3!$A$26:$G$592,7,0)</f>
        <v>1. Concluído</v>
      </c>
      <c r="H193" s="136" t="s">
        <v>614</v>
      </c>
      <c r="I193" s="143"/>
      <c r="J193" s="153">
        <f>IF(VLOOKUP(A193,'Aux - pivots1'!$A:$E,3,0)=0, "",VLOOKUP(A193,'Aux - pivots1'!$A:$E,3,0))</f>
        <v>45563</v>
      </c>
      <c r="K193" s="153">
        <f>IF(VLOOKUP(A193,'Aux - pivots1'!$A:$E,4,0)=0, "",VLOOKUP(A193,'Aux - pivots1'!$A:$E,4,0))</f>
        <v>45603</v>
      </c>
      <c r="L193" s="153">
        <f>IF(VLOOKUP(A193,'Aux - pivots1'!$A:$E,5,0)=0, "",VLOOKUP(A193,'Aux - pivots1'!$A:$E,5,0))</f>
        <v>45604</v>
      </c>
      <c r="M193" s="209"/>
      <c r="N193" s="209"/>
    </row>
    <row r="194" spans="1:14" ht="16.2" hidden="1" customHeight="1" x14ac:dyDescent="0.4">
      <c r="A194" s="30" t="str">
        <f t="shared" si="2"/>
        <v>modesg_param_sfcs_taxon_europeiadata_final</v>
      </c>
      <c r="B194" s="142" t="s">
        <v>26</v>
      </c>
      <c r="C194" s="138" t="s">
        <v>181</v>
      </c>
      <c r="D194" s="134" t="s">
        <v>40</v>
      </c>
      <c r="E194" s="135" t="s">
        <v>182</v>
      </c>
      <c r="F194" s="134" t="s">
        <v>194</v>
      </c>
      <c r="G194" s="136" t="str">
        <f>VLOOKUP(A194,Plano_V3!$A$26:$G$592,7,0)</f>
        <v>1. Concluído</v>
      </c>
      <c r="H194" s="136" t="s">
        <v>614</v>
      </c>
      <c r="I194" s="143"/>
      <c r="J194" s="153">
        <f>IF(VLOOKUP(A194,'Aux - pivots1'!$A:$E,3,0)=0, "",VLOOKUP(A194,'Aux - pivots1'!$A:$E,3,0))</f>
        <v>45561</v>
      </c>
      <c r="K194" s="153">
        <f>IF(VLOOKUP(A194,'Aux - pivots1'!$A:$E,4,0)=0, "",VLOOKUP(A194,'Aux - pivots1'!$A:$E,4,0))</f>
        <v>45603</v>
      </c>
      <c r="L194" s="153">
        <f>IF(VLOOKUP(A194,'Aux - pivots1'!$A:$E,5,0)=0, "",VLOOKUP(A194,'Aux - pivots1'!$A:$E,5,0))</f>
        <v>45604</v>
      </c>
      <c r="M194" s="209"/>
      <c r="N194" s="209"/>
    </row>
    <row r="195" spans="1:14" ht="16.2" hidden="1" customHeight="1" x14ac:dyDescent="0.4">
      <c r="A195" s="30" t="str">
        <f t="shared" si="2"/>
        <v>modesg_param_sfcs_taxon_europeiadata_inicial</v>
      </c>
      <c r="B195" s="142" t="s">
        <v>26</v>
      </c>
      <c r="C195" s="138" t="s">
        <v>181</v>
      </c>
      <c r="D195" s="134" t="s">
        <v>40</v>
      </c>
      <c r="E195" s="135" t="s">
        <v>182</v>
      </c>
      <c r="F195" s="134" t="s">
        <v>195</v>
      </c>
      <c r="G195" s="136" t="str">
        <f>VLOOKUP(A195,Plano_V3!$A$26:$G$592,7,0)</f>
        <v>1. Concluído</v>
      </c>
      <c r="H195" s="136" t="s">
        <v>614</v>
      </c>
      <c r="I195" s="143"/>
      <c r="J195" s="153">
        <f>IF(VLOOKUP(A195,'Aux - pivots1'!$A:$E,3,0)=0, "",VLOOKUP(A195,'Aux - pivots1'!$A:$E,3,0))</f>
        <v>45561</v>
      </c>
      <c r="K195" s="153">
        <f>IF(VLOOKUP(A195,'Aux - pivots1'!$A:$E,4,0)=0, "",VLOOKUP(A195,'Aux - pivots1'!$A:$E,4,0))</f>
        <v>45603</v>
      </c>
      <c r="L195" s="153">
        <f>IF(VLOOKUP(A195,'Aux - pivots1'!$A:$E,5,0)=0, "",VLOOKUP(A195,'Aux - pivots1'!$A:$E,5,0))</f>
        <v>45604</v>
      </c>
      <c r="M195" s="209"/>
      <c r="N195" s="209"/>
    </row>
    <row r="196" spans="1:14" ht="16.2" hidden="1" customHeight="1" x14ac:dyDescent="0.4">
      <c r="A196" s="30" t="str">
        <f t="shared" si="2"/>
        <v>modesg_param_sfcs_taxon_europeiadominio</v>
      </c>
      <c r="B196" s="142" t="s">
        <v>26</v>
      </c>
      <c r="C196" s="138" t="s">
        <v>181</v>
      </c>
      <c r="D196" s="134" t="s">
        <v>40</v>
      </c>
      <c r="E196" s="135" t="s">
        <v>182</v>
      </c>
      <c r="F196" s="134" t="s">
        <v>196</v>
      </c>
      <c r="G196" s="136" t="str">
        <f>VLOOKUP(A196,Plano_V3!$A$26:$G$592,7,0)</f>
        <v>1. Concluído</v>
      </c>
      <c r="H196" s="136" t="s">
        <v>614</v>
      </c>
      <c r="I196" s="154"/>
      <c r="J196" s="153" t="str">
        <f>IF(VLOOKUP(A196,'Aux - pivots1'!$A:$E,3,0)=0, "",VLOOKUP(A196,'Aux - pivots1'!$A:$E,3,0))</f>
        <v/>
      </c>
      <c r="K196" s="153">
        <f>IF(VLOOKUP(A196,'Aux - pivots1'!$A:$E,4,0)=0, "",VLOOKUP(A196,'Aux - pivots1'!$A:$E,4,0))</f>
        <v>45603</v>
      </c>
      <c r="L196" s="153" t="str">
        <f>IF(VLOOKUP(A196,'Aux - pivots1'!$A:$E,5,0)=0, "",VLOOKUP(A196,'Aux - pivots1'!$A:$E,5,0))</f>
        <v/>
      </c>
      <c r="M196" s="209"/>
      <c r="N196" s="209"/>
    </row>
    <row r="197" spans="1:14" ht="16.2" hidden="1" customHeight="1" x14ac:dyDescent="0.4">
      <c r="A197" s="30" t="str">
        <f t="shared" si="2"/>
        <v>modesg_param_sfcs_taxon_europeiadscrc</v>
      </c>
      <c r="B197" s="142" t="s">
        <v>26</v>
      </c>
      <c r="C197" s="138" t="s">
        <v>181</v>
      </c>
      <c r="D197" s="134" t="s">
        <v>40</v>
      </c>
      <c r="E197" s="135" t="s">
        <v>182</v>
      </c>
      <c r="F197" s="134" t="s">
        <v>197</v>
      </c>
      <c r="G197" s="136" t="str">
        <f>VLOOKUP(A197,Plano_V3!$A$26:$G$592,7,0)</f>
        <v>1. Concluído</v>
      </c>
      <c r="H197" s="136" t="s">
        <v>614</v>
      </c>
      <c r="I197" s="154"/>
      <c r="J197" s="153" t="str">
        <f>IF(VLOOKUP(A197,'Aux - pivots1'!$A:$E,3,0)=0, "",VLOOKUP(A197,'Aux - pivots1'!$A:$E,3,0))</f>
        <v/>
      </c>
      <c r="K197" s="153">
        <f>IF(VLOOKUP(A197,'Aux - pivots1'!$A:$E,4,0)=0, "",VLOOKUP(A197,'Aux - pivots1'!$A:$E,4,0))</f>
        <v>45603</v>
      </c>
      <c r="L197" s="153" t="str">
        <f>IF(VLOOKUP(A197,'Aux - pivots1'!$A:$E,5,0)=0, "",VLOOKUP(A197,'Aux - pivots1'!$A:$E,5,0))</f>
        <v/>
      </c>
      <c r="M197" s="209"/>
      <c r="N197" s="209"/>
    </row>
    <row r="198" spans="1:14" ht="16.2" hidden="1" customHeight="1" x14ac:dyDescent="0.4">
      <c r="A198" s="30" t="str">
        <f t="shared" si="2"/>
        <v>modesg_param_sfcs_taxon_europeiaepc</v>
      </c>
      <c r="B198" s="142" t="s">
        <v>26</v>
      </c>
      <c r="C198" s="138" t="s">
        <v>181</v>
      </c>
      <c r="D198" s="134" t="s">
        <v>40</v>
      </c>
      <c r="E198" s="135" t="s">
        <v>182</v>
      </c>
      <c r="F198" s="134" t="s">
        <v>198</v>
      </c>
      <c r="G198" s="136" t="str">
        <f>VLOOKUP(A198,Plano_V3!$A$26:$G$592,7,0)</f>
        <v>1. Concluído</v>
      </c>
      <c r="H198" s="136" t="s">
        <v>614</v>
      </c>
      <c r="I198" s="154"/>
      <c r="J198" s="153" t="str">
        <f>IF(VLOOKUP(A198,'Aux - pivots1'!$A:$E,3,0)=0, "",VLOOKUP(A198,'Aux - pivots1'!$A:$E,3,0))</f>
        <v/>
      </c>
      <c r="K198" s="153">
        <f>IF(VLOOKUP(A198,'Aux - pivots1'!$A:$E,4,0)=0, "",VLOOKUP(A198,'Aux - pivots1'!$A:$E,4,0))</f>
        <v>45603</v>
      </c>
      <c r="L198" s="153" t="str">
        <f>IF(VLOOKUP(A198,'Aux - pivots1'!$A:$E,5,0)=0, "",VLOOKUP(A198,'Aux - pivots1'!$A:$E,5,0))</f>
        <v/>
      </c>
      <c r="M198" s="209"/>
      <c r="N198" s="209"/>
    </row>
    <row r="199" spans="1:14" ht="16.2" hidden="1" customHeight="1" x14ac:dyDescent="0.4">
      <c r="A199" s="30" t="str">
        <f t="shared" si="2"/>
        <v>modesg_param_sfcs_taxon_europeiaflag_project_finance</v>
      </c>
      <c r="B199" s="142" t="s">
        <v>26</v>
      </c>
      <c r="C199" s="138" t="s">
        <v>181</v>
      </c>
      <c r="D199" s="134" t="s">
        <v>40</v>
      </c>
      <c r="E199" s="135" t="s">
        <v>182</v>
      </c>
      <c r="F199" s="134" t="s">
        <v>199</v>
      </c>
      <c r="G199" s="136" t="str">
        <f>VLOOKUP(A199,Plano_V3!$A$26:$G$592,7,0)</f>
        <v>1. Concluído</v>
      </c>
      <c r="H199" s="136" t="s">
        <v>614</v>
      </c>
      <c r="I199" s="144" t="s">
        <v>654</v>
      </c>
      <c r="J199" s="153">
        <f>IF(VLOOKUP(A199,'Aux - pivots1'!$A:$E,3,0)=0, "",VLOOKUP(A199,'Aux - pivots1'!$A:$E,3,0))</f>
        <v>45563</v>
      </c>
      <c r="K199" s="153">
        <f>IF(VLOOKUP(A199,'Aux - pivots1'!$A:$E,4,0)=0, "",VLOOKUP(A199,'Aux - pivots1'!$A:$E,4,0))</f>
        <v>45603</v>
      </c>
      <c r="L199" s="153">
        <f>IF(VLOOKUP(A199,'Aux - pivots1'!$A:$E,5,0)=0, "",VLOOKUP(A199,'Aux - pivots1'!$A:$E,5,0))</f>
        <v>45604</v>
      </c>
      <c r="M199" s="209"/>
      <c r="N199" s="209"/>
    </row>
    <row r="200" spans="1:14" ht="16.2" hidden="1" customHeight="1" x14ac:dyDescent="0.4">
      <c r="A200" s="30" t="str">
        <f t="shared" si="2"/>
        <v>modesg_param_sfcs_taxon_europeiacfinalidad</v>
      </c>
      <c r="B200" s="142" t="s">
        <v>26</v>
      </c>
      <c r="C200" s="138" t="s">
        <v>181</v>
      </c>
      <c r="D200" s="134" t="s">
        <v>40</v>
      </c>
      <c r="E200" s="135" t="s">
        <v>182</v>
      </c>
      <c r="F200" s="134" t="s">
        <v>200</v>
      </c>
      <c r="G200" s="136" t="str">
        <f>VLOOKUP(A200,Plano_V3!$A$26:$G$592,7,0)</f>
        <v>1. Concluído</v>
      </c>
      <c r="H200" s="136" t="s">
        <v>614</v>
      </c>
      <c r="I200" s="144" t="s">
        <v>654</v>
      </c>
      <c r="J200" s="153">
        <f>IF(VLOOKUP(A200,'Aux - pivots1'!$A:$E,3,0)=0, "",VLOOKUP(A200,'Aux - pivots1'!$A:$E,3,0))</f>
        <v>45563</v>
      </c>
      <c r="K200" s="153">
        <f>IF(VLOOKUP(A200,'Aux - pivots1'!$A:$E,4,0)=0, "",VLOOKUP(A200,'Aux - pivots1'!$A:$E,4,0))</f>
        <v>45603</v>
      </c>
      <c r="L200" s="153">
        <f>IF(VLOOKUP(A200,'Aux - pivots1'!$A:$E,5,0)=0, "",VLOOKUP(A200,'Aux - pivots1'!$A:$E,5,0))</f>
        <v>45604</v>
      </c>
      <c r="M200" s="209"/>
      <c r="N200" s="209"/>
    </row>
    <row r="201" spans="1:14" ht="16.2" hidden="1" customHeight="1" x14ac:dyDescent="0.4">
      <c r="A201" s="30" t="str">
        <f t="shared" si="2"/>
        <v>modesg_param_sfcs_taxon_europeiatipo_combust</v>
      </c>
      <c r="B201" s="142" t="s">
        <v>26</v>
      </c>
      <c r="C201" s="138" t="s">
        <v>181</v>
      </c>
      <c r="D201" s="134" t="s">
        <v>40</v>
      </c>
      <c r="E201" s="135" t="s">
        <v>182</v>
      </c>
      <c r="F201" s="134" t="s">
        <v>201</v>
      </c>
      <c r="G201" s="136" t="str">
        <f>VLOOKUP(A201,Plano_V3!$A$26:$G$592,7,0)</f>
        <v>1. Concluído</v>
      </c>
      <c r="H201" s="136" t="s">
        <v>614</v>
      </c>
      <c r="I201" s="144" t="s">
        <v>655</v>
      </c>
      <c r="J201" s="153">
        <f>IF(VLOOKUP(A201,'Aux - pivots1'!$A:$E,3,0)=0, "",VLOOKUP(A201,'Aux - pivots1'!$A:$E,3,0))</f>
        <v>45563</v>
      </c>
      <c r="K201" s="153">
        <f>IF(VLOOKUP(A201,'Aux - pivots1'!$A:$E,4,0)=0, "",VLOOKUP(A201,'Aux - pivots1'!$A:$E,4,0))</f>
        <v>45603</v>
      </c>
      <c r="L201" s="153">
        <f>IF(VLOOKUP(A201,'Aux - pivots1'!$A:$E,5,0)=0, "",VLOOKUP(A201,'Aux - pivots1'!$A:$E,5,0))</f>
        <v>45604</v>
      </c>
      <c r="M201" s="209"/>
      <c r="N201" s="209"/>
    </row>
    <row r="202" spans="1:14" ht="16.2" hidden="1" customHeight="1" x14ac:dyDescent="0.4">
      <c r="A202" s="30" t="str">
        <f t="shared" si="2"/>
        <v>modesg_param_sfcs_taxon_europeiamontante_pndrc</v>
      </c>
      <c r="B202" s="142" t="s">
        <v>26</v>
      </c>
      <c r="C202" s="138" t="s">
        <v>181</v>
      </c>
      <c r="D202" s="134" t="s">
        <v>40</v>
      </c>
      <c r="E202" s="135" t="s">
        <v>182</v>
      </c>
      <c r="F202" s="134" t="s">
        <v>202</v>
      </c>
      <c r="G202" s="136" t="str">
        <f>VLOOKUP(A202,Plano_V3!$A$26:$G$592,7,0)</f>
        <v>1. Concluído</v>
      </c>
      <c r="H202" s="136" t="s">
        <v>614</v>
      </c>
      <c r="I202" s="143"/>
      <c r="J202" s="153">
        <f>IF(VLOOKUP(A202,'Aux - pivots1'!$A:$E,3,0)=0, "",VLOOKUP(A202,'Aux - pivots1'!$A:$E,3,0))</f>
        <v>45563</v>
      </c>
      <c r="K202" s="153">
        <f>IF(VLOOKUP(A202,'Aux - pivots1'!$A:$E,4,0)=0, "",VLOOKUP(A202,'Aux - pivots1'!$A:$E,4,0))</f>
        <v>45603</v>
      </c>
      <c r="L202" s="153">
        <f>IF(VLOOKUP(A202,'Aux - pivots1'!$A:$E,5,0)=0, "",VLOOKUP(A202,'Aux - pivots1'!$A:$E,5,0))</f>
        <v>45604</v>
      </c>
      <c r="M202" s="209"/>
      <c r="N202" s="209"/>
    </row>
    <row r="203" spans="1:14" ht="16.2" hidden="1" customHeight="1" x14ac:dyDescent="0.4">
      <c r="A203" s="30" t="str">
        <f t="shared" si="2"/>
        <v>modesg_param_sfcs_taxon_europeianome_ctgr_sfcs</v>
      </c>
      <c r="B203" s="142" t="s">
        <v>26</v>
      </c>
      <c r="C203" s="138" t="s">
        <v>181</v>
      </c>
      <c r="D203" s="134" t="s">
        <v>40</v>
      </c>
      <c r="E203" s="135" t="s">
        <v>182</v>
      </c>
      <c r="F203" s="134" t="s">
        <v>203</v>
      </c>
      <c r="G203" s="136" t="str">
        <f>VLOOKUP(A203,Plano_V3!$A$26:$G$592,7,0)</f>
        <v>4. Validação EF</v>
      </c>
      <c r="H203" s="136" t="s">
        <v>616</v>
      </c>
      <c r="I203" s="143" t="s">
        <v>656</v>
      </c>
      <c r="J203" s="153">
        <f>IF(VLOOKUP(A203,'Aux - pivots1'!$A:$E,3,0)=0, "",VLOOKUP(A203,'Aux - pivots1'!$A:$E,3,0))</f>
        <v>45563</v>
      </c>
      <c r="K203" s="153">
        <f>IF(VLOOKUP(A203,'Aux - pivots1'!$A:$E,4,0)=0, "",VLOOKUP(A203,'Aux - pivots1'!$A:$E,4,0))</f>
        <v>45603</v>
      </c>
      <c r="L203" s="153">
        <f>IF(VLOOKUP(A203,'Aux - pivots1'!$A:$E,5,0)=0, "",VLOOKUP(A203,'Aux - pivots1'!$A:$E,5,0))</f>
        <v>45604</v>
      </c>
      <c r="M203" s="209"/>
      <c r="N203" s="209"/>
    </row>
    <row r="204" spans="1:14" ht="16.2" hidden="1" customHeight="1" x14ac:dyDescent="0.4">
      <c r="A204" s="30" t="str">
        <f t="shared" si="2"/>
        <v>modesg_param_sfcs_taxon_europeianome_general_specific_purpose</v>
      </c>
      <c r="B204" s="142" t="s">
        <v>26</v>
      </c>
      <c r="C204" s="138" t="s">
        <v>181</v>
      </c>
      <c r="D204" s="134" t="s">
        <v>40</v>
      </c>
      <c r="E204" s="135" t="s">
        <v>182</v>
      </c>
      <c r="F204" s="134" t="s">
        <v>204</v>
      </c>
      <c r="G204" s="136" t="str">
        <f>VLOOKUP(A204,Plano_V3!$A$26:$G$592,7,0)</f>
        <v>1. Concluído</v>
      </c>
      <c r="H204" s="136" t="s">
        <v>614</v>
      </c>
      <c r="I204" s="154"/>
      <c r="J204" s="153">
        <f>IF(VLOOKUP(A204,'Aux - pivots1'!$A:$E,3,0)=0, "",VLOOKUP(A204,'Aux - pivots1'!$A:$E,3,0))</f>
        <v>45563</v>
      </c>
      <c r="K204" s="153">
        <f>IF(VLOOKUP(A204,'Aux - pivots1'!$A:$E,4,0)=0, "",VLOOKUP(A204,'Aux - pivots1'!$A:$E,4,0))</f>
        <v>45603</v>
      </c>
      <c r="L204" s="153">
        <f>IF(VLOOKUP(A204,'Aux - pivots1'!$A:$E,5,0)=0, "",VLOOKUP(A204,'Aux - pivots1'!$A:$E,5,0))</f>
        <v>45604</v>
      </c>
      <c r="M204" s="209"/>
      <c r="N204" s="209"/>
    </row>
    <row r="205" spans="1:14" ht="16.2" hidden="1" customHeight="1" x14ac:dyDescent="0.4">
      <c r="A205" s="30" t="str">
        <f t="shared" si="2"/>
        <v>modesg_param_sfcs_taxon_europeianome_purpose_esg</v>
      </c>
      <c r="B205" s="142" t="s">
        <v>26</v>
      </c>
      <c r="C205" s="138" t="s">
        <v>181</v>
      </c>
      <c r="D205" s="134" t="s">
        <v>40</v>
      </c>
      <c r="E205" s="135" t="s">
        <v>182</v>
      </c>
      <c r="F205" s="134" t="s">
        <v>205</v>
      </c>
      <c r="G205" s="136" t="str">
        <f>VLOOKUP(A205,Plano_V3!$A$26:$G$592,7,0)</f>
        <v>1. Concluído</v>
      </c>
      <c r="H205" s="136" t="s">
        <v>614</v>
      </c>
      <c r="I205" s="154"/>
      <c r="J205" s="153">
        <f>IF(VLOOKUP(A205,'Aux - pivots1'!$A:$E,3,0)=0, "",VLOOKUP(A205,'Aux - pivots1'!$A:$E,3,0))</f>
        <v>45563</v>
      </c>
      <c r="K205" s="153">
        <f>IF(VLOOKUP(A205,'Aux - pivots1'!$A:$E,4,0)=0, "",VLOOKUP(A205,'Aux - pivots1'!$A:$E,4,0))</f>
        <v>45603</v>
      </c>
      <c r="L205" s="153">
        <f>IF(VLOOKUP(A205,'Aux - pivots1'!$A:$E,5,0)=0, "",VLOOKUP(A205,'Aux - pivots1'!$A:$E,5,0))</f>
        <v>45604</v>
      </c>
      <c r="M205" s="209"/>
      <c r="N205" s="209"/>
    </row>
    <row r="206" spans="1:14" ht="16.2" hidden="1" customHeight="1" x14ac:dyDescent="0.4">
      <c r="A206" s="30" t="str">
        <f t="shared" si="2"/>
        <v>modesg_param_sfcs_taxon_europeianome_specific_eligible</v>
      </c>
      <c r="B206" s="142" t="s">
        <v>26</v>
      </c>
      <c r="C206" s="138" t="s">
        <v>181</v>
      </c>
      <c r="D206" s="134" t="s">
        <v>40</v>
      </c>
      <c r="E206" s="135" t="s">
        <v>182</v>
      </c>
      <c r="F206" s="134" t="s">
        <v>206</v>
      </c>
      <c r="G206" s="136" t="str">
        <f>VLOOKUP(A206,Plano_V3!$A$26:$G$592,7,0)</f>
        <v>1. Concluído</v>
      </c>
      <c r="H206" s="136" t="s">
        <v>614</v>
      </c>
      <c r="I206" s="154"/>
      <c r="J206" s="153">
        <f>IF(VLOOKUP(A206,'Aux - pivots1'!$A:$E,3,0)=0, "",VLOOKUP(A206,'Aux - pivots1'!$A:$E,3,0))</f>
        <v>45563</v>
      </c>
      <c r="K206" s="153">
        <f>IF(VLOOKUP(A206,'Aux - pivots1'!$A:$E,4,0)=0, "",VLOOKUP(A206,'Aux - pivots1'!$A:$E,4,0))</f>
        <v>45603</v>
      </c>
      <c r="L206" s="153">
        <f>IF(VLOOKUP(A206,'Aux - pivots1'!$A:$E,5,0)=0, "",VLOOKUP(A206,'Aux - pivots1'!$A:$E,5,0))</f>
        <v>45604</v>
      </c>
      <c r="M206" s="209"/>
      <c r="N206" s="209"/>
    </row>
    <row r="207" spans="1:14" ht="16.2" hidden="1" customHeight="1" x14ac:dyDescent="0.4">
      <c r="A207" s="30" t="str">
        <f t="shared" si="2"/>
        <v>modesg_param_sfcs_taxon_europeianome_specific_sustainable</v>
      </c>
      <c r="B207" s="142" t="s">
        <v>26</v>
      </c>
      <c r="C207" s="138" t="s">
        <v>181</v>
      </c>
      <c r="D207" s="134" t="s">
        <v>40</v>
      </c>
      <c r="E207" s="135" t="s">
        <v>182</v>
      </c>
      <c r="F207" s="134" t="s">
        <v>207</v>
      </c>
      <c r="G207" s="136" t="str">
        <f>VLOOKUP(A207,Plano_V3!$A$26:$G$592,7,0)</f>
        <v>1. Concluído</v>
      </c>
      <c r="H207" s="136" t="s">
        <v>614</v>
      </c>
      <c r="I207" s="154"/>
      <c r="J207" s="153">
        <f>IF(VLOOKUP(A207,'Aux - pivots1'!$A:$E,3,0)=0, "",VLOOKUP(A207,'Aux - pivots1'!$A:$E,3,0))</f>
        <v>45563</v>
      </c>
      <c r="K207" s="153">
        <f>IF(VLOOKUP(A207,'Aux - pivots1'!$A:$E,4,0)=0, "",VLOOKUP(A207,'Aux - pivots1'!$A:$E,4,0))</f>
        <v>45603</v>
      </c>
      <c r="L207" s="153">
        <f>IF(VLOOKUP(A207,'Aux - pivots1'!$A:$E,5,0)=0, "",VLOOKUP(A207,'Aux - pivots1'!$A:$E,5,0))</f>
        <v>45604</v>
      </c>
      <c r="M207" s="209"/>
      <c r="N207" s="209"/>
    </row>
    <row r="208" spans="1:14" ht="16.2" hidden="1" customHeight="1" x14ac:dyDescent="0.4">
      <c r="A208" s="30" t="str">
        <f t="shared" ref="A208:A210" si="3">E208&amp;F208</f>
        <v>modesg_param_sfcs_taxon_europeiaref_date</v>
      </c>
      <c r="B208" s="142" t="s">
        <v>26</v>
      </c>
      <c r="C208" s="138" t="s">
        <v>181</v>
      </c>
      <c r="D208" s="134" t="s">
        <v>40</v>
      </c>
      <c r="E208" s="135" t="s">
        <v>182</v>
      </c>
      <c r="F208" s="134" t="s">
        <v>208</v>
      </c>
      <c r="G208" s="136" t="str">
        <f>VLOOKUP(A208,Plano_V3!$A$26:$G$592,7,0)</f>
        <v>1. Concluído</v>
      </c>
      <c r="H208" s="136" t="s">
        <v>614</v>
      </c>
      <c r="I208" s="154"/>
      <c r="J208" s="153" t="str">
        <f>IF(VLOOKUP(A208,'Aux - pivots1'!$A:$E,3,0)=0, "",VLOOKUP(A208,'Aux - pivots1'!$A:$E,3,0))</f>
        <v/>
      </c>
      <c r="K208" s="153">
        <f>IF(VLOOKUP(A208,'Aux - pivots1'!$A:$E,4,0)=0, "",VLOOKUP(A208,'Aux - pivots1'!$A:$E,4,0))</f>
        <v>45603</v>
      </c>
      <c r="L208" s="153" t="str">
        <f>IF(VLOOKUP(A208,'Aux - pivots1'!$A:$E,5,0)=0, "",VLOOKUP(A208,'Aux - pivots1'!$A:$E,5,0))</f>
        <v/>
      </c>
      <c r="M208" s="209"/>
      <c r="N208" s="209"/>
    </row>
    <row r="209" spans="1:14" ht="16.2" hidden="1" customHeight="1" x14ac:dyDescent="0.4">
      <c r="A209" s="30" t="str">
        <f t="shared" si="3"/>
        <v>modesg_param_sfcs_taxon_europeiazcliente</v>
      </c>
      <c r="B209" s="142" t="s">
        <v>26</v>
      </c>
      <c r="C209" s="138" t="s">
        <v>181</v>
      </c>
      <c r="D209" s="134" t="s">
        <v>40</v>
      </c>
      <c r="E209" s="135" t="s">
        <v>182</v>
      </c>
      <c r="F209" s="134" t="s">
        <v>209</v>
      </c>
      <c r="G209" s="136" t="str">
        <f>VLOOKUP(A209,Plano_V3!$A$26:$G$592,7,0)</f>
        <v>1. Concluído</v>
      </c>
      <c r="H209" s="136" t="s">
        <v>614</v>
      </c>
      <c r="I209" s="154"/>
      <c r="J209" s="153">
        <f>IF(VLOOKUP(A209,'Aux - pivots1'!$A:$E,3,0)=0, "",VLOOKUP(A209,'Aux - pivots1'!$A:$E,3,0))</f>
        <v>45563</v>
      </c>
      <c r="K209" s="153">
        <f>IF(VLOOKUP(A209,'Aux - pivots1'!$A:$E,4,0)=0, "",VLOOKUP(A209,'Aux - pivots1'!$A:$E,4,0))</f>
        <v>45603</v>
      </c>
      <c r="L209" s="153">
        <f>IF(VLOOKUP(A209,'Aux - pivots1'!$A:$E,5,0)=0, "",VLOOKUP(A209,'Aux - pivots1'!$A:$E,5,0))</f>
        <v>45604</v>
      </c>
      <c r="M209" s="209"/>
      <c r="N209" s="209"/>
    </row>
    <row r="210" spans="1:14" ht="16.2" hidden="1" customHeight="1" x14ac:dyDescent="0.4">
      <c r="A210" s="30" t="str">
        <f t="shared" si="3"/>
        <v>modesg_param_sfcs_taxon_europeiazdeposit</v>
      </c>
      <c r="B210" s="142" t="s">
        <v>26</v>
      </c>
      <c r="C210" s="138" t="s">
        <v>181</v>
      </c>
      <c r="D210" s="134" t="s">
        <v>40</v>
      </c>
      <c r="E210" s="135" t="s">
        <v>182</v>
      </c>
      <c r="F210" s="134" t="s">
        <v>210</v>
      </c>
      <c r="G210" s="136" t="str">
        <f>VLOOKUP(A210,Plano_V3!$A$26:$G$592,7,0)</f>
        <v>1. Concluído</v>
      </c>
      <c r="H210" s="136" t="s">
        <v>614</v>
      </c>
      <c r="I210" s="154"/>
      <c r="J210" s="153">
        <f>IF(VLOOKUP(A210,'Aux - pivots1'!$A:$E,3,0)=0, "",VLOOKUP(A210,'Aux - pivots1'!$A:$E,3,0))</f>
        <v>45563</v>
      </c>
      <c r="K210" s="153">
        <f>IF(VLOOKUP(A210,'Aux - pivots1'!$A:$E,4,0)=0, "",VLOOKUP(A210,'Aux - pivots1'!$A:$E,4,0))</f>
        <v>45603</v>
      </c>
      <c r="L210" s="153">
        <f>IF(VLOOKUP(A210,'Aux - pivots1'!$A:$E,5,0)=0, "",VLOOKUP(A210,'Aux - pivots1'!$A:$E,5,0))</f>
        <v>45604</v>
      </c>
      <c r="M210" s="209"/>
      <c r="N210" s="209"/>
    </row>
    <row r="211" spans="1:14" ht="16.2" hidden="1" customHeight="1" x14ac:dyDescent="0.4">
      <c r="A211" s="30" t="str">
        <f t="shared" ref="A211:A212" si="4">E211&amp;F211</f>
        <v>modesg_param_sfcs_taxon_europeiaordem</v>
      </c>
      <c r="B211" s="142" t="s">
        <v>26</v>
      </c>
      <c r="C211" s="138" t="s">
        <v>181</v>
      </c>
      <c r="D211" s="134" t="s">
        <v>40</v>
      </c>
      <c r="E211" s="135" t="s">
        <v>182</v>
      </c>
      <c r="F211" s="134" t="s">
        <v>211</v>
      </c>
      <c r="G211" s="136" t="str">
        <f>VLOOKUP(A211,Plano_V3!$A$26:$G$592,7,0)</f>
        <v>0. Cancelado</v>
      </c>
      <c r="H211" s="136" t="s">
        <v>613</v>
      </c>
      <c r="I211" s="154" t="s">
        <v>657</v>
      </c>
      <c r="J211" s="153">
        <f>IF(VLOOKUP(A211,'Aux - pivots1'!$A:$E,3,0)=0, "",VLOOKUP(A211,'Aux - pivots1'!$A:$E,3,0))</f>
        <v>45561</v>
      </c>
      <c r="K211" s="153" t="str">
        <f>IF(VLOOKUP(A211,'Aux - pivots1'!$A:$E,4,0)=0, "",VLOOKUP(A211,'Aux - pivots1'!$A:$E,4,0))</f>
        <v/>
      </c>
      <c r="L211" s="153" t="str">
        <f>IF(VLOOKUP(A211,'Aux - pivots1'!$A:$E,5,0)=0, "",VLOOKUP(A211,'Aux - pivots1'!$A:$E,5,0))</f>
        <v/>
      </c>
      <c r="M211" s="209"/>
      <c r="N211" s="209"/>
    </row>
    <row r="212" spans="1:14" ht="16.2" hidden="1" customHeight="1" x14ac:dyDescent="0.4">
      <c r="A212" s="30" t="str">
        <f t="shared" si="4"/>
        <v>modesg_param_sfcs_taxon_europeianivel_mrc</v>
      </c>
      <c r="B212" s="142" t="s">
        <v>26</v>
      </c>
      <c r="C212" s="138" t="s">
        <v>181</v>
      </c>
      <c r="D212" s="134" t="s">
        <v>40</v>
      </c>
      <c r="E212" s="135" t="s">
        <v>182</v>
      </c>
      <c r="F212" s="134" t="s">
        <v>212</v>
      </c>
      <c r="G212" s="136" t="str">
        <f>VLOOKUP(A212,Plano_V3!$A$26:$G$592,7,0)</f>
        <v>0. Cancelado</v>
      </c>
      <c r="H212" s="136" t="s">
        <v>613</v>
      </c>
      <c r="I212" s="154" t="s">
        <v>657</v>
      </c>
      <c r="J212" s="153">
        <f>IF(VLOOKUP(A212,'Aux - pivots1'!$A:$E,3,0)=0, "",VLOOKUP(A212,'Aux - pivots1'!$A:$E,3,0))</f>
        <v>45561</v>
      </c>
      <c r="K212" s="153" t="str">
        <f>IF(VLOOKUP(A212,'Aux - pivots1'!$A:$E,4,0)=0, "",VLOOKUP(A212,'Aux - pivots1'!$A:$E,4,0))</f>
        <v/>
      </c>
      <c r="L212" s="153" t="str">
        <f>IF(VLOOKUP(A212,'Aux - pivots1'!$A:$E,5,0)=0, "",VLOOKUP(A212,'Aux - pivots1'!$A:$E,5,0))</f>
        <v/>
      </c>
      <c r="M212" s="209"/>
      <c r="N212" s="209"/>
    </row>
    <row r="213" spans="1:14" ht="16.2" hidden="1" customHeight="1" x14ac:dyDescent="0.4">
      <c r="A213" s="30" t="str">
        <f t="shared" ref="A213:A244" si="5">E213&amp;F213</f>
        <v>modesg_inp_emss_vclsn.a.</v>
      </c>
      <c r="B213" s="142" t="s">
        <v>26</v>
      </c>
      <c r="C213" s="138" t="s">
        <v>181</v>
      </c>
      <c r="D213" s="134" t="s">
        <v>36</v>
      </c>
      <c r="E213" s="135" t="s">
        <v>213</v>
      </c>
      <c r="F213" s="134" t="s">
        <v>38</v>
      </c>
      <c r="G213" s="136" t="str">
        <f>VLOOKUP(A213,Plano_V3!$A$26:$G$592,7,0)</f>
        <v>1. Concluído</v>
      </c>
      <c r="H213" s="136" t="s">
        <v>614</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9"/>
      <c r="N213" s="209"/>
    </row>
    <row r="214" spans="1:14" ht="16.2" hidden="1" customHeight="1" x14ac:dyDescent="0.4">
      <c r="A214" s="30" t="str">
        <f t="shared" si="5"/>
        <v>modesg_inp_km_medios_emss_vclsn.a.</v>
      </c>
      <c r="B214" s="142" t="s">
        <v>26</v>
      </c>
      <c r="C214" s="138" t="s">
        <v>181</v>
      </c>
      <c r="D214" s="134" t="s">
        <v>36</v>
      </c>
      <c r="E214" s="135" t="s">
        <v>214</v>
      </c>
      <c r="F214" s="134" t="s">
        <v>38</v>
      </c>
      <c r="G214" s="136" t="str">
        <f>VLOOKUP(A214,Plano_V3!$A$26:$G$592,7,0)</f>
        <v>1. Concluído</v>
      </c>
      <c r="H214" s="136" t="s">
        <v>614</v>
      </c>
      <c r="I214" s="143"/>
      <c r="J214" s="153" t="str">
        <f>IF(VLOOKUP(A214,'Aux - pivots1'!$A:$E,3,0)=0, "",VLOOKUP(A214,'Aux - pivots1'!$A:$E,3,0))</f>
        <v/>
      </c>
      <c r="K214" s="153">
        <f>IF(VLOOKUP(A214,'Aux - pivots1'!$A:$E,4,0)=0, "",VLOOKUP(A214,'Aux - pivots1'!$A:$E,4,0))</f>
        <v>45603</v>
      </c>
      <c r="L214" s="153">
        <f>IF(VLOOKUP(A214,'Aux - pivots1'!$A:$E,5,0)=0, "",VLOOKUP(A214,'Aux - pivots1'!$A:$E,5,0))</f>
        <v>45534</v>
      </c>
      <c r="M214" s="209"/>
      <c r="N214" s="209"/>
    </row>
    <row r="215" spans="1:14" ht="16.2" hidden="1" customHeight="1" x14ac:dyDescent="0.4">
      <c r="A215" s="30" t="str">
        <f t="shared" si="5"/>
        <v>modesg_inp_empr_excl_parisn.a.</v>
      </c>
      <c r="B215" s="142" t="s">
        <v>26</v>
      </c>
      <c r="C215" s="138" t="s">
        <v>181</v>
      </c>
      <c r="D215" s="134" t="s">
        <v>36</v>
      </c>
      <c r="E215" s="135" t="s">
        <v>215</v>
      </c>
      <c r="F215" s="134" t="s">
        <v>38</v>
      </c>
      <c r="G215" s="136" t="str">
        <f>VLOOKUP(A215,Plano_V3!$A$26:$G$592,7,0)</f>
        <v>1. Concluído</v>
      </c>
      <c r="H215" s="136" t="s">
        <v>614</v>
      </c>
      <c r="I215" s="154"/>
      <c r="J215" s="153" t="str">
        <f>IF(VLOOKUP(A215,'Aux - pivots1'!$A:$E,3,0)=0, "",VLOOKUP(A215,'Aux - pivots1'!$A:$E,3,0))</f>
        <v/>
      </c>
      <c r="K215" s="153">
        <f>IF(VLOOKUP(A215,'Aux - pivots1'!$A:$E,4,0)=0, "",VLOOKUP(A215,'Aux - pivots1'!$A:$E,4,0))</f>
        <v>45603</v>
      </c>
      <c r="L215" s="153" t="str">
        <f>IF(VLOOKUP(A215,'Aux - pivots1'!$A:$E,5,0)=0, "",VLOOKUP(A215,'Aux - pivots1'!$A:$E,5,0))</f>
        <v/>
      </c>
      <c r="M215" s="209"/>
      <c r="N215" s="209"/>
    </row>
    <row r="216" spans="1:14" ht="16.2" hidden="1" customHeight="1" x14ac:dyDescent="0.4">
      <c r="A216" s="30" t="str">
        <f t="shared" si="5"/>
        <v>modesg_inp_nfrd_alinhamento_taxn.a.</v>
      </c>
      <c r="B216" s="142" t="s">
        <v>26</v>
      </c>
      <c r="C216" s="138" t="s">
        <v>181</v>
      </c>
      <c r="D216" s="134" t="s">
        <v>36</v>
      </c>
      <c r="E216" s="135" t="s">
        <v>216</v>
      </c>
      <c r="F216" s="134" t="s">
        <v>38</v>
      </c>
      <c r="G216" s="136" t="str">
        <f>VLOOKUP(A216,Plano_V3!$A$26:$G$592,7,0)</f>
        <v>1. Concluído</v>
      </c>
      <c r="H216" s="136" t="s">
        <v>614</v>
      </c>
      <c r="I216" s="143"/>
      <c r="J216" s="153" t="str">
        <f>IF(VLOOKUP(A216,'Aux - pivots1'!$A:$E,3,0)=0, "",VLOOKUP(A216,'Aux - pivots1'!$A:$E,3,0))</f>
        <v/>
      </c>
      <c r="K216" s="153">
        <f>IF(VLOOKUP(A216,'Aux - pivots1'!$A:$E,4,0)=0, "",VLOOKUP(A216,'Aux - pivots1'!$A:$E,4,0))</f>
        <v>45603</v>
      </c>
      <c r="L216" s="153">
        <f>IF(VLOOKUP(A216,'Aux - pivots1'!$A:$E,5,0)=0, "",VLOOKUP(A216,'Aux - pivots1'!$A:$E,5,0))</f>
        <v>45534</v>
      </c>
      <c r="M216" s="209"/>
      <c r="N216" s="209"/>
    </row>
    <row r="217" spans="1:14" ht="16.2" hidden="1" customHeight="1" x14ac:dyDescent="0.4">
      <c r="A217" s="30" t="str">
        <f t="shared" si="5"/>
        <v>modesg_inp_risco_fisicon.a.</v>
      </c>
      <c r="B217" s="142" t="s">
        <v>26</v>
      </c>
      <c r="C217" s="138" t="s">
        <v>181</v>
      </c>
      <c r="D217" s="134" t="s">
        <v>36</v>
      </c>
      <c r="E217" s="135" t="s">
        <v>217</v>
      </c>
      <c r="F217" s="134" t="s">
        <v>38</v>
      </c>
      <c r="G217" s="136" t="str">
        <f>VLOOKUP(A217,Plano_V3!$A$26:$G$592,7,0)</f>
        <v>1. Concluído</v>
      </c>
      <c r="H217" s="136" t="s">
        <v>614</v>
      </c>
      <c r="I217" s="154"/>
      <c r="J217" s="153" t="str">
        <f>IF(VLOOKUP(A217,'Aux - pivots1'!$A:$E,3,0)=0, "",VLOOKUP(A217,'Aux - pivots1'!$A:$E,3,0))</f>
        <v/>
      </c>
      <c r="K217" s="153">
        <f>IF(VLOOKUP(A217,'Aux - pivots1'!$A:$E,4,0)=0, "",VLOOKUP(A217,'Aux - pivots1'!$A:$E,4,0))</f>
        <v>45603</v>
      </c>
      <c r="L217" s="153" t="str">
        <f>IF(VLOOKUP(A217,'Aux - pivots1'!$A:$E,5,0)=0, "",VLOOKUP(A217,'Aux - pivots1'!$A:$E,5,0))</f>
        <v/>
      </c>
      <c r="M217" s="209"/>
      <c r="N217" s="209"/>
    </row>
    <row r="218" spans="1:14" ht="16.2" hidden="1" customHeight="1" x14ac:dyDescent="0.4">
      <c r="A218" s="30" t="str">
        <f t="shared" si="5"/>
        <v>modesg_inp_emss_scibn.a.</v>
      </c>
      <c r="B218" s="142" t="s">
        <v>26</v>
      </c>
      <c r="C218" s="138" t="s">
        <v>181</v>
      </c>
      <c r="D218" s="134" t="s">
        <v>36</v>
      </c>
      <c r="E218" s="135" t="s">
        <v>218</v>
      </c>
      <c r="F218" s="134" t="s">
        <v>38</v>
      </c>
      <c r="G218" s="136" t="str">
        <f>VLOOKUP(A218,Plano_V3!$A$26:$G$592,7,0)</f>
        <v>1. Concluído</v>
      </c>
      <c r="H218" s="136" t="s">
        <v>614</v>
      </c>
      <c r="I218" s="154"/>
      <c r="J218" s="153" t="str">
        <f>IF(VLOOKUP(A218,'Aux - pivots1'!$A:$E,3,0)=0, "",VLOOKUP(A218,'Aux - pivots1'!$A:$E,3,0))</f>
        <v/>
      </c>
      <c r="K218" s="153">
        <f>IF(VLOOKUP(A218,'Aux - pivots1'!$A:$E,4,0)=0, "",VLOOKUP(A218,'Aux - pivots1'!$A:$E,4,0))</f>
        <v>45603</v>
      </c>
      <c r="L218" s="153" t="str">
        <f>IF(VLOOKUP(A218,'Aux - pivots1'!$A:$E,5,0)=0, "",VLOOKUP(A218,'Aux - pivots1'!$A:$E,5,0))</f>
        <v/>
      </c>
      <c r="M218" s="209"/>
      <c r="N218" s="209"/>
    </row>
    <row r="219" spans="1:14" ht="16.2" hidden="1" customHeight="1" x14ac:dyDescent="0.4">
      <c r="A219" s="30" t="str">
        <f t="shared" si="5"/>
        <v>modesg_inp_emss_nacen.a.</v>
      </c>
      <c r="B219" s="142" t="s">
        <v>26</v>
      </c>
      <c r="C219" s="138" t="s">
        <v>181</v>
      </c>
      <c r="D219" s="134" t="s">
        <v>36</v>
      </c>
      <c r="E219" s="135" t="s">
        <v>219</v>
      </c>
      <c r="F219" s="134" t="s">
        <v>38</v>
      </c>
      <c r="G219" s="136" t="str">
        <f>VLOOKUP(A219,Plano_V3!$A$26:$G$592,7,0)</f>
        <v>1. Concluído</v>
      </c>
      <c r="H219" s="136" t="s">
        <v>614</v>
      </c>
      <c r="I219" s="143"/>
      <c r="J219" s="153" t="str">
        <f>IF(VLOOKUP(A219,'Aux - pivots1'!$A:$E,3,0)=0, "",VLOOKUP(A219,'Aux - pivots1'!$A:$E,3,0))</f>
        <v/>
      </c>
      <c r="K219" s="153">
        <f>IF(VLOOKUP(A219,'Aux - pivots1'!$A:$E,4,0)=0, "",VLOOKUP(A219,'Aux - pivots1'!$A:$E,4,0))</f>
        <v>45603</v>
      </c>
      <c r="L219" s="153" t="str">
        <f>IF(VLOOKUP(A219,'Aux - pivots1'!$A:$E,5,0)=0, "",VLOOKUP(A219,'Aux - pivots1'!$A:$E,5,0))</f>
        <v/>
      </c>
      <c r="M219" s="209"/>
      <c r="N219" s="209"/>
    </row>
    <row r="220" spans="1:14" ht="16.2" hidden="1" customHeight="1" x14ac:dyDescent="0.4">
      <c r="A220" s="30" t="str">
        <f t="shared" si="5"/>
        <v>modesg_inp_emss_bens_imoveisn.a.</v>
      </c>
      <c r="B220" s="142" t="s">
        <v>26</v>
      </c>
      <c r="C220" s="138" t="s">
        <v>181</v>
      </c>
      <c r="D220" s="134" t="s">
        <v>36</v>
      </c>
      <c r="E220" s="135" t="s">
        <v>220</v>
      </c>
      <c r="F220" s="134" t="s">
        <v>38</v>
      </c>
      <c r="G220" s="136" t="str">
        <f>VLOOKUP(A220,Plano_V3!$A$26:$G$592,7,0)</f>
        <v>1. Concluído</v>
      </c>
      <c r="H220" s="136" t="s">
        <v>614</v>
      </c>
      <c r="I220" s="143"/>
      <c r="J220" s="153" t="str">
        <f>IF(VLOOKUP(A220,'Aux - pivots1'!$A:$E,3,0)=0, "",VLOOKUP(A220,'Aux - pivots1'!$A:$E,3,0))</f>
        <v/>
      </c>
      <c r="K220" s="153">
        <f>IF(VLOOKUP(A220,'Aux - pivots1'!$A:$E,4,0)=0, "",VLOOKUP(A220,'Aux - pivots1'!$A:$E,4,0))</f>
        <v>45603</v>
      </c>
      <c r="L220" s="153">
        <f>IF(VLOOKUP(A220,'Aux - pivots1'!$A:$E,5,0)=0, "",VLOOKUP(A220,'Aux - pivots1'!$A:$E,5,0))</f>
        <v>45534</v>
      </c>
      <c r="M220" s="209"/>
      <c r="N220" s="209"/>
    </row>
    <row r="221" spans="1:14" ht="16.2" hidden="1" customHeight="1" x14ac:dyDescent="0.4">
      <c r="A221" s="30" t="str">
        <f t="shared" si="5"/>
        <v>modesg_inp_emss_vclsref_date</v>
      </c>
      <c r="B221" s="142" t="s">
        <v>26</v>
      </c>
      <c r="C221" s="138" t="s">
        <v>181</v>
      </c>
      <c r="D221" s="134" t="s">
        <v>40</v>
      </c>
      <c r="E221" s="135" t="s">
        <v>213</v>
      </c>
      <c r="F221" s="134" t="s">
        <v>208</v>
      </c>
      <c r="G221" s="136" t="str">
        <f>VLOOKUP(A221,Plano_V3!$A$26:$G$592,7,0)</f>
        <v>1. Concluído</v>
      </c>
      <c r="H221" s="136" t="s">
        <v>614</v>
      </c>
      <c r="I221" s="143"/>
      <c r="J221" s="153" t="str">
        <f>IF(VLOOKUP(A221,'Aux - pivots1'!$A:$E,3,0)=0, "",VLOOKUP(A221,'Aux - pivots1'!$A:$E,3,0))</f>
        <v/>
      </c>
      <c r="K221" s="153">
        <f>IF(VLOOKUP(A221,'Aux - pivots1'!$A:$E,4,0)=0, "",VLOOKUP(A221,'Aux - pivots1'!$A:$E,4,0))</f>
        <v>45603</v>
      </c>
      <c r="L221" s="153">
        <f>IF(VLOOKUP(A221,'Aux - pivots1'!$A:$E,5,0)=0, "",VLOOKUP(A221,'Aux - pivots1'!$A:$E,5,0))</f>
        <v>45534</v>
      </c>
      <c r="M221" s="209"/>
      <c r="N221" s="209"/>
    </row>
    <row r="222" spans="1:14" ht="16.2" hidden="1" customHeight="1" x14ac:dyDescent="0.4">
      <c r="A222" s="30" t="str">
        <f t="shared" si="5"/>
        <v>modesg_inp_emss_vclsnome_regiao</v>
      </c>
      <c r="B222" s="142" t="s">
        <v>26</v>
      </c>
      <c r="C222" s="138" t="s">
        <v>181</v>
      </c>
      <c r="D222" s="134" t="s">
        <v>40</v>
      </c>
      <c r="E222" s="135" t="s">
        <v>213</v>
      </c>
      <c r="F222" s="134" t="s">
        <v>221</v>
      </c>
      <c r="G222" s="136" t="str">
        <f>VLOOKUP(A222,Plano_V3!$A$26:$G$592,7,0)</f>
        <v>1. Concluído</v>
      </c>
      <c r="H222" s="136" t="s">
        <v>614</v>
      </c>
      <c r="I222" s="143"/>
      <c r="J222" s="153" t="str">
        <f>IF(VLOOKUP(A222,'Aux - pivots1'!$A:$E,3,0)=0, "",VLOOKUP(A222,'Aux - pivots1'!$A:$E,3,0))</f>
        <v/>
      </c>
      <c r="K222" s="153">
        <f>IF(VLOOKUP(A222,'Aux - pivots1'!$A:$E,4,0)=0, "",VLOOKUP(A222,'Aux - pivots1'!$A:$E,4,0))</f>
        <v>45603</v>
      </c>
      <c r="L222" s="153">
        <f>IF(VLOOKUP(A222,'Aux - pivots1'!$A:$E,5,0)=0, "",VLOOKUP(A222,'Aux - pivots1'!$A:$E,5,0))</f>
        <v>45534</v>
      </c>
      <c r="M222" s="209"/>
      <c r="N222" s="209"/>
    </row>
    <row r="223" spans="1:14" ht="16.2" hidden="1" customHeight="1" x14ac:dyDescent="0.4">
      <c r="A223" s="30" t="str">
        <f t="shared" si="5"/>
        <v>modesg_inp_emss_vclsnome_pais</v>
      </c>
      <c r="B223" s="142" t="s">
        <v>26</v>
      </c>
      <c r="C223" s="138" t="s">
        <v>181</v>
      </c>
      <c r="D223" s="134" t="s">
        <v>40</v>
      </c>
      <c r="E223" s="135" t="s">
        <v>213</v>
      </c>
      <c r="F223" s="134" t="s">
        <v>222</v>
      </c>
      <c r="G223" s="136" t="str">
        <f>VLOOKUP(A223,Plano_V3!$A$26:$G$592,7,0)</f>
        <v>1. Concluído</v>
      </c>
      <c r="H223" s="136" t="s">
        <v>614</v>
      </c>
      <c r="I223" s="143"/>
      <c r="J223" s="153" t="str">
        <f>IF(VLOOKUP(A223,'Aux - pivots1'!$A:$E,3,0)=0, "",VLOOKUP(A223,'Aux - pivots1'!$A:$E,3,0))</f>
        <v/>
      </c>
      <c r="K223" s="153">
        <f>IF(VLOOKUP(A223,'Aux - pivots1'!$A:$E,4,0)=0, "",VLOOKUP(A223,'Aux - pivots1'!$A:$E,4,0))</f>
        <v>45603</v>
      </c>
      <c r="L223" s="153">
        <f>IF(VLOOKUP(A223,'Aux - pivots1'!$A:$E,5,0)=0, "",VLOOKUP(A223,'Aux - pivots1'!$A:$E,5,0))</f>
        <v>45534</v>
      </c>
      <c r="M223" s="209"/>
      <c r="N223" s="209"/>
    </row>
    <row r="224" spans="1:14" ht="16.2" hidden="1" customHeight="1" x14ac:dyDescent="0.4">
      <c r="A224" s="30" t="str">
        <f t="shared" si="5"/>
        <v>modesg_inp_emss_vclsnome_estado</v>
      </c>
      <c r="B224" s="142" t="s">
        <v>26</v>
      </c>
      <c r="C224" s="138" t="s">
        <v>181</v>
      </c>
      <c r="D224" s="134" t="s">
        <v>40</v>
      </c>
      <c r="E224" s="135" t="s">
        <v>213</v>
      </c>
      <c r="F224" s="134" t="s">
        <v>223</v>
      </c>
      <c r="G224" s="136" t="str">
        <f>VLOOKUP(A224,Plano_V3!$A$26:$G$592,7,0)</f>
        <v>1. Concluído</v>
      </c>
      <c r="H224" s="136" t="s">
        <v>614</v>
      </c>
      <c r="I224" s="143"/>
      <c r="J224" s="153" t="str">
        <f>IF(VLOOKUP(A224,'Aux - pivots1'!$A:$E,3,0)=0, "",VLOOKUP(A224,'Aux - pivots1'!$A:$E,3,0))</f>
        <v/>
      </c>
      <c r="K224" s="153">
        <f>IF(VLOOKUP(A224,'Aux - pivots1'!$A:$E,4,0)=0, "",VLOOKUP(A224,'Aux - pivots1'!$A:$E,4,0))</f>
        <v>45603</v>
      </c>
      <c r="L224" s="153">
        <f>IF(VLOOKUP(A224,'Aux - pivots1'!$A:$E,5,0)=0, "",VLOOKUP(A224,'Aux - pivots1'!$A:$E,5,0))</f>
        <v>45534</v>
      </c>
      <c r="M224" s="209"/>
      <c r="N224" s="209"/>
    </row>
    <row r="225" spans="1:14" ht="16.2" hidden="1" customHeight="1" x14ac:dyDescent="0.4">
      <c r="A225" s="30" t="str">
        <f t="shared" si="5"/>
        <v>modesg_inp_emss_vclstipo_veiculo</v>
      </c>
      <c r="B225" s="142" t="s">
        <v>26</v>
      </c>
      <c r="C225" s="138" t="s">
        <v>181</v>
      </c>
      <c r="D225" s="134" t="s">
        <v>40</v>
      </c>
      <c r="E225" s="135" t="s">
        <v>213</v>
      </c>
      <c r="F225" s="134" t="s">
        <v>224</v>
      </c>
      <c r="G225" s="136" t="str">
        <f>VLOOKUP(A225,Plano_V3!$A$26:$G$592,7,0)</f>
        <v>1. Concluído</v>
      </c>
      <c r="H225" s="136" t="s">
        <v>614</v>
      </c>
      <c r="I225" s="143"/>
      <c r="J225" s="153" t="str">
        <f>IF(VLOOKUP(A225,'Aux - pivots1'!$A:$E,3,0)=0, "",VLOOKUP(A225,'Aux - pivots1'!$A:$E,3,0))</f>
        <v/>
      </c>
      <c r="K225" s="153">
        <f>IF(VLOOKUP(A225,'Aux - pivots1'!$A:$E,4,0)=0, "",VLOOKUP(A225,'Aux - pivots1'!$A:$E,4,0))</f>
        <v>45603</v>
      </c>
      <c r="L225" s="153">
        <f>IF(VLOOKUP(A225,'Aux - pivots1'!$A:$E,5,0)=0, "",VLOOKUP(A225,'Aux - pivots1'!$A:$E,5,0))</f>
        <v>45534</v>
      </c>
      <c r="M225" s="209"/>
      <c r="N225" s="209"/>
    </row>
    <row r="226" spans="1:14" ht="16.2" hidden="1" customHeight="1" x14ac:dyDescent="0.4">
      <c r="A226" s="30" t="str">
        <f t="shared" si="5"/>
        <v>modesg_inp_emss_vclstipo_motor</v>
      </c>
      <c r="B226" s="142" t="s">
        <v>26</v>
      </c>
      <c r="C226" s="138" t="s">
        <v>181</v>
      </c>
      <c r="D226" s="134" t="s">
        <v>40</v>
      </c>
      <c r="E226" s="135" t="s">
        <v>213</v>
      </c>
      <c r="F226" s="134" t="s">
        <v>225</v>
      </c>
      <c r="G226" s="136" t="str">
        <f>VLOOKUP(A226,Plano_V3!$A$26:$G$592,7,0)</f>
        <v>1. Concluído</v>
      </c>
      <c r="H226" s="136" t="s">
        <v>614</v>
      </c>
      <c r="I226" s="143"/>
      <c r="J226" s="153" t="str">
        <f>IF(VLOOKUP(A226,'Aux - pivots1'!$A:$E,3,0)=0, "",VLOOKUP(A226,'Aux - pivots1'!$A:$E,3,0))</f>
        <v/>
      </c>
      <c r="K226" s="153">
        <f>IF(VLOOKUP(A226,'Aux - pivots1'!$A:$E,4,0)=0, "",VLOOKUP(A226,'Aux - pivots1'!$A:$E,4,0))</f>
        <v>45603</v>
      </c>
      <c r="L226" s="153">
        <f>IF(VLOOKUP(A226,'Aux - pivots1'!$A:$E,5,0)=0, "",VLOOKUP(A226,'Aux - pivots1'!$A:$E,5,0))</f>
        <v>45534</v>
      </c>
      <c r="M226" s="209"/>
      <c r="N226" s="209"/>
    </row>
    <row r="227" spans="1:14" ht="16.2" hidden="1" customHeight="1" x14ac:dyDescent="0.4">
      <c r="A227" s="30" t="str">
        <f t="shared" si="5"/>
        <v>modesg_inp_emss_vclsmarca</v>
      </c>
      <c r="B227" s="142" t="s">
        <v>26</v>
      </c>
      <c r="C227" s="138" t="s">
        <v>181</v>
      </c>
      <c r="D227" s="134" t="s">
        <v>40</v>
      </c>
      <c r="E227" s="135" t="s">
        <v>213</v>
      </c>
      <c r="F227" s="134" t="s">
        <v>226</v>
      </c>
      <c r="G227" s="136" t="str">
        <f>VLOOKUP(A227,Plano_V3!$A$26:$G$592,7,0)</f>
        <v>1. Concluído</v>
      </c>
      <c r="H227" s="136" t="s">
        <v>614</v>
      </c>
      <c r="I227" s="143"/>
      <c r="J227" s="153" t="str">
        <f>IF(VLOOKUP(A227,'Aux - pivots1'!$A:$E,3,0)=0, "",VLOOKUP(A227,'Aux - pivots1'!$A:$E,3,0))</f>
        <v/>
      </c>
      <c r="K227" s="153">
        <f>IF(VLOOKUP(A227,'Aux - pivots1'!$A:$E,4,0)=0, "",VLOOKUP(A227,'Aux - pivots1'!$A:$E,4,0))</f>
        <v>45603</v>
      </c>
      <c r="L227" s="153">
        <f>IF(VLOOKUP(A227,'Aux - pivots1'!$A:$E,5,0)=0, "",VLOOKUP(A227,'Aux - pivots1'!$A:$E,5,0))</f>
        <v>45534</v>
      </c>
      <c r="M227" s="209"/>
      <c r="N227" s="209"/>
    </row>
    <row r="228" spans="1:14" ht="16.2" hidden="1" customHeight="1" x14ac:dyDescent="0.4">
      <c r="A228" s="30" t="str">
        <f t="shared" si="5"/>
        <v>modesg_inp_emss_vclsmodelo</v>
      </c>
      <c r="B228" s="142" t="s">
        <v>26</v>
      </c>
      <c r="C228" s="138" t="s">
        <v>181</v>
      </c>
      <c r="D228" s="134" t="s">
        <v>40</v>
      </c>
      <c r="E228" s="135" t="s">
        <v>213</v>
      </c>
      <c r="F228" s="134" t="s">
        <v>227</v>
      </c>
      <c r="G228" s="136" t="str">
        <f>VLOOKUP(A228,Plano_V3!$A$26:$G$592,7,0)</f>
        <v>1. Concluído</v>
      </c>
      <c r="H228" s="136" t="s">
        <v>614</v>
      </c>
      <c r="I228" s="143"/>
      <c r="J228" s="153" t="str">
        <f>IF(VLOOKUP(A228,'Aux - pivots1'!$A:$E,3,0)=0, "",VLOOKUP(A228,'Aux - pivots1'!$A:$E,3,0))</f>
        <v/>
      </c>
      <c r="K228" s="153">
        <f>IF(VLOOKUP(A228,'Aux - pivots1'!$A:$E,4,0)=0, "",VLOOKUP(A228,'Aux - pivots1'!$A:$E,4,0))</f>
        <v>45603</v>
      </c>
      <c r="L228" s="153">
        <f>IF(VLOOKUP(A228,'Aux - pivots1'!$A:$E,5,0)=0, "",VLOOKUP(A228,'Aux - pivots1'!$A:$E,5,0))</f>
        <v>45534</v>
      </c>
      <c r="M228" s="209"/>
      <c r="N228" s="209"/>
    </row>
    <row r="229" spans="1:14" ht="16.2" hidden="1" customHeight="1" x14ac:dyDescent="0.4">
      <c r="A229" s="30" t="str">
        <f t="shared" si="5"/>
        <v>modesg_inp_emss_vclssubgrupo</v>
      </c>
      <c r="B229" s="142" t="s">
        <v>26</v>
      </c>
      <c r="C229" s="138" t="s">
        <v>181</v>
      </c>
      <c r="D229" s="134" t="s">
        <v>40</v>
      </c>
      <c r="E229" s="135" t="s">
        <v>213</v>
      </c>
      <c r="F229" s="134" t="s">
        <v>228</v>
      </c>
      <c r="G229" s="136" t="str">
        <f>VLOOKUP(A229,Plano_V3!$A$26:$G$592,7,0)</f>
        <v>1. Concluído</v>
      </c>
      <c r="H229" s="136" t="s">
        <v>614</v>
      </c>
      <c r="I229" s="144" t="s">
        <v>658</v>
      </c>
      <c r="J229" s="153" t="str">
        <f>IF(VLOOKUP(A229,'Aux - pivots1'!$A:$E,3,0)=0, "",VLOOKUP(A229,'Aux - pivots1'!$A:$E,3,0))</f>
        <v/>
      </c>
      <c r="K229" s="153">
        <f>IF(VLOOKUP(A229,'Aux - pivots1'!$A:$E,4,0)=0, "",VLOOKUP(A229,'Aux - pivots1'!$A:$E,4,0))</f>
        <v>45603</v>
      </c>
      <c r="L229" s="153">
        <f>IF(VLOOKUP(A229,'Aux - pivots1'!$A:$E,5,0)=0, "",VLOOKUP(A229,'Aux - pivots1'!$A:$E,5,0))</f>
        <v>45534</v>
      </c>
      <c r="M229" s="209"/>
      <c r="N229" s="209"/>
    </row>
    <row r="230" spans="1:14" ht="16.2" hidden="1" customHeight="1" x14ac:dyDescent="0.4">
      <c r="A230" s="30" t="str">
        <f t="shared" si="5"/>
        <v>modesg_inp_emss_vclsnome_unidade_funcional</v>
      </c>
      <c r="B230" s="142" t="s">
        <v>26</v>
      </c>
      <c r="C230" s="138" t="s">
        <v>181</v>
      </c>
      <c r="D230" s="134" t="s">
        <v>40</v>
      </c>
      <c r="E230" s="135" t="s">
        <v>213</v>
      </c>
      <c r="F230" s="134" t="s">
        <v>229</v>
      </c>
      <c r="G230" s="136" t="str">
        <f>VLOOKUP(A230,Plano_V3!$A$26:$G$592,7,0)</f>
        <v>1. Concluído</v>
      </c>
      <c r="H230" s="136" t="s">
        <v>614</v>
      </c>
      <c r="I230" s="143"/>
      <c r="J230" s="153" t="str">
        <f>IF(VLOOKUP(A230,'Aux - pivots1'!$A:$E,3,0)=0, "",VLOOKUP(A230,'Aux - pivots1'!$A:$E,3,0))</f>
        <v/>
      </c>
      <c r="K230" s="153">
        <f>IF(VLOOKUP(A230,'Aux - pivots1'!$A:$E,4,0)=0, "",VLOOKUP(A230,'Aux - pivots1'!$A:$E,4,0))</f>
        <v>45603</v>
      </c>
      <c r="L230" s="153">
        <f>IF(VLOOKUP(A230,'Aux - pivots1'!$A:$E,5,0)=0, "",VLOOKUP(A230,'Aux - pivots1'!$A:$E,5,0))</f>
        <v>45534</v>
      </c>
      <c r="M230" s="209"/>
      <c r="N230" s="209"/>
    </row>
    <row r="231" spans="1:14" ht="16.2" hidden="1" customHeight="1" x14ac:dyDescent="0.4">
      <c r="A231" s="30" t="str">
        <f t="shared" si="5"/>
        <v>modesg_inp_emss_vclsunidade_funcional</v>
      </c>
      <c r="B231" s="142" t="s">
        <v>26</v>
      </c>
      <c r="C231" s="138" t="s">
        <v>181</v>
      </c>
      <c r="D231" s="134" t="s">
        <v>40</v>
      </c>
      <c r="E231" s="135" t="s">
        <v>213</v>
      </c>
      <c r="F231" s="134" t="s">
        <v>230</v>
      </c>
      <c r="G231" s="136" t="str">
        <f>VLOOKUP(A231,Plano_V3!$A$26:$G$592,7,0)</f>
        <v>1. Concluído</v>
      </c>
      <c r="H231" s="136" t="s">
        <v>614</v>
      </c>
      <c r="I231" s="143"/>
      <c r="J231" s="153" t="str">
        <f>IF(VLOOKUP(A231,'Aux - pivots1'!$A:$E,3,0)=0, "",VLOOKUP(A231,'Aux - pivots1'!$A:$E,3,0))</f>
        <v/>
      </c>
      <c r="K231" s="153">
        <f>IF(VLOOKUP(A231,'Aux - pivots1'!$A:$E,4,0)=0, "",VLOOKUP(A231,'Aux - pivots1'!$A:$E,4,0))</f>
        <v>45603</v>
      </c>
      <c r="L231" s="153">
        <f>IF(VLOOKUP(A231,'Aux - pivots1'!$A:$E,5,0)=0, "",VLOOKUP(A231,'Aux - pivots1'!$A:$E,5,0))</f>
        <v>45534</v>
      </c>
      <c r="M231" s="209"/>
      <c r="N231" s="209"/>
    </row>
    <row r="232" spans="1:14" ht="16.2" hidden="1" customHeight="1" x14ac:dyDescent="0.4">
      <c r="A232" s="30" t="str">
        <f t="shared" si="5"/>
        <v>modesg_inp_emss_vclsnome_fator_emissao</v>
      </c>
      <c r="B232" s="142" t="s">
        <v>26</v>
      </c>
      <c r="C232" s="138" t="s">
        <v>181</v>
      </c>
      <c r="D232" s="134" t="s">
        <v>40</v>
      </c>
      <c r="E232" s="135" t="s">
        <v>213</v>
      </c>
      <c r="F232" s="134" t="s">
        <v>231</v>
      </c>
      <c r="G232" s="136" t="str">
        <f>VLOOKUP(A232,Plano_V3!$A$26:$G$592,7,0)</f>
        <v>1. Concluído</v>
      </c>
      <c r="H232" s="136" t="s">
        <v>614</v>
      </c>
      <c r="I232" s="143"/>
      <c r="J232" s="153" t="str">
        <f>IF(VLOOKUP(A232,'Aux - pivots1'!$A:$E,3,0)=0, "",VLOOKUP(A232,'Aux - pivots1'!$A:$E,3,0))</f>
        <v/>
      </c>
      <c r="K232" s="153">
        <f>IF(VLOOKUP(A232,'Aux - pivots1'!$A:$E,4,0)=0, "",VLOOKUP(A232,'Aux - pivots1'!$A:$E,4,0))</f>
        <v>45603</v>
      </c>
      <c r="L232" s="153">
        <f>IF(VLOOKUP(A232,'Aux - pivots1'!$A:$E,5,0)=0, "",VLOOKUP(A232,'Aux - pivots1'!$A:$E,5,0))</f>
        <v>45534</v>
      </c>
      <c r="M232" s="209"/>
      <c r="N232" s="209"/>
    </row>
    <row r="233" spans="1:14" ht="16.2" hidden="1" customHeight="1" x14ac:dyDescent="0.4">
      <c r="A233" s="30" t="str">
        <f t="shared" si="5"/>
        <v>modesg_inp_emss_vclsunidade_fator_de_emissao</v>
      </c>
      <c r="B233" s="142" t="s">
        <v>26</v>
      </c>
      <c r="C233" s="138" t="s">
        <v>181</v>
      </c>
      <c r="D233" s="134" t="s">
        <v>40</v>
      </c>
      <c r="E233" s="135" t="s">
        <v>213</v>
      </c>
      <c r="F233" s="134" t="s">
        <v>232</v>
      </c>
      <c r="G233" s="136" t="str">
        <f>VLOOKUP(A233,Plano_V3!$A$26:$G$592,7,0)</f>
        <v>1. Concluído</v>
      </c>
      <c r="H233" s="136" t="s">
        <v>614</v>
      </c>
      <c r="I233" s="143"/>
      <c r="J233" s="153" t="str">
        <f>IF(VLOOKUP(A233,'Aux - pivots1'!$A:$E,3,0)=0, "",VLOOKUP(A233,'Aux - pivots1'!$A:$E,3,0))</f>
        <v/>
      </c>
      <c r="K233" s="153">
        <f>IF(VLOOKUP(A233,'Aux - pivots1'!$A:$E,4,0)=0, "",VLOOKUP(A233,'Aux - pivots1'!$A:$E,4,0))</f>
        <v>45603</v>
      </c>
      <c r="L233" s="153">
        <f>IF(VLOOKUP(A233,'Aux - pivots1'!$A:$E,5,0)=0, "",VLOOKUP(A233,'Aux - pivots1'!$A:$E,5,0))</f>
        <v>45534</v>
      </c>
      <c r="M233" s="209"/>
      <c r="N233" s="209"/>
    </row>
    <row r="234" spans="1:14" ht="16.2" hidden="1" customHeight="1" x14ac:dyDescent="0.4">
      <c r="A234" s="30" t="str">
        <f t="shared" si="5"/>
        <v>modesg_inp_emss_vclsscore_qualidade</v>
      </c>
      <c r="B234" s="142" t="s">
        <v>26</v>
      </c>
      <c r="C234" s="138" t="s">
        <v>181</v>
      </c>
      <c r="D234" s="134" t="s">
        <v>40</v>
      </c>
      <c r="E234" s="135" t="s">
        <v>213</v>
      </c>
      <c r="F234" s="134" t="s">
        <v>233</v>
      </c>
      <c r="G234" s="136" t="str">
        <f>VLOOKUP(A234,Plano_V3!$A$26:$G$592,7,0)</f>
        <v>1. Concluído</v>
      </c>
      <c r="H234" s="136" t="s">
        <v>614</v>
      </c>
      <c r="I234" s="143"/>
      <c r="J234" s="153" t="str">
        <f>IF(VLOOKUP(A234,'Aux - pivots1'!$A:$E,3,0)=0, "",VLOOKUP(A234,'Aux - pivots1'!$A:$E,3,0))</f>
        <v/>
      </c>
      <c r="K234" s="153">
        <f>IF(VLOOKUP(A234,'Aux - pivots1'!$A:$E,4,0)=0, "",VLOOKUP(A234,'Aux - pivots1'!$A:$E,4,0))</f>
        <v>45603</v>
      </c>
      <c r="L234" s="153">
        <f>IF(VLOOKUP(A234,'Aux - pivots1'!$A:$E,5,0)=0, "",VLOOKUP(A234,'Aux - pivots1'!$A:$E,5,0))</f>
        <v>45534</v>
      </c>
      <c r="M234" s="209"/>
      <c r="N234" s="209"/>
    </row>
    <row r="235" spans="1:14" ht="16.2" hidden="1" customHeight="1" x14ac:dyDescent="0.4">
      <c r="A235" s="30" t="str">
        <f t="shared" si="5"/>
        <v>modesg_inp_emss_vclsscp1_ftr_emss</v>
      </c>
      <c r="B235" s="142" t="s">
        <v>26</v>
      </c>
      <c r="C235" s="138" t="s">
        <v>181</v>
      </c>
      <c r="D235" s="134" t="s">
        <v>40</v>
      </c>
      <c r="E235" s="135" t="s">
        <v>213</v>
      </c>
      <c r="F235" s="134" t="s">
        <v>234</v>
      </c>
      <c r="G235" s="136" t="str">
        <f>VLOOKUP(A235,Plano_V3!$A$26:$G$592,7,0)</f>
        <v>1. Concluído</v>
      </c>
      <c r="H235" s="136" t="s">
        <v>614</v>
      </c>
      <c r="I235" s="143"/>
      <c r="J235" s="153" t="str">
        <f>IF(VLOOKUP(A235,'Aux - pivots1'!$A:$E,3,0)=0, "",VLOOKUP(A235,'Aux - pivots1'!$A:$E,3,0))</f>
        <v/>
      </c>
      <c r="K235" s="153">
        <f>IF(VLOOKUP(A235,'Aux - pivots1'!$A:$E,4,0)=0, "",VLOOKUP(A235,'Aux - pivots1'!$A:$E,4,0))</f>
        <v>45603</v>
      </c>
      <c r="L235" s="153">
        <f>IF(VLOOKUP(A235,'Aux - pivots1'!$A:$E,5,0)=0, "",VLOOKUP(A235,'Aux - pivots1'!$A:$E,5,0))</f>
        <v>45534</v>
      </c>
      <c r="M235" s="209"/>
      <c r="N235" s="209"/>
    </row>
    <row r="236" spans="1:14" ht="16.2" hidden="1" customHeight="1" x14ac:dyDescent="0.4">
      <c r="A236" s="30" t="str">
        <f t="shared" si="5"/>
        <v>modesg_inp_emss_vclsscp2_ftr_emss</v>
      </c>
      <c r="B236" s="142" t="s">
        <v>26</v>
      </c>
      <c r="C236" s="138" t="s">
        <v>181</v>
      </c>
      <c r="D236" s="134" t="s">
        <v>40</v>
      </c>
      <c r="E236" s="135" t="s">
        <v>213</v>
      </c>
      <c r="F236" s="134" t="s">
        <v>235</v>
      </c>
      <c r="G236" s="136" t="str">
        <f>VLOOKUP(A236,Plano_V3!$A$26:$G$592,7,0)</f>
        <v>1. Concluído</v>
      </c>
      <c r="H236" s="136" t="s">
        <v>614</v>
      </c>
      <c r="I236" s="143"/>
      <c r="J236" s="153" t="str">
        <f>IF(VLOOKUP(A236,'Aux - pivots1'!$A:$E,3,0)=0, "",VLOOKUP(A236,'Aux - pivots1'!$A:$E,3,0))</f>
        <v/>
      </c>
      <c r="K236" s="153">
        <f>IF(VLOOKUP(A236,'Aux - pivots1'!$A:$E,4,0)=0, "",VLOOKUP(A236,'Aux - pivots1'!$A:$E,4,0))</f>
        <v>45603</v>
      </c>
      <c r="L236" s="153">
        <f>IF(VLOOKUP(A236,'Aux - pivots1'!$A:$E,5,0)=0, "",VLOOKUP(A236,'Aux - pivots1'!$A:$E,5,0))</f>
        <v>45534</v>
      </c>
      <c r="M236" s="209"/>
      <c r="N236" s="209"/>
    </row>
    <row r="237" spans="1:14" ht="16.2" hidden="1" customHeight="1" x14ac:dyDescent="0.4">
      <c r="A237" s="30" t="str">
        <f t="shared" si="5"/>
        <v>modesg_inp_emss_vclsscp3_ftr_emss</v>
      </c>
      <c r="B237" s="142" t="s">
        <v>26</v>
      </c>
      <c r="C237" s="138" t="s">
        <v>181</v>
      </c>
      <c r="D237" s="134" t="s">
        <v>40</v>
      </c>
      <c r="E237" s="135" t="s">
        <v>213</v>
      </c>
      <c r="F237" s="134" t="s">
        <v>236</v>
      </c>
      <c r="G237" s="136" t="str">
        <f>VLOOKUP(A237,Plano_V3!$A$26:$G$592,7,0)</f>
        <v>1. Concluído</v>
      </c>
      <c r="H237" s="136" t="s">
        <v>614</v>
      </c>
      <c r="I237" s="143"/>
      <c r="J237" s="153" t="str">
        <f>IF(VLOOKUP(A237,'Aux - pivots1'!$A:$E,3,0)=0, "",VLOOKUP(A237,'Aux - pivots1'!$A:$E,3,0))</f>
        <v/>
      </c>
      <c r="K237" s="153">
        <f>IF(VLOOKUP(A237,'Aux - pivots1'!$A:$E,4,0)=0, "",VLOOKUP(A237,'Aux - pivots1'!$A:$E,4,0))</f>
        <v>45603</v>
      </c>
      <c r="L237" s="153">
        <f>IF(VLOOKUP(A237,'Aux - pivots1'!$A:$E,5,0)=0, "",VLOOKUP(A237,'Aux - pivots1'!$A:$E,5,0))</f>
        <v>45534</v>
      </c>
      <c r="M237" s="209"/>
      <c r="N237" s="209"/>
    </row>
    <row r="238" spans="1:14" ht="16.2" hidden="1" customHeight="1" x14ac:dyDescent="0.4">
      <c r="A238" s="30" t="str">
        <f t="shared" si="5"/>
        <v>modesg_inp_km_medios_emss_vclsref_date</v>
      </c>
      <c r="B238" s="142" t="s">
        <v>26</v>
      </c>
      <c r="C238" s="138" t="s">
        <v>181</v>
      </c>
      <c r="D238" s="134" t="s">
        <v>40</v>
      </c>
      <c r="E238" s="135" t="s">
        <v>214</v>
      </c>
      <c r="F238" s="134" t="s">
        <v>208</v>
      </c>
      <c r="G238" s="136" t="str">
        <f>VLOOKUP(A238,Plano_V3!$A$26:$G$592,7,0)</f>
        <v>1. Concluído</v>
      </c>
      <c r="H238" s="136" t="s">
        <v>614</v>
      </c>
      <c r="I238" s="143"/>
      <c r="J238" s="153" t="str">
        <f>IF(VLOOKUP(A238,'Aux - pivots1'!$A:$E,3,0)=0, "",VLOOKUP(A238,'Aux - pivots1'!$A:$E,3,0))</f>
        <v/>
      </c>
      <c r="K238" s="153">
        <f>IF(VLOOKUP(A238,'Aux - pivots1'!$A:$E,4,0)=0, "",VLOOKUP(A238,'Aux - pivots1'!$A:$E,4,0))</f>
        <v>45603</v>
      </c>
      <c r="L238" s="153">
        <f>IF(VLOOKUP(A238,'Aux - pivots1'!$A:$E,5,0)=0, "",VLOOKUP(A238,'Aux - pivots1'!$A:$E,5,0))</f>
        <v>45534</v>
      </c>
      <c r="M238" s="209"/>
      <c r="N238" s="209"/>
    </row>
    <row r="239" spans="1:14" ht="16.2" hidden="1" customHeight="1" x14ac:dyDescent="0.4">
      <c r="A239" s="30" t="str">
        <f t="shared" si="5"/>
        <v>modesg_inp_km_medios_emss_vclsnome_pais</v>
      </c>
      <c r="B239" s="142" t="s">
        <v>26</v>
      </c>
      <c r="C239" s="138" t="s">
        <v>181</v>
      </c>
      <c r="D239" s="134" t="s">
        <v>40</v>
      </c>
      <c r="E239" s="135" t="s">
        <v>214</v>
      </c>
      <c r="F239" s="134" t="s">
        <v>222</v>
      </c>
      <c r="G239" s="136" t="str">
        <f>VLOOKUP(A239,Plano_V3!$A$26:$G$592,7,0)</f>
        <v>1. Concluído</v>
      </c>
      <c r="H239" s="136" t="s">
        <v>614</v>
      </c>
      <c r="I239" s="143"/>
      <c r="J239" s="153" t="str">
        <f>IF(VLOOKUP(A239,'Aux - pivots1'!$A:$E,3,0)=0, "",VLOOKUP(A239,'Aux - pivots1'!$A:$E,3,0))</f>
        <v/>
      </c>
      <c r="K239" s="153">
        <f>IF(VLOOKUP(A239,'Aux - pivots1'!$A:$E,4,0)=0, "",VLOOKUP(A239,'Aux - pivots1'!$A:$E,4,0))</f>
        <v>45603</v>
      </c>
      <c r="L239" s="153">
        <f>IF(VLOOKUP(A239,'Aux - pivots1'!$A:$E,5,0)=0, "",VLOOKUP(A239,'Aux - pivots1'!$A:$E,5,0))</f>
        <v>45534</v>
      </c>
      <c r="M239" s="209"/>
      <c r="N239" s="209"/>
    </row>
    <row r="240" spans="1:14" ht="16.2" hidden="1" customHeight="1" x14ac:dyDescent="0.4">
      <c r="A240" s="30" t="str">
        <f t="shared" si="5"/>
        <v>modesg_inp_km_medios_emss_vclstipo_vcl</v>
      </c>
      <c r="B240" s="142" t="s">
        <v>26</v>
      </c>
      <c r="C240" s="138" t="s">
        <v>181</v>
      </c>
      <c r="D240" s="134" t="s">
        <v>40</v>
      </c>
      <c r="E240" s="135" t="s">
        <v>214</v>
      </c>
      <c r="F240" s="134" t="s">
        <v>237</v>
      </c>
      <c r="G240" s="136" t="str">
        <f>VLOOKUP(A240,Plano_V3!$A$26:$G$592,7,0)</f>
        <v>1. Concluído</v>
      </c>
      <c r="H240" s="136" t="s">
        <v>614</v>
      </c>
      <c r="I240" s="143"/>
      <c r="J240" s="153" t="str">
        <f>IF(VLOOKUP(A240,'Aux - pivots1'!$A:$E,3,0)=0, "",VLOOKUP(A240,'Aux - pivots1'!$A:$E,3,0))</f>
        <v/>
      </c>
      <c r="K240" s="153">
        <f>IF(VLOOKUP(A240,'Aux - pivots1'!$A:$E,4,0)=0, "",VLOOKUP(A240,'Aux - pivots1'!$A:$E,4,0))</f>
        <v>45603</v>
      </c>
      <c r="L240" s="153">
        <f>IF(VLOOKUP(A240,'Aux - pivots1'!$A:$E,5,0)=0, "",VLOOKUP(A240,'Aux - pivots1'!$A:$E,5,0))</f>
        <v>45534</v>
      </c>
      <c r="M240" s="209"/>
      <c r="N240" s="209"/>
    </row>
    <row r="241" spans="1:14" ht="16.2" hidden="1" customHeight="1" x14ac:dyDescent="0.4">
      <c r="A241" s="30" t="str">
        <f t="shared" si="5"/>
        <v>modesg_inp_km_medios_emss_vclstipo_motor</v>
      </c>
      <c r="B241" s="142" t="s">
        <v>26</v>
      </c>
      <c r="C241" s="138" t="s">
        <v>181</v>
      </c>
      <c r="D241" s="134" t="s">
        <v>40</v>
      </c>
      <c r="E241" s="135" t="s">
        <v>214</v>
      </c>
      <c r="F241" s="134" t="s">
        <v>225</v>
      </c>
      <c r="G241" s="136" t="str">
        <f>VLOOKUP(A241,Plano_V3!$A$26:$G$592,7,0)</f>
        <v>1. Concluído</v>
      </c>
      <c r="H241" s="136" t="s">
        <v>614</v>
      </c>
      <c r="I241" s="143"/>
      <c r="J241" s="153" t="str">
        <f>IF(VLOOKUP(A241,'Aux - pivots1'!$A:$E,3,0)=0, "",VLOOKUP(A241,'Aux - pivots1'!$A:$E,3,0))</f>
        <v/>
      </c>
      <c r="K241" s="153">
        <f>IF(VLOOKUP(A241,'Aux - pivots1'!$A:$E,4,0)=0, "",VLOOKUP(A241,'Aux - pivots1'!$A:$E,4,0))</f>
        <v>45603</v>
      </c>
      <c r="L241" s="153">
        <f>IF(VLOOKUP(A241,'Aux - pivots1'!$A:$E,5,0)=0, "",VLOOKUP(A241,'Aux - pivots1'!$A:$E,5,0))</f>
        <v>45534</v>
      </c>
      <c r="M241" s="209"/>
      <c r="N241" s="209"/>
    </row>
    <row r="242" spans="1:14" ht="16.2" hidden="1" customHeight="1" x14ac:dyDescent="0.4">
      <c r="A242" s="30" t="str">
        <f t="shared" si="5"/>
        <v>modesg_inp_km_medios_emss_vclssubgrupo</v>
      </c>
      <c r="B242" s="142" t="s">
        <v>26</v>
      </c>
      <c r="C242" s="138" t="s">
        <v>181</v>
      </c>
      <c r="D242" s="134" t="s">
        <v>40</v>
      </c>
      <c r="E242" s="135" t="s">
        <v>214</v>
      </c>
      <c r="F242" s="134" t="s">
        <v>228</v>
      </c>
      <c r="G242" s="136" t="str">
        <f>VLOOKUP(A242,Plano_V3!$A$26:$G$592,7,0)</f>
        <v>1. Concluído</v>
      </c>
      <c r="H242" s="136" t="s">
        <v>614</v>
      </c>
      <c r="I242" s="144" t="s">
        <v>658</v>
      </c>
      <c r="J242" s="153" t="str">
        <f>IF(VLOOKUP(A242,'Aux - pivots1'!$A:$E,3,0)=0, "",VLOOKUP(A242,'Aux - pivots1'!$A:$E,3,0))</f>
        <v/>
      </c>
      <c r="K242" s="153">
        <f>IF(VLOOKUP(A242,'Aux - pivots1'!$A:$E,4,0)=0, "",VLOOKUP(A242,'Aux - pivots1'!$A:$E,4,0))</f>
        <v>45603</v>
      </c>
      <c r="L242" s="153">
        <f>IF(VLOOKUP(A242,'Aux - pivots1'!$A:$E,5,0)=0, "",VLOOKUP(A242,'Aux - pivots1'!$A:$E,5,0))</f>
        <v>45534</v>
      </c>
      <c r="M242" s="209"/>
      <c r="N242" s="209"/>
    </row>
    <row r="243" spans="1:14" ht="16.2" hidden="1" customHeight="1" x14ac:dyDescent="0.4">
      <c r="A243" s="30" t="str">
        <f t="shared" si="5"/>
        <v>modesg_inp_km_medios_emss_vclsmedia_km</v>
      </c>
      <c r="B243" s="142" t="s">
        <v>26</v>
      </c>
      <c r="C243" s="138" t="s">
        <v>181</v>
      </c>
      <c r="D243" s="134" t="s">
        <v>40</v>
      </c>
      <c r="E243" s="135" t="s">
        <v>214</v>
      </c>
      <c r="F243" s="134" t="s">
        <v>238</v>
      </c>
      <c r="G243" s="136" t="str">
        <f>VLOOKUP(A243,Plano_V3!$A$26:$G$592,7,0)</f>
        <v>1. Concluído</v>
      </c>
      <c r="H243" s="136" t="s">
        <v>614</v>
      </c>
      <c r="I243" s="143"/>
      <c r="J243" s="153" t="str">
        <f>IF(VLOOKUP(A243,'Aux - pivots1'!$A:$E,3,0)=0, "",VLOOKUP(A243,'Aux - pivots1'!$A:$E,3,0))</f>
        <v/>
      </c>
      <c r="K243" s="153">
        <f>IF(VLOOKUP(A243,'Aux - pivots1'!$A:$E,4,0)=0, "",VLOOKUP(A243,'Aux - pivots1'!$A:$E,4,0))</f>
        <v>45603</v>
      </c>
      <c r="L243" s="153">
        <f>IF(VLOOKUP(A243,'Aux - pivots1'!$A:$E,5,0)=0, "",VLOOKUP(A243,'Aux - pivots1'!$A:$E,5,0))</f>
        <v>45534</v>
      </c>
      <c r="M243" s="209"/>
      <c r="N243" s="209"/>
    </row>
    <row r="244" spans="1:14" ht="16.2" hidden="1" customHeight="1" x14ac:dyDescent="0.4">
      <c r="A244" s="30" t="str">
        <f t="shared" si="5"/>
        <v>modesg_inp_empr_excl_parisref_date</v>
      </c>
      <c r="B244" s="142" t="s">
        <v>26</v>
      </c>
      <c r="C244" s="138" t="s">
        <v>181</v>
      </c>
      <c r="D244" s="134" t="s">
        <v>40</v>
      </c>
      <c r="E244" s="135" t="s">
        <v>215</v>
      </c>
      <c r="F244" s="134" t="s">
        <v>208</v>
      </c>
      <c r="G244" s="136" t="str">
        <f>VLOOKUP(A244,Plano_V3!$A$26:$G$592,7,0)</f>
        <v>1. Concluído</v>
      </c>
      <c r="H244" s="136" t="s">
        <v>614</v>
      </c>
      <c r="I244" s="154"/>
      <c r="J244" s="153" t="str">
        <f>IF(VLOOKUP(A244,'Aux - pivots1'!$A:$E,3,0)=0, "",VLOOKUP(A244,'Aux - pivots1'!$A:$E,3,0))</f>
        <v/>
      </c>
      <c r="K244" s="153">
        <f>IF(VLOOKUP(A244,'Aux - pivots1'!$A:$E,4,0)=0, "",VLOOKUP(A244,'Aux - pivots1'!$A:$E,4,0))</f>
        <v>45603</v>
      </c>
      <c r="L244" s="153" t="str">
        <f>IF(VLOOKUP(A244,'Aux - pivots1'!$A:$E,5,0)=0, "",VLOOKUP(A244,'Aux - pivots1'!$A:$E,5,0))</f>
        <v/>
      </c>
      <c r="M244" s="209"/>
      <c r="N244" s="209"/>
    </row>
    <row r="245" spans="1:14" ht="16.2" hidden="1" customHeight="1" x14ac:dyDescent="0.4">
      <c r="A245" s="30" t="str">
        <f t="shared" ref="A245:A274" si="6">E245&amp;F245</f>
        <v>modesg_inp_empr_excl_parisisin</v>
      </c>
      <c r="B245" s="142" t="s">
        <v>26</v>
      </c>
      <c r="C245" s="138" t="s">
        <v>181</v>
      </c>
      <c r="D245" s="134" t="s">
        <v>40</v>
      </c>
      <c r="E245" s="135" t="s">
        <v>215</v>
      </c>
      <c r="F245" s="134" t="s">
        <v>239</v>
      </c>
      <c r="G245" s="136" t="str">
        <f>VLOOKUP(A245,Plano_V3!$A$26:$G$592,7,0)</f>
        <v>1. Concluído</v>
      </c>
      <c r="H245" s="136" t="s">
        <v>614</v>
      </c>
      <c r="I245" s="154"/>
      <c r="J245" s="153" t="str">
        <f>IF(VLOOKUP(A245,'Aux - pivots1'!$A:$E,3,0)=0, "",VLOOKUP(A245,'Aux - pivots1'!$A:$E,3,0))</f>
        <v/>
      </c>
      <c r="K245" s="153">
        <f>IF(VLOOKUP(A245,'Aux - pivots1'!$A:$E,4,0)=0, "",VLOOKUP(A245,'Aux - pivots1'!$A:$E,4,0))</f>
        <v>45603</v>
      </c>
      <c r="L245" s="153" t="str">
        <f>IF(VLOOKUP(A245,'Aux - pivots1'!$A:$E,5,0)=0, "",VLOOKUP(A245,'Aux - pivots1'!$A:$E,5,0))</f>
        <v/>
      </c>
      <c r="M245" s="209"/>
      <c r="N245" s="209"/>
    </row>
    <row r="246" spans="1:14" ht="16.2" hidden="1" customHeight="1" x14ac:dyDescent="0.4">
      <c r="A246" s="30" t="str">
        <f t="shared" si="6"/>
        <v>modesg_inp_empr_excl_parisclei</v>
      </c>
      <c r="B246" s="142" t="s">
        <v>26</v>
      </c>
      <c r="C246" s="138" t="s">
        <v>181</v>
      </c>
      <c r="D246" s="134" t="s">
        <v>40</v>
      </c>
      <c r="E246" s="135" t="s">
        <v>215</v>
      </c>
      <c r="F246" s="134" t="s">
        <v>240</v>
      </c>
      <c r="G246" s="136" t="str">
        <f>VLOOKUP(A246,Plano_V3!$A$26:$G$592,7,0)</f>
        <v>1. Concluído</v>
      </c>
      <c r="H246" s="136" t="s">
        <v>614</v>
      </c>
      <c r="I246" s="154"/>
      <c r="J246" s="153" t="str">
        <f>IF(VLOOKUP(A246,'Aux - pivots1'!$A:$E,3,0)=0, "",VLOOKUP(A246,'Aux - pivots1'!$A:$E,3,0))</f>
        <v/>
      </c>
      <c r="K246" s="153">
        <f>IF(VLOOKUP(A246,'Aux - pivots1'!$A:$E,4,0)=0, "",VLOOKUP(A246,'Aux - pivots1'!$A:$E,4,0))</f>
        <v>45603</v>
      </c>
      <c r="L246" s="153" t="str">
        <f>IF(VLOOKUP(A246,'Aux - pivots1'!$A:$E,5,0)=0, "",VLOOKUP(A246,'Aux - pivots1'!$A:$E,5,0))</f>
        <v/>
      </c>
      <c r="M246" s="209"/>
      <c r="N246" s="209"/>
    </row>
    <row r="247" spans="1:14" ht="16.2" hidden="1" customHeight="1" x14ac:dyDescent="0.4">
      <c r="A247" s="30" t="str">
        <f t="shared" si="6"/>
        <v>modesg_inp_empr_excl_parisccli_kgl</v>
      </c>
      <c r="B247" s="142" t="s">
        <v>26</v>
      </c>
      <c r="C247" s="138" t="s">
        <v>181</v>
      </c>
      <c r="D247" s="134" t="s">
        <v>40</v>
      </c>
      <c r="E247" s="135" t="s">
        <v>215</v>
      </c>
      <c r="F247" s="134" t="s">
        <v>241</v>
      </c>
      <c r="G247" s="136" t="str">
        <f>VLOOKUP(A247,Plano_V3!$A$26:$G$592,7,0)</f>
        <v>1. Concluído</v>
      </c>
      <c r="H247" s="136" t="s">
        <v>614</v>
      </c>
      <c r="I247" s="154"/>
      <c r="J247" s="153" t="str">
        <f>IF(VLOOKUP(A247,'Aux - pivots1'!$A:$E,3,0)=0, "",VLOOKUP(A247,'Aux - pivots1'!$A:$E,3,0))</f>
        <v/>
      </c>
      <c r="K247" s="153">
        <f>IF(VLOOKUP(A247,'Aux - pivots1'!$A:$E,4,0)=0, "",VLOOKUP(A247,'Aux - pivots1'!$A:$E,4,0))</f>
        <v>45603</v>
      </c>
      <c r="L247" s="153" t="str">
        <f>IF(VLOOKUP(A247,'Aux - pivots1'!$A:$E,5,0)=0, "",VLOOKUP(A247,'Aux - pivots1'!$A:$E,5,0))</f>
        <v/>
      </c>
      <c r="M247" s="209"/>
      <c r="N247" s="209"/>
    </row>
    <row r="248" spans="1:14" ht="16.2" hidden="1" customHeight="1" x14ac:dyDescent="0.4">
      <c r="A248" s="30" t="str">
        <f t="shared" si="6"/>
        <v>modesg_inp_empr_excl_parisnome_entidade</v>
      </c>
      <c r="B248" s="142" t="s">
        <v>26</v>
      </c>
      <c r="C248" s="138" t="s">
        <v>181</v>
      </c>
      <c r="D248" s="134" t="s">
        <v>40</v>
      </c>
      <c r="E248" s="135" t="s">
        <v>215</v>
      </c>
      <c r="F248" s="134" t="s">
        <v>242</v>
      </c>
      <c r="G248" s="136" t="str">
        <f>VLOOKUP(A248,Plano_V3!$A$26:$G$592,7,0)</f>
        <v>1. Concluído</v>
      </c>
      <c r="H248" s="136" t="s">
        <v>614</v>
      </c>
      <c r="I248" s="154"/>
      <c r="J248" s="153" t="str">
        <f>IF(VLOOKUP(A248,'Aux - pivots1'!$A:$E,3,0)=0, "",VLOOKUP(A248,'Aux - pivots1'!$A:$E,3,0))</f>
        <v/>
      </c>
      <c r="K248" s="153">
        <f>IF(VLOOKUP(A248,'Aux - pivots1'!$A:$E,4,0)=0, "",VLOOKUP(A248,'Aux - pivots1'!$A:$E,4,0))</f>
        <v>45603</v>
      </c>
      <c r="L248" s="153" t="str">
        <f>IF(VLOOKUP(A248,'Aux - pivots1'!$A:$E,5,0)=0, "",VLOOKUP(A248,'Aux - pivots1'!$A:$E,5,0))</f>
        <v/>
      </c>
      <c r="M248" s="209"/>
      <c r="N248" s="209"/>
    </row>
    <row r="249" spans="1:14" ht="16.2" hidden="1" customHeight="1" x14ac:dyDescent="0.4">
      <c r="A249" s="30" t="str">
        <f t="shared" si="6"/>
        <v>modesg_inp_empr_excl_parisflg_scib</v>
      </c>
      <c r="B249" s="142" t="s">
        <v>26</v>
      </c>
      <c r="C249" s="138" t="s">
        <v>181</v>
      </c>
      <c r="D249" s="134" t="s">
        <v>40</v>
      </c>
      <c r="E249" s="135" t="s">
        <v>215</v>
      </c>
      <c r="F249" s="134" t="s">
        <v>243</v>
      </c>
      <c r="G249" s="136" t="str">
        <f>VLOOKUP(A249,Plano_V3!$A$26:$G$592,7,0)</f>
        <v>1. Concluído</v>
      </c>
      <c r="H249" s="136" t="s">
        <v>614</v>
      </c>
      <c r="I249" s="154"/>
      <c r="J249" s="153" t="str">
        <f>IF(VLOOKUP(A249,'Aux - pivots1'!$A:$E,3,0)=0, "",VLOOKUP(A249,'Aux - pivots1'!$A:$E,3,0))</f>
        <v/>
      </c>
      <c r="K249" s="153">
        <f>IF(VLOOKUP(A249,'Aux - pivots1'!$A:$E,4,0)=0, "",VLOOKUP(A249,'Aux - pivots1'!$A:$E,4,0))</f>
        <v>45603</v>
      </c>
      <c r="L249" s="153" t="str">
        <f>IF(VLOOKUP(A249,'Aux - pivots1'!$A:$E,5,0)=0, "",VLOOKUP(A249,'Aux - pivots1'!$A:$E,5,0))</f>
        <v/>
      </c>
      <c r="M249" s="209"/>
      <c r="N249" s="209"/>
    </row>
    <row r="250" spans="1:14" ht="16.2" hidden="1" customHeight="1" x14ac:dyDescent="0.4">
      <c r="A250" s="30" t="str">
        <f t="shared" si="6"/>
        <v>modesg_inp_empr_excl_parisnome_pais</v>
      </c>
      <c r="B250" s="142" t="s">
        <v>26</v>
      </c>
      <c r="C250" s="138" t="s">
        <v>181</v>
      </c>
      <c r="D250" s="134" t="s">
        <v>40</v>
      </c>
      <c r="E250" s="135" t="s">
        <v>215</v>
      </c>
      <c r="F250" s="134" t="s">
        <v>222</v>
      </c>
      <c r="G250" s="136" t="str">
        <f>VLOOKUP(A250,Plano_V3!$A$26:$G$592,7,0)</f>
        <v>1. Concluído</v>
      </c>
      <c r="H250" s="136" t="s">
        <v>614</v>
      </c>
      <c r="I250" s="154"/>
      <c r="J250" s="153" t="str">
        <f>IF(VLOOKUP(A250,'Aux - pivots1'!$A:$E,3,0)=0, "",VLOOKUP(A250,'Aux - pivots1'!$A:$E,3,0))</f>
        <v/>
      </c>
      <c r="K250" s="153">
        <f>IF(VLOOKUP(A250,'Aux - pivots1'!$A:$E,4,0)=0, "",VLOOKUP(A250,'Aux - pivots1'!$A:$E,4,0))</f>
        <v>45603</v>
      </c>
      <c r="L250" s="153" t="str">
        <f>IF(VLOOKUP(A250,'Aux - pivots1'!$A:$E,5,0)=0, "",VLOOKUP(A250,'Aux - pivots1'!$A:$E,5,0))</f>
        <v/>
      </c>
      <c r="M250" s="209"/>
      <c r="N250" s="209"/>
    </row>
    <row r="251" spans="1:14" ht="16.2" hidden="1" customHeight="1" x14ac:dyDescent="0.4">
      <c r="A251" s="30" t="str">
        <f t="shared" si="6"/>
        <v>modesg_inp_nfrd_alinhamento_taxref_date</v>
      </c>
      <c r="B251" s="142" t="s">
        <v>26</v>
      </c>
      <c r="C251" s="138" t="s">
        <v>181</v>
      </c>
      <c r="D251" s="134" t="s">
        <v>40</v>
      </c>
      <c r="E251" s="135" t="s">
        <v>216</v>
      </c>
      <c r="F251" s="134" t="s">
        <v>208</v>
      </c>
      <c r="G251" s="136" t="str">
        <f>VLOOKUP(A251,Plano_V3!$A$26:$G$592,7,0)</f>
        <v>1. Concluído</v>
      </c>
      <c r="H251" s="136" t="s">
        <v>614</v>
      </c>
      <c r="I251" s="143"/>
      <c r="J251" s="153" t="str">
        <f>IF(VLOOKUP(A251,'Aux - pivots1'!$A:$E,3,0)=0, "",VLOOKUP(A251,'Aux - pivots1'!$A:$E,3,0))</f>
        <v/>
      </c>
      <c r="K251" s="153">
        <f>IF(VLOOKUP(A251,'Aux - pivots1'!$A:$E,4,0)=0, "",VLOOKUP(A251,'Aux - pivots1'!$A:$E,4,0))</f>
        <v>45603</v>
      </c>
      <c r="L251" s="153">
        <f>IF(VLOOKUP(A251,'Aux - pivots1'!$A:$E,5,0)=0, "",VLOOKUP(A251,'Aux - pivots1'!$A:$E,5,0))</f>
        <v>45534</v>
      </c>
      <c r="M251" s="209"/>
      <c r="N251" s="209"/>
    </row>
    <row r="252" spans="1:14" ht="16.2" hidden="1" customHeight="1" x14ac:dyDescent="0.4">
      <c r="A252" s="30" t="str">
        <f t="shared" si="6"/>
        <v>modesg_inp_nfrd_alinhamento_taxccli_kgl</v>
      </c>
      <c r="B252" s="142" t="s">
        <v>26</v>
      </c>
      <c r="C252" s="138" t="s">
        <v>181</v>
      </c>
      <c r="D252" s="134" t="s">
        <v>40</v>
      </c>
      <c r="E252" s="135" t="s">
        <v>216</v>
      </c>
      <c r="F252" s="134" t="s">
        <v>241</v>
      </c>
      <c r="G252" s="136" t="str">
        <f>VLOOKUP(A252,Plano_V3!$A$26:$G$592,7,0)</f>
        <v>1. Concluído</v>
      </c>
      <c r="H252" s="136" t="s">
        <v>614</v>
      </c>
      <c r="I252" s="143"/>
      <c r="J252" s="153" t="str">
        <f>IF(VLOOKUP(A252,'Aux - pivots1'!$A:$E,3,0)=0, "",VLOOKUP(A252,'Aux - pivots1'!$A:$E,3,0))</f>
        <v/>
      </c>
      <c r="K252" s="153">
        <f>IF(VLOOKUP(A252,'Aux - pivots1'!$A:$E,4,0)=0, "",VLOOKUP(A252,'Aux - pivots1'!$A:$E,4,0))</f>
        <v>45603</v>
      </c>
      <c r="L252" s="153">
        <f>IF(VLOOKUP(A252,'Aux - pivots1'!$A:$E,5,0)=0, "",VLOOKUP(A252,'Aux - pivots1'!$A:$E,5,0))</f>
        <v>45534</v>
      </c>
      <c r="M252" s="209"/>
      <c r="N252" s="209"/>
    </row>
    <row r="253" spans="1:14" ht="16.2" hidden="1" customHeight="1" x14ac:dyDescent="0.4">
      <c r="A253" s="30" t="str">
        <f t="shared" si="6"/>
        <v>modesg_inp_nfrd_alinhamento_taxclei</v>
      </c>
      <c r="B253" s="142" t="s">
        <v>26</v>
      </c>
      <c r="C253" s="138" t="s">
        <v>181</v>
      </c>
      <c r="D253" s="134" t="s">
        <v>40</v>
      </c>
      <c r="E253" s="135" t="s">
        <v>216</v>
      </c>
      <c r="F253" s="134" t="s">
        <v>240</v>
      </c>
      <c r="G253" s="136" t="str">
        <f>VLOOKUP(A253,Plano_V3!$A$26:$G$592,7,0)</f>
        <v>1. Concluído</v>
      </c>
      <c r="H253" s="136" t="s">
        <v>614</v>
      </c>
      <c r="I253" s="143"/>
      <c r="J253" s="153" t="str">
        <f>IF(VLOOKUP(A253,'Aux - pivots1'!$A:$E,3,0)=0, "",VLOOKUP(A253,'Aux - pivots1'!$A:$E,3,0))</f>
        <v/>
      </c>
      <c r="K253" s="153">
        <f>IF(VLOOKUP(A253,'Aux - pivots1'!$A:$E,4,0)=0, "",VLOOKUP(A253,'Aux - pivots1'!$A:$E,4,0))</f>
        <v>45603</v>
      </c>
      <c r="L253" s="153">
        <f>IF(VLOOKUP(A253,'Aux - pivots1'!$A:$E,5,0)=0, "",VLOOKUP(A253,'Aux - pivots1'!$A:$E,5,0))</f>
        <v>45534</v>
      </c>
      <c r="M253" s="209"/>
      <c r="N253" s="209"/>
    </row>
    <row r="254" spans="1:14" ht="16.2" hidden="1" customHeight="1" x14ac:dyDescent="0.4">
      <c r="A254" s="30" t="str">
        <f t="shared" si="6"/>
        <v>modesg_inp_nfrd_alinhamento_taxperm_id</v>
      </c>
      <c r="B254" s="142" t="s">
        <v>26</v>
      </c>
      <c r="C254" s="138" t="s">
        <v>181</v>
      </c>
      <c r="D254" s="134" t="s">
        <v>40</v>
      </c>
      <c r="E254" s="135" t="s">
        <v>216</v>
      </c>
      <c r="F254" s="134" t="s">
        <v>244</v>
      </c>
      <c r="G254" s="136" t="str">
        <f>VLOOKUP(A254,Plano_V3!$A$26:$G$592,7,0)</f>
        <v>1. Concluído</v>
      </c>
      <c r="H254" s="136" t="s">
        <v>614</v>
      </c>
      <c r="I254" s="143"/>
      <c r="J254" s="153" t="str">
        <f>IF(VLOOKUP(A254,'Aux - pivots1'!$A:$E,3,0)=0, "",VLOOKUP(A254,'Aux - pivots1'!$A:$E,3,0))</f>
        <v/>
      </c>
      <c r="K254" s="153">
        <f>IF(VLOOKUP(A254,'Aux - pivots1'!$A:$E,4,0)=0, "",VLOOKUP(A254,'Aux - pivots1'!$A:$E,4,0))</f>
        <v>45603</v>
      </c>
      <c r="L254" s="153">
        <f>IF(VLOOKUP(A254,'Aux - pivots1'!$A:$E,5,0)=0, "",VLOOKUP(A254,'Aux - pivots1'!$A:$E,5,0))</f>
        <v>45534</v>
      </c>
      <c r="M254" s="209"/>
      <c r="N254" s="209"/>
    </row>
    <row r="255" spans="1:14" ht="16.2" hidden="1" customHeight="1" x14ac:dyDescent="0.4">
      <c r="A255" s="30" t="str">
        <f t="shared" si="6"/>
        <v>modesg_inp_nfrd_alinhamento_taxnome_entidade</v>
      </c>
      <c r="B255" s="142" t="s">
        <v>26</v>
      </c>
      <c r="C255" s="138" t="s">
        <v>181</v>
      </c>
      <c r="D255" s="134" t="s">
        <v>40</v>
      </c>
      <c r="E255" s="135" t="s">
        <v>216</v>
      </c>
      <c r="F255" s="134" t="s">
        <v>242</v>
      </c>
      <c r="G255" s="136" t="str">
        <f>VLOOKUP(A255,Plano_V3!$A$26:$G$592,7,0)</f>
        <v>1. Concluído</v>
      </c>
      <c r="H255" s="136" t="s">
        <v>614</v>
      </c>
      <c r="I255" s="143"/>
      <c r="J255" s="153" t="str">
        <f>IF(VLOOKUP(A255,'Aux - pivots1'!$A:$E,3,0)=0, "",VLOOKUP(A255,'Aux - pivots1'!$A:$E,3,0))</f>
        <v/>
      </c>
      <c r="K255" s="153">
        <f>IF(VLOOKUP(A255,'Aux - pivots1'!$A:$E,4,0)=0, "",VLOOKUP(A255,'Aux - pivots1'!$A:$E,4,0))</f>
        <v>45603</v>
      </c>
      <c r="L255" s="153">
        <f>IF(VLOOKUP(A255,'Aux - pivots1'!$A:$E,5,0)=0, "",VLOOKUP(A255,'Aux - pivots1'!$A:$E,5,0))</f>
        <v>45534</v>
      </c>
      <c r="M255" s="209"/>
      <c r="N255" s="209"/>
    </row>
    <row r="256" spans="1:14" ht="16.2" hidden="1" customHeight="1" x14ac:dyDescent="0.4">
      <c r="A256" s="30" t="str">
        <f t="shared" si="6"/>
        <v>modesg_inp_nfrd_alinhamento_taxnome_pais</v>
      </c>
      <c r="B256" s="142" t="s">
        <v>26</v>
      </c>
      <c r="C256" s="138" t="s">
        <v>181</v>
      </c>
      <c r="D256" s="134" t="s">
        <v>40</v>
      </c>
      <c r="E256" s="135" t="s">
        <v>216</v>
      </c>
      <c r="F256" s="134" t="s">
        <v>222</v>
      </c>
      <c r="G256" s="136" t="str">
        <f>VLOOKUP(A256,Plano_V3!$A$26:$G$592,7,0)</f>
        <v>1. Concluído</v>
      </c>
      <c r="H256" s="136" t="s">
        <v>614</v>
      </c>
      <c r="I256" s="144" t="s">
        <v>658</v>
      </c>
      <c r="J256" s="153" t="str">
        <f>IF(VLOOKUP(A256,'Aux - pivots1'!$A:$E,3,0)=0, "",VLOOKUP(A256,'Aux - pivots1'!$A:$E,3,0))</f>
        <v/>
      </c>
      <c r="K256" s="153">
        <f>IF(VLOOKUP(A256,'Aux - pivots1'!$A:$E,4,0)=0, "",VLOOKUP(A256,'Aux - pivots1'!$A:$E,4,0))</f>
        <v>45603</v>
      </c>
      <c r="L256" s="153">
        <f>IF(VLOOKUP(A256,'Aux - pivots1'!$A:$E,5,0)=0, "",VLOOKUP(A256,'Aux - pivots1'!$A:$E,5,0))</f>
        <v>45534</v>
      </c>
      <c r="M256" s="209"/>
      <c r="N256" s="209"/>
    </row>
    <row r="257" spans="1:14" ht="16.2" hidden="1" customHeight="1" x14ac:dyDescent="0.4">
      <c r="A257" s="30" t="str">
        <f t="shared" si="6"/>
        <v>modesg_inp_nfrd_alinhamento_taxflg_nfrd</v>
      </c>
      <c r="B257" s="142" t="s">
        <v>26</v>
      </c>
      <c r="C257" s="138" t="s">
        <v>181</v>
      </c>
      <c r="D257" s="134" t="s">
        <v>40</v>
      </c>
      <c r="E257" s="135" t="s">
        <v>216</v>
      </c>
      <c r="F257" s="134" t="s">
        <v>245</v>
      </c>
      <c r="G257" s="136" t="str">
        <f>VLOOKUP(A257,Plano_V3!$A$26:$G$592,7,0)</f>
        <v>1. Concluído</v>
      </c>
      <c r="H257" s="136" t="s">
        <v>614</v>
      </c>
      <c r="I257" s="143"/>
      <c r="J257" s="153" t="str">
        <f>IF(VLOOKUP(A257,'Aux - pivots1'!$A:$E,3,0)=0, "",VLOOKUP(A257,'Aux - pivots1'!$A:$E,3,0))</f>
        <v/>
      </c>
      <c r="K257" s="153">
        <f>IF(VLOOKUP(A257,'Aux - pivots1'!$A:$E,4,0)=0, "",VLOOKUP(A257,'Aux - pivots1'!$A:$E,4,0))</f>
        <v>45603</v>
      </c>
      <c r="L257" s="153">
        <f>IF(VLOOKUP(A257,'Aux - pivots1'!$A:$E,5,0)=0, "",VLOOKUP(A257,'Aux - pivots1'!$A:$E,5,0))</f>
        <v>45534</v>
      </c>
      <c r="M257" s="209"/>
      <c r="N257" s="209"/>
    </row>
    <row r="258" spans="1:14" ht="16.2" hidden="1" customHeight="1" x14ac:dyDescent="0.4">
      <c r="A258" s="30" t="str">
        <f t="shared" si="6"/>
        <v>modesg_inp_nfrd_alinhamento_taxcca_trnvr_ttl_elgbl</v>
      </c>
      <c r="B258" s="142" t="s">
        <v>26</v>
      </c>
      <c r="C258" s="138" t="s">
        <v>181</v>
      </c>
      <c r="D258" s="134" t="s">
        <v>40</v>
      </c>
      <c r="E258" s="135" t="s">
        <v>216</v>
      </c>
      <c r="F258" s="134" t="s">
        <v>246</v>
      </c>
      <c r="G258" s="136" t="str">
        <f>VLOOKUP(A258,Plano_V3!$A$26:$G$592,7,0)</f>
        <v>1. Concluído</v>
      </c>
      <c r="H258" s="136" t="s">
        <v>614</v>
      </c>
      <c r="I258" s="143"/>
      <c r="J258" s="153" t="str">
        <f>IF(VLOOKUP(A258,'Aux - pivots1'!$A:$E,3,0)=0, "",VLOOKUP(A258,'Aux - pivots1'!$A:$E,3,0))</f>
        <v/>
      </c>
      <c r="K258" s="153">
        <f>IF(VLOOKUP(A258,'Aux - pivots1'!$A:$E,4,0)=0, "",VLOOKUP(A258,'Aux - pivots1'!$A:$E,4,0))</f>
        <v>45603</v>
      </c>
      <c r="L258" s="153">
        <f>IF(VLOOKUP(A258,'Aux - pivots1'!$A:$E,5,0)=0, "",VLOOKUP(A258,'Aux - pivots1'!$A:$E,5,0))</f>
        <v>45534</v>
      </c>
      <c r="M258" s="209"/>
      <c r="N258" s="209"/>
    </row>
    <row r="259" spans="1:14" ht="16.2" hidden="1" customHeight="1" x14ac:dyDescent="0.4">
      <c r="A259" s="30" t="str">
        <f t="shared" si="6"/>
        <v>modesg_inp_nfrd_alinhamento_taxcca_trnvr_enblng_alignd</v>
      </c>
      <c r="B259" s="142" t="s">
        <v>26</v>
      </c>
      <c r="C259" s="138" t="s">
        <v>181</v>
      </c>
      <c r="D259" s="134" t="s">
        <v>40</v>
      </c>
      <c r="E259" s="135" t="s">
        <v>216</v>
      </c>
      <c r="F259" s="134" t="s">
        <v>247</v>
      </c>
      <c r="G259" s="136" t="str">
        <f>VLOOKUP(A259,Plano_V3!$A$26:$G$592,7,0)</f>
        <v>1. Concluído</v>
      </c>
      <c r="H259" s="136" t="s">
        <v>614</v>
      </c>
      <c r="I259" s="143"/>
      <c r="J259" s="153" t="str">
        <f>IF(VLOOKUP(A259,'Aux - pivots1'!$A:$E,3,0)=0, "",VLOOKUP(A259,'Aux - pivots1'!$A:$E,3,0))</f>
        <v/>
      </c>
      <c r="K259" s="153">
        <f>IF(VLOOKUP(A259,'Aux - pivots1'!$A:$E,4,0)=0, "",VLOOKUP(A259,'Aux - pivots1'!$A:$E,4,0))</f>
        <v>45603</v>
      </c>
      <c r="L259" s="153">
        <f>IF(VLOOKUP(A259,'Aux - pivots1'!$A:$E,5,0)=0, "",VLOOKUP(A259,'Aux - pivots1'!$A:$E,5,0))</f>
        <v>45534</v>
      </c>
      <c r="M259" s="209"/>
      <c r="N259" s="209"/>
    </row>
    <row r="260" spans="1:14" ht="16.2" hidden="1" customHeight="1" x14ac:dyDescent="0.4">
      <c r="A260" s="30" t="str">
        <f t="shared" si="6"/>
        <v>modesg_inp_nfrd_alinhamento_taxcca_turnover_own_prfrmnce_algnd</v>
      </c>
      <c r="B260" s="142" t="s">
        <v>26</v>
      </c>
      <c r="C260" s="138" t="s">
        <v>181</v>
      </c>
      <c r="D260" s="134" t="s">
        <v>40</v>
      </c>
      <c r="E260" s="135" t="s">
        <v>216</v>
      </c>
      <c r="F260" s="134" t="s">
        <v>248</v>
      </c>
      <c r="G260" s="136" t="str">
        <f>VLOOKUP(A260,Plano_V3!$A$26:$G$592,7,0)</f>
        <v>1. Concluído</v>
      </c>
      <c r="H260" s="136" t="s">
        <v>614</v>
      </c>
      <c r="I260" s="143"/>
      <c r="J260" s="153" t="str">
        <f>IF(VLOOKUP(A260,'Aux - pivots1'!$A:$E,3,0)=0, "",VLOOKUP(A260,'Aux - pivots1'!$A:$E,3,0))</f>
        <v/>
      </c>
      <c r="K260" s="153">
        <f>IF(VLOOKUP(A260,'Aux - pivots1'!$A:$E,4,0)=0, "",VLOOKUP(A260,'Aux - pivots1'!$A:$E,4,0))</f>
        <v>45603</v>
      </c>
      <c r="L260" s="153">
        <f>IF(VLOOKUP(A260,'Aux - pivots1'!$A:$E,5,0)=0, "",VLOOKUP(A260,'Aux - pivots1'!$A:$E,5,0))</f>
        <v>45534</v>
      </c>
      <c r="M260" s="209"/>
      <c r="N260" s="209"/>
    </row>
    <row r="261" spans="1:14" ht="16.2" hidden="1" customHeight="1" x14ac:dyDescent="0.4">
      <c r="A261" s="30" t="str">
        <f t="shared" si="6"/>
        <v>modesg_inp_nfrd_alinhamento_taxcca_capex_ttl_elgbl</v>
      </c>
      <c r="B261" s="142" t="s">
        <v>26</v>
      </c>
      <c r="C261" s="138" t="s">
        <v>181</v>
      </c>
      <c r="D261" s="134" t="s">
        <v>40</v>
      </c>
      <c r="E261" s="135" t="s">
        <v>216</v>
      </c>
      <c r="F261" s="134" t="s">
        <v>249</v>
      </c>
      <c r="G261" s="136" t="str">
        <f>VLOOKUP(A261,Plano_V3!$A$26:$G$592,7,0)</f>
        <v>1. Concluído</v>
      </c>
      <c r="H261" s="136" t="s">
        <v>614</v>
      </c>
      <c r="I261" s="143"/>
      <c r="J261" s="153" t="str">
        <f>IF(VLOOKUP(A261,'Aux - pivots1'!$A:$E,3,0)=0, "",VLOOKUP(A261,'Aux - pivots1'!$A:$E,3,0))</f>
        <v/>
      </c>
      <c r="K261" s="153">
        <f>IF(VLOOKUP(A261,'Aux - pivots1'!$A:$E,4,0)=0, "",VLOOKUP(A261,'Aux - pivots1'!$A:$E,4,0))</f>
        <v>45603</v>
      </c>
      <c r="L261" s="153">
        <f>IF(VLOOKUP(A261,'Aux - pivots1'!$A:$E,5,0)=0, "",VLOOKUP(A261,'Aux - pivots1'!$A:$E,5,0))</f>
        <v>45534</v>
      </c>
      <c r="M261" s="209"/>
      <c r="N261" s="209"/>
    </row>
    <row r="262" spans="1:14" ht="16.2" hidden="1" customHeight="1" x14ac:dyDescent="0.4">
      <c r="A262" s="30" t="str">
        <f t="shared" si="6"/>
        <v>modesg_inp_nfrd_alinhamento_taxcca_capex_enblng_algnd</v>
      </c>
      <c r="B262" s="142" t="s">
        <v>26</v>
      </c>
      <c r="C262" s="138" t="s">
        <v>181</v>
      </c>
      <c r="D262" s="134" t="s">
        <v>40</v>
      </c>
      <c r="E262" s="135" t="s">
        <v>216</v>
      </c>
      <c r="F262" s="134" t="s">
        <v>250</v>
      </c>
      <c r="G262" s="136" t="str">
        <f>VLOOKUP(A262,Plano_V3!$A$26:$G$592,7,0)</f>
        <v>1. Concluído</v>
      </c>
      <c r="H262" s="136" t="s">
        <v>614</v>
      </c>
      <c r="I262" s="143"/>
      <c r="J262" s="153" t="str">
        <f>IF(VLOOKUP(A262,'Aux - pivots1'!$A:$E,3,0)=0, "",VLOOKUP(A262,'Aux - pivots1'!$A:$E,3,0))</f>
        <v/>
      </c>
      <c r="K262" s="153">
        <f>IF(VLOOKUP(A262,'Aux - pivots1'!$A:$E,4,0)=0, "",VLOOKUP(A262,'Aux - pivots1'!$A:$E,4,0))</f>
        <v>45603</v>
      </c>
      <c r="L262" s="153">
        <f>IF(VLOOKUP(A262,'Aux - pivots1'!$A:$E,5,0)=0, "",VLOOKUP(A262,'Aux - pivots1'!$A:$E,5,0))</f>
        <v>45534</v>
      </c>
      <c r="M262" s="209"/>
      <c r="N262" s="209"/>
    </row>
    <row r="263" spans="1:14" ht="16.2" hidden="1" customHeight="1" x14ac:dyDescent="0.4">
      <c r="A263" s="30" t="str">
        <f t="shared" si="6"/>
        <v>modesg_inp_nfrd_alinhamento_taxcca_capex_own_prfrmnce_algnd</v>
      </c>
      <c r="B263" s="142" t="s">
        <v>26</v>
      </c>
      <c r="C263" s="138" t="s">
        <v>181</v>
      </c>
      <c r="D263" s="134" t="s">
        <v>40</v>
      </c>
      <c r="E263" s="135" t="s">
        <v>216</v>
      </c>
      <c r="F263" s="134" t="s">
        <v>251</v>
      </c>
      <c r="G263" s="136" t="str">
        <f>VLOOKUP(A263,Plano_V3!$A$26:$G$592,7,0)</f>
        <v>1. Concluído</v>
      </c>
      <c r="H263" s="136" t="s">
        <v>614</v>
      </c>
      <c r="I263" s="143"/>
      <c r="J263" s="153" t="str">
        <f>IF(VLOOKUP(A263,'Aux - pivots1'!$A:$E,3,0)=0, "",VLOOKUP(A263,'Aux - pivots1'!$A:$E,3,0))</f>
        <v/>
      </c>
      <c r="K263" s="153">
        <f>IF(VLOOKUP(A263,'Aux - pivots1'!$A:$E,4,0)=0, "",VLOOKUP(A263,'Aux - pivots1'!$A:$E,4,0))</f>
        <v>45603</v>
      </c>
      <c r="L263" s="153">
        <f>IF(VLOOKUP(A263,'Aux - pivots1'!$A:$E,5,0)=0, "",VLOOKUP(A263,'Aux - pivots1'!$A:$E,5,0))</f>
        <v>45534</v>
      </c>
      <c r="M263" s="209"/>
      <c r="N263" s="209"/>
    </row>
    <row r="264" spans="1:14" ht="16.2" hidden="1" customHeight="1" x14ac:dyDescent="0.4">
      <c r="A264" s="30" t="str">
        <f t="shared" si="6"/>
        <v>modesg_inp_nfrd_alinhamento_taxccm_trnvr_ttl_elgbl</v>
      </c>
      <c r="B264" s="142" t="s">
        <v>26</v>
      </c>
      <c r="C264" s="138" t="s">
        <v>181</v>
      </c>
      <c r="D264" s="134" t="s">
        <v>40</v>
      </c>
      <c r="E264" s="135" t="s">
        <v>216</v>
      </c>
      <c r="F264" s="134" t="s">
        <v>252</v>
      </c>
      <c r="G264" s="136" t="str">
        <f>VLOOKUP(A264,Plano_V3!$A$26:$G$592,7,0)</f>
        <v>1. Concluído</v>
      </c>
      <c r="H264" s="136" t="s">
        <v>614</v>
      </c>
      <c r="I264" s="143"/>
      <c r="J264" s="153" t="str">
        <f>IF(VLOOKUP(A264,'Aux - pivots1'!$A:$E,3,0)=0, "",VLOOKUP(A264,'Aux - pivots1'!$A:$E,3,0))</f>
        <v/>
      </c>
      <c r="K264" s="153">
        <f>IF(VLOOKUP(A264,'Aux - pivots1'!$A:$E,4,0)=0, "",VLOOKUP(A264,'Aux - pivots1'!$A:$E,4,0))</f>
        <v>45603</v>
      </c>
      <c r="L264" s="153">
        <f>IF(VLOOKUP(A264,'Aux - pivots1'!$A:$E,5,0)=0, "",VLOOKUP(A264,'Aux - pivots1'!$A:$E,5,0))</f>
        <v>45534</v>
      </c>
      <c r="M264" s="209"/>
      <c r="N264" s="209"/>
    </row>
    <row r="265" spans="1:14" ht="16.2" hidden="1" customHeight="1" x14ac:dyDescent="0.4">
      <c r="A265" s="30" t="str">
        <f t="shared" si="6"/>
        <v>modesg_inp_nfrd_alinhamento_taxccm_trnvr_enblng_algnd</v>
      </c>
      <c r="B265" s="142" t="s">
        <v>26</v>
      </c>
      <c r="C265" s="138" t="s">
        <v>181</v>
      </c>
      <c r="D265" s="134" t="s">
        <v>40</v>
      </c>
      <c r="E265" s="135" t="s">
        <v>216</v>
      </c>
      <c r="F265" s="134" t="s">
        <v>253</v>
      </c>
      <c r="G265" s="136" t="str">
        <f>VLOOKUP(A265,Plano_V3!$A$26:$G$592,7,0)</f>
        <v>1. Concluído</v>
      </c>
      <c r="H265" s="136" t="s">
        <v>614</v>
      </c>
      <c r="I265" s="143"/>
      <c r="J265" s="153" t="str">
        <f>IF(VLOOKUP(A265,'Aux - pivots1'!$A:$E,3,0)=0, "",VLOOKUP(A265,'Aux - pivots1'!$A:$E,3,0))</f>
        <v/>
      </c>
      <c r="K265" s="153">
        <f>IF(VLOOKUP(A265,'Aux - pivots1'!$A:$E,4,0)=0, "",VLOOKUP(A265,'Aux - pivots1'!$A:$E,4,0))</f>
        <v>45603</v>
      </c>
      <c r="L265" s="153">
        <f>IF(VLOOKUP(A265,'Aux - pivots1'!$A:$E,5,0)=0, "",VLOOKUP(A265,'Aux - pivots1'!$A:$E,5,0))</f>
        <v>45534</v>
      </c>
      <c r="M265" s="209"/>
      <c r="N265" s="209"/>
    </row>
    <row r="266" spans="1:14" ht="16.2" hidden="1" customHeight="1" x14ac:dyDescent="0.4">
      <c r="A266" s="30" t="str">
        <f t="shared" si="6"/>
        <v>modesg_inp_nfrd_alinhamento_taxccm_trnvr_trnstn_alignd</v>
      </c>
      <c r="B266" s="142" t="s">
        <v>26</v>
      </c>
      <c r="C266" s="138" t="s">
        <v>181</v>
      </c>
      <c r="D266" s="134" t="s">
        <v>40</v>
      </c>
      <c r="E266" s="135" t="s">
        <v>216</v>
      </c>
      <c r="F266" s="134" t="s">
        <v>254</v>
      </c>
      <c r="G266" s="136" t="str">
        <f>VLOOKUP(A266,Plano_V3!$A$26:$G$592,7,0)</f>
        <v>1. Concluído</v>
      </c>
      <c r="H266" s="136" t="s">
        <v>614</v>
      </c>
      <c r="I266" s="143"/>
      <c r="J266" s="153" t="str">
        <f>IF(VLOOKUP(A266,'Aux - pivots1'!$A:$E,3,0)=0, "",VLOOKUP(A266,'Aux - pivots1'!$A:$E,3,0))</f>
        <v/>
      </c>
      <c r="K266" s="153">
        <f>IF(VLOOKUP(A266,'Aux - pivots1'!$A:$E,4,0)=0, "",VLOOKUP(A266,'Aux - pivots1'!$A:$E,4,0))</f>
        <v>45603</v>
      </c>
      <c r="L266" s="153">
        <f>IF(VLOOKUP(A266,'Aux - pivots1'!$A:$E,5,0)=0, "",VLOOKUP(A266,'Aux - pivots1'!$A:$E,5,0))</f>
        <v>45534</v>
      </c>
      <c r="M266" s="209"/>
      <c r="N266" s="209"/>
    </row>
    <row r="267" spans="1:14" ht="16.2" hidden="1" customHeight="1" x14ac:dyDescent="0.4">
      <c r="A267" s="30" t="str">
        <f t="shared" si="6"/>
        <v>modesg_inp_nfrd_alinhamento_taxccm_trnvr_own_prfrmnce_algnd</v>
      </c>
      <c r="B267" s="142" t="s">
        <v>26</v>
      </c>
      <c r="C267" s="138" t="s">
        <v>181</v>
      </c>
      <c r="D267" s="134" t="s">
        <v>40</v>
      </c>
      <c r="E267" s="135" t="s">
        <v>216</v>
      </c>
      <c r="F267" s="134" t="s">
        <v>255</v>
      </c>
      <c r="G267" s="136" t="str">
        <f>VLOOKUP(A267,Plano_V3!$A$26:$G$592,7,0)</f>
        <v>1. Concluído</v>
      </c>
      <c r="H267" s="136" t="s">
        <v>614</v>
      </c>
      <c r="I267" s="143"/>
      <c r="J267" s="153" t="str">
        <f>IF(VLOOKUP(A267,'Aux - pivots1'!$A:$E,3,0)=0, "",VLOOKUP(A267,'Aux - pivots1'!$A:$E,3,0))</f>
        <v/>
      </c>
      <c r="K267" s="153">
        <f>IF(VLOOKUP(A267,'Aux - pivots1'!$A:$E,4,0)=0, "",VLOOKUP(A267,'Aux - pivots1'!$A:$E,4,0))</f>
        <v>45603</v>
      </c>
      <c r="L267" s="153">
        <f>IF(VLOOKUP(A267,'Aux - pivots1'!$A:$E,5,0)=0, "",VLOOKUP(A267,'Aux - pivots1'!$A:$E,5,0))</f>
        <v>45534</v>
      </c>
      <c r="M267" s="209"/>
      <c r="N267" s="209"/>
    </row>
    <row r="268" spans="1:14" ht="16.2" hidden="1" customHeight="1" x14ac:dyDescent="0.4">
      <c r="A268" s="30" t="str">
        <f t="shared" si="6"/>
        <v>modesg_inp_nfrd_alinhamento_taxccm_capex_ttl_elgbl</v>
      </c>
      <c r="B268" s="142" t="s">
        <v>26</v>
      </c>
      <c r="C268" s="138" t="s">
        <v>181</v>
      </c>
      <c r="D268" s="134" t="s">
        <v>40</v>
      </c>
      <c r="E268" s="135" t="s">
        <v>216</v>
      </c>
      <c r="F268" s="134" t="s">
        <v>256</v>
      </c>
      <c r="G268" s="136" t="str">
        <f>VLOOKUP(A268,Plano_V3!$A$26:$G$592,7,0)</f>
        <v>1. Concluído</v>
      </c>
      <c r="H268" s="136" t="s">
        <v>614</v>
      </c>
      <c r="I268" s="143"/>
      <c r="J268" s="153" t="str">
        <f>IF(VLOOKUP(A268,'Aux - pivots1'!$A:$E,3,0)=0, "",VLOOKUP(A268,'Aux - pivots1'!$A:$E,3,0))</f>
        <v/>
      </c>
      <c r="K268" s="153">
        <f>IF(VLOOKUP(A268,'Aux - pivots1'!$A:$E,4,0)=0, "",VLOOKUP(A268,'Aux - pivots1'!$A:$E,4,0))</f>
        <v>45603</v>
      </c>
      <c r="L268" s="153">
        <f>IF(VLOOKUP(A268,'Aux - pivots1'!$A:$E,5,0)=0, "",VLOOKUP(A268,'Aux - pivots1'!$A:$E,5,0))</f>
        <v>45534</v>
      </c>
      <c r="M268" s="209"/>
      <c r="N268" s="209"/>
    </row>
    <row r="269" spans="1:14" ht="16.2" hidden="1" customHeight="1" x14ac:dyDescent="0.4">
      <c r="A269" s="30" t="str">
        <f t="shared" si="6"/>
        <v>modesg_inp_nfrd_alinhamento_taxccm_capex_enblng_algnd</v>
      </c>
      <c r="B269" s="142" t="s">
        <v>26</v>
      </c>
      <c r="C269" s="138" t="s">
        <v>181</v>
      </c>
      <c r="D269" s="134" t="s">
        <v>40</v>
      </c>
      <c r="E269" s="135" t="s">
        <v>216</v>
      </c>
      <c r="F269" s="134" t="s">
        <v>257</v>
      </c>
      <c r="G269" s="136" t="str">
        <f>VLOOKUP(A269,Plano_V3!$A$26:$G$592,7,0)</f>
        <v>1. Concluído</v>
      </c>
      <c r="H269" s="136" t="s">
        <v>614</v>
      </c>
      <c r="I269" s="143"/>
      <c r="J269" s="153" t="str">
        <f>IF(VLOOKUP(A269,'Aux - pivots1'!$A:$E,3,0)=0, "",VLOOKUP(A269,'Aux - pivots1'!$A:$E,3,0))</f>
        <v/>
      </c>
      <c r="K269" s="153">
        <f>IF(VLOOKUP(A269,'Aux - pivots1'!$A:$E,4,0)=0, "",VLOOKUP(A269,'Aux - pivots1'!$A:$E,4,0))</f>
        <v>45603</v>
      </c>
      <c r="L269" s="153">
        <f>IF(VLOOKUP(A269,'Aux - pivots1'!$A:$E,5,0)=0, "",VLOOKUP(A269,'Aux - pivots1'!$A:$E,5,0))</f>
        <v>45534</v>
      </c>
      <c r="M269" s="209"/>
      <c r="N269" s="209"/>
    </row>
    <row r="270" spans="1:14" ht="16.2" hidden="1" customHeight="1" x14ac:dyDescent="0.4">
      <c r="A270" s="30" t="str">
        <f t="shared" si="6"/>
        <v>modesg_inp_nfrd_alinhamento_taxccm_capex_trnstn_algnd</v>
      </c>
      <c r="B270" s="142" t="s">
        <v>26</v>
      </c>
      <c r="C270" s="138" t="s">
        <v>181</v>
      </c>
      <c r="D270" s="134" t="s">
        <v>40</v>
      </c>
      <c r="E270" s="135" t="s">
        <v>216</v>
      </c>
      <c r="F270" s="134" t="s">
        <v>258</v>
      </c>
      <c r="G270" s="136" t="str">
        <f>VLOOKUP(A270,Plano_V3!$A$26:$G$592,7,0)</f>
        <v>1. Concluído</v>
      </c>
      <c r="H270" s="136" t="s">
        <v>614</v>
      </c>
      <c r="I270" s="143"/>
      <c r="J270" s="153" t="str">
        <f>IF(VLOOKUP(A270,'Aux - pivots1'!$A:$E,3,0)=0, "",VLOOKUP(A270,'Aux - pivots1'!$A:$E,3,0))</f>
        <v/>
      </c>
      <c r="K270" s="153">
        <f>IF(VLOOKUP(A270,'Aux - pivots1'!$A:$E,4,0)=0, "",VLOOKUP(A270,'Aux - pivots1'!$A:$E,4,0))</f>
        <v>45603</v>
      </c>
      <c r="L270" s="153">
        <f>IF(VLOOKUP(A270,'Aux - pivots1'!$A:$E,5,0)=0, "",VLOOKUP(A270,'Aux - pivots1'!$A:$E,5,0))</f>
        <v>45534</v>
      </c>
      <c r="M270" s="209"/>
      <c r="N270" s="209"/>
    </row>
    <row r="271" spans="1:14" ht="16.2" hidden="1" customHeight="1" x14ac:dyDescent="0.4">
      <c r="A271" s="30" t="str">
        <f t="shared" si="6"/>
        <v>modesg_inp_nfrd_alinhamento_taxccm_capex_own_prfrmnce_algnd</v>
      </c>
      <c r="B271" s="142" t="s">
        <v>26</v>
      </c>
      <c r="C271" s="138" t="s">
        <v>181</v>
      </c>
      <c r="D271" s="134" t="s">
        <v>40</v>
      </c>
      <c r="E271" s="135" t="s">
        <v>216</v>
      </c>
      <c r="F271" s="134" t="s">
        <v>259</v>
      </c>
      <c r="G271" s="136" t="str">
        <f>VLOOKUP(A271,Plano_V3!$A$26:$G$592,7,0)</f>
        <v>1. Concluído</v>
      </c>
      <c r="H271" s="136" t="s">
        <v>614</v>
      </c>
      <c r="I271" s="143"/>
      <c r="J271" s="153" t="str">
        <f>IF(VLOOKUP(A271,'Aux - pivots1'!$A:$E,3,0)=0, "",VLOOKUP(A271,'Aux - pivots1'!$A:$E,3,0))</f>
        <v/>
      </c>
      <c r="K271" s="153">
        <f>IF(VLOOKUP(A271,'Aux - pivots1'!$A:$E,4,0)=0, "",VLOOKUP(A271,'Aux - pivots1'!$A:$E,4,0))</f>
        <v>45603</v>
      </c>
      <c r="L271" s="153">
        <f>IF(VLOOKUP(A271,'Aux - pivots1'!$A:$E,5,0)=0, "",VLOOKUP(A271,'Aux - pivots1'!$A:$E,5,0))</f>
        <v>45534</v>
      </c>
      <c r="M271" s="209"/>
      <c r="N271" s="209"/>
    </row>
    <row r="272" spans="1:14" ht="16.2" hidden="1" customHeight="1" x14ac:dyDescent="0.4">
      <c r="A272" s="30" t="str">
        <f t="shared" si="6"/>
        <v>modesg_inp_nfrd_alinhamento_taxppc_trnvr_ttl_elgbl</v>
      </c>
      <c r="B272" s="142" t="s">
        <v>26</v>
      </c>
      <c r="C272" s="138" t="s">
        <v>181</v>
      </c>
      <c r="D272" s="134" t="s">
        <v>40</v>
      </c>
      <c r="E272" s="135" t="s">
        <v>216</v>
      </c>
      <c r="F272" s="134" t="s">
        <v>260</v>
      </c>
      <c r="G272" s="136" t="str">
        <f>VLOOKUP(A272,Plano_V3!$A$26:$G$592,7,0)</f>
        <v>1. Concluído</v>
      </c>
      <c r="H272" s="136" t="s">
        <v>614</v>
      </c>
      <c r="I272" s="144" t="s">
        <v>658</v>
      </c>
      <c r="J272" s="153" t="str">
        <f>IF(VLOOKUP(A272,'Aux - pivots1'!$A:$E,3,0)=0, "",VLOOKUP(A272,'Aux - pivots1'!$A:$E,3,0))</f>
        <v/>
      </c>
      <c r="K272" s="153">
        <f>IF(VLOOKUP(A272,'Aux - pivots1'!$A:$E,4,0)=0, "",VLOOKUP(A272,'Aux - pivots1'!$A:$E,4,0))</f>
        <v>45603</v>
      </c>
      <c r="L272" s="153">
        <f>IF(VLOOKUP(A272,'Aux - pivots1'!$A:$E,5,0)=0, "",VLOOKUP(A272,'Aux - pivots1'!$A:$E,5,0))</f>
        <v>45534</v>
      </c>
      <c r="M272" s="209"/>
      <c r="N272" s="209"/>
    </row>
    <row r="273" spans="1:14" ht="16.2" hidden="1" customHeight="1" x14ac:dyDescent="0.4">
      <c r="A273" s="30" t="str">
        <f t="shared" si="6"/>
        <v>modesg_inp_nfrd_alinhamento_taxppc_turnover_own_prfrmnce_algnd</v>
      </c>
      <c r="B273" s="142" t="s">
        <v>26</v>
      </c>
      <c r="C273" s="138" t="s">
        <v>181</v>
      </c>
      <c r="D273" s="134" t="s">
        <v>40</v>
      </c>
      <c r="E273" s="135" t="s">
        <v>216</v>
      </c>
      <c r="F273" s="134" t="s">
        <v>261</v>
      </c>
      <c r="G273" s="136" t="str">
        <f>VLOOKUP(A273,Plano_V3!$A$26:$G$592,7,0)</f>
        <v>1. Concluído</v>
      </c>
      <c r="H273" s="136" t="s">
        <v>614</v>
      </c>
      <c r="I273" s="144" t="s">
        <v>658</v>
      </c>
      <c r="J273" s="153" t="str">
        <f>IF(VLOOKUP(A273,'Aux - pivots1'!$A:$E,3,0)=0, "",VLOOKUP(A273,'Aux - pivots1'!$A:$E,3,0))</f>
        <v/>
      </c>
      <c r="K273" s="153">
        <f>IF(VLOOKUP(A273,'Aux - pivots1'!$A:$E,4,0)=0, "",VLOOKUP(A273,'Aux - pivots1'!$A:$E,4,0))</f>
        <v>45603</v>
      </c>
      <c r="L273" s="153">
        <f>IF(VLOOKUP(A273,'Aux - pivots1'!$A:$E,5,0)=0, "",VLOOKUP(A273,'Aux - pivots1'!$A:$E,5,0))</f>
        <v>45534</v>
      </c>
      <c r="M273" s="209"/>
      <c r="N273" s="209"/>
    </row>
    <row r="274" spans="1:14" ht="16.2" hidden="1" customHeight="1" x14ac:dyDescent="0.4">
      <c r="A274" s="30" t="str">
        <f t="shared" si="6"/>
        <v>modesg_inp_nfrd_alinhamento_taxppc_capex_ttl_elgbl</v>
      </c>
      <c r="B274" s="142" t="s">
        <v>26</v>
      </c>
      <c r="C274" s="138" t="s">
        <v>181</v>
      </c>
      <c r="D274" s="134" t="s">
        <v>40</v>
      </c>
      <c r="E274" s="135" t="s">
        <v>216</v>
      </c>
      <c r="F274" s="134" t="s">
        <v>262</v>
      </c>
      <c r="G274" s="136" t="str">
        <f>VLOOKUP(A274,Plano_V3!$A$26:$G$592,7,0)</f>
        <v>1. Concluído</v>
      </c>
      <c r="H274" s="136" t="s">
        <v>614</v>
      </c>
      <c r="I274" s="144" t="s">
        <v>658</v>
      </c>
      <c r="J274" s="153" t="str">
        <f>IF(VLOOKUP(A274,'Aux - pivots1'!$A:$E,3,0)=0, "",VLOOKUP(A274,'Aux - pivots1'!$A:$E,3,0))</f>
        <v/>
      </c>
      <c r="K274" s="153">
        <f>IF(VLOOKUP(A274,'Aux - pivots1'!$A:$E,4,0)=0, "",VLOOKUP(A274,'Aux - pivots1'!$A:$E,4,0))</f>
        <v>45603</v>
      </c>
      <c r="L274" s="153">
        <f>IF(VLOOKUP(A274,'Aux - pivots1'!$A:$E,5,0)=0, "",VLOOKUP(A274,'Aux - pivots1'!$A:$E,5,0))</f>
        <v>45534</v>
      </c>
      <c r="M274" s="209"/>
      <c r="N274" s="209"/>
    </row>
    <row r="275" spans="1:14" ht="16.2" hidden="1" customHeight="1" x14ac:dyDescent="0.4">
      <c r="A275" s="30" t="str">
        <f t="shared" ref="A275:A338" si="7">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614</v>
      </c>
      <c r="I275" s="144" t="s">
        <v>658</v>
      </c>
      <c r="J275" s="153" t="str">
        <f>IF(VLOOKUP(A275,'Aux - pivots1'!$A:$E,3,0)=0, "",VLOOKUP(A275,'Aux - pivots1'!$A:$E,3,0))</f>
        <v/>
      </c>
      <c r="K275" s="153">
        <f>IF(VLOOKUP(A275,'Aux - pivots1'!$A:$E,4,0)=0, "",VLOOKUP(A275,'Aux - pivots1'!$A:$E,4,0))</f>
        <v>45603</v>
      </c>
      <c r="L275" s="153">
        <f>IF(VLOOKUP(A275,'Aux - pivots1'!$A:$E,5,0)=0, "",VLOOKUP(A275,'Aux - pivots1'!$A:$E,5,0))</f>
        <v>45534</v>
      </c>
      <c r="M275" s="209"/>
      <c r="N275" s="209"/>
    </row>
    <row r="276" spans="1:14" ht="16.2" hidden="1" customHeight="1" x14ac:dyDescent="0.4">
      <c r="A276" s="30" t="str">
        <f t="shared" si="7"/>
        <v>modesg_inp_nfrd_alinhamento_taxbio_trnvr_ttl_elgbl</v>
      </c>
      <c r="B276" s="142" t="s">
        <v>26</v>
      </c>
      <c r="C276" s="138" t="s">
        <v>181</v>
      </c>
      <c r="D276" s="134" t="s">
        <v>40</v>
      </c>
      <c r="E276" s="135" t="s">
        <v>216</v>
      </c>
      <c r="F276" s="134" t="s">
        <v>264</v>
      </c>
      <c r="G276" s="136" t="str">
        <f>VLOOKUP(A276,Plano_V3!$A$26:$G$592,7,0)</f>
        <v>1. Concluído</v>
      </c>
      <c r="H276" s="136" t="s">
        <v>614</v>
      </c>
      <c r="I276" s="144" t="s">
        <v>658</v>
      </c>
      <c r="J276" s="153" t="str">
        <f>IF(VLOOKUP(A276,'Aux - pivots1'!$A:$E,3,0)=0, "",VLOOKUP(A276,'Aux - pivots1'!$A:$E,3,0))</f>
        <v/>
      </c>
      <c r="K276" s="153">
        <f>IF(VLOOKUP(A276,'Aux - pivots1'!$A:$E,4,0)=0, "",VLOOKUP(A276,'Aux - pivots1'!$A:$E,4,0))</f>
        <v>45603</v>
      </c>
      <c r="L276" s="153">
        <f>IF(VLOOKUP(A276,'Aux - pivots1'!$A:$E,5,0)=0, "",VLOOKUP(A276,'Aux - pivots1'!$A:$E,5,0))</f>
        <v>45534</v>
      </c>
      <c r="M276" s="209"/>
      <c r="N276" s="209"/>
    </row>
    <row r="277" spans="1:14" ht="16.2" hidden="1" customHeight="1" x14ac:dyDescent="0.4">
      <c r="A277" s="30" t="str">
        <f t="shared" si="7"/>
        <v>modesg_inp_nfrd_alinhamento_taxbio_turnover_own_prfrmnce_algnd</v>
      </c>
      <c r="B277" s="142" t="s">
        <v>26</v>
      </c>
      <c r="C277" s="138" t="s">
        <v>181</v>
      </c>
      <c r="D277" s="134" t="s">
        <v>40</v>
      </c>
      <c r="E277" s="135" t="s">
        <v>216</v>
      </c>
      <c r="F277" s="134" t="s">
        <v>265</v>
      </c>
      <c r="G277" s="136" t="str">
        <f>VLOOKUP(A277,Plano_V3!$A$26:$G$592,7,0)</f>
        <v>1. Concluído</v>
      </c>
      <c r="H277" s="136" t="s">
        <v>614</v>
      </c>
      <c r="I277" s="144" t="s">
        <v>658</v>
      </c>
      <c r="J277" s="153" t="str">
        <f>IF(VLOOKUP(A277,'Aux - pivots1'!$A:$E,3,0)=0, "",VLOOKUP(A277,'Aux - pivots1'!$A:$E,3,0))</f>
        <v/>
      </c>
      <c r="K277" s="153">
        <f>IF(VLOOKUP(A277,'Aux - pivots1'!$A:$E,4,0)=0, "",VLOOKUP(A277,'Aux - pivots1'!$A:$E,4,0))</f>
        <v>45603</v>
      </c>
      <c r="L277" s="153">
        <f>IF(VLOOKUP(A277,'Aux - pivots1'!$A:$E,5,0)=0, "",VLOOKUP(A277,'Aux - pivots1'!$A:$E,5,0))</f>
        <v>45534</v>
      </c>
      <c r="M277" s="209"/>
      <c r="N277" s="209"/>
    </row>
    <row r="278" spans="1:14" ht="16.2" hidden="1" customHeight="1" x14ac:dyDescent="0.4">
      <c r="A278" s="30" t="str">
        <f t="shared" si="7"/>
        <v>modesg_inp_nfrd_alinhamento_taxbio_capex_ttl_elgbl</v>
      </c>
      <c r="B278" s="142" t="s">
        <v>26</v>
      </c>
      <c r="C278" s="138" t="s">
        <v>181</v>
      </c>
      <c r="D278" s="134" t="s">
        <v>40</v>
      </c>
      <c r="E278" s="135" t="s">
        <v>216</v>
      </c>
      <c r="F278" s="134" t="s">
        <v>266</v>
      </c>
      <c r="G278" s="136" t="str">
        <f>VLOOKUP(A278,Plano_V3!$A$26:$G$592,7,0)</f>
        <v>1. Concluído</v>
      </c>
      <c r="H278" s="136" t="s">
        <v>614</v>
      </c>
      <c r="I278" s="144" t="s">
        <v>658</v>
      </c>
      <c r="J278" s="153" t="str">
        <f>IF(VLOOKUP(A278,'Aux - pivots1'!$A:$E,3,0)=0, "",VLOOKUP(A278,'Aux - pivots1'!$A:$E,3,0))</f>
        <v/>
      </c>
      <c r="K278" s="153">
        <f>IF(VLOOKUP(A278,'Aux - pivots1'!$A:$E,4,0)=0, "",VLOOKUP(A278,'Aux - pivots1'!$A:$E,4,0))</f>
        <v>45603</v>
      </c>
      <c r="L278" s="153">
        <f>IF(VLOOKUP(A278,'Aux - pivots1'!$A:$E,5,0)=0, "",VLOOKUP(A278,'Aux - pivots1'!$A:$E,5,0))</f>
        <v>45534</v>
      </c>
      <c r="M278" s="209"/>
      <c r="N278" s="209"/>
    </row>
    <row r="279" spans="1:14" ht="16.2" hidden="1" customHeight="1" x14ac:dyDescent="0.4">
      <c r="A279" s="30" t="str">
        <f t="shared" si="7"/>
        <v>modesg_inp_nfrd_alinhamento_taxbio_capex_own_prfrmnce_algnd</v>
      </c>
      <c r="B279" s="142" t="s">
        <v>26</v>
      </c>
      <c r="C279" s="138" t="s">
        <v>181</v>
      </c>
      <c r="D279" s="134" t="s">
        <v>40</v>
      </c>
      <c r="E279" s="135" t="s">
        <v>216</v>
      </c>
      <c r="F279" s="134" t="s">
        <v>267</v>
      </c>
      <c r="G279" s="136" t="str">
        <f>VLOOKUP(A279,Plano_V3!$A$26:$G$592,7,0)</f>
        <v>1. Concluído</v>
      </c>
      <c r="H279" s="136" t="s">
        <v>614</v>
      </c>
      <c r="I279" s="144" t="s">
        <v>658</v>
      </c>
      <c r="J279" s="153" t="str">
        <f>IF(VLOOKUP(A279,'Aux - pivots1'!$A:$E,3,0)=0, "",VLOOKUP(A279,'Aux - pivots1'!$A:$E,3,0))</f>
        <v/>
      </c>
      <c r="K279" s="153">
        <f>IF(VLOOKUP(A279,'Aux - pivots1'!$A:$E,4,0)=0, "",VLOOKUP(A279,'Aux - pivots1'!$A:$E,4,0))</f>
        <v>45603</v>
      </c>
      <c r="L279" s="153">
        <f>IF(VLOOKUP(A279,'Aux - pivots1'!$A:$E,5,0)=0, "",VLOOKUP(A279,'Aux - pivots1'!$A:$E,5,0))</f>
        <v>45534</v>
      </c>
      <c r="M279" s="209"/>
      <c r="N279" s="209"/>
    </row>
    <row r="280" spans="1:14" ht="16.2" hidden="1" customHeight="1" x14ac:dyDescent="0.4">
      <c r="A280" s="30" t="str">
        <f t="shared" si="7"/>
        <v>modesg_inp_nfrd_alinhamento_taxwtr_trnvr_ttl_elgbl</v>
      </c>
      <c r="B280" s="142" t="s">
        <v>26</v>
      </c>
      <c r="C280" s="138" t="s">
        <v>181</v>
      </c>
      <c r="D280" s="134" t="s">
        <v>40</v>
      </c>
      <c r="E280" s="135" t="s">
        <v>216</v>
      </c>
      <c r="F280" s="134" t="s">
        <v>268</v>
      </c>
      <c r="G280" s="136" t="str">
        <f>VLOOKUP(A280,Plano_V3!$A$26:$G$592,7,0)</f>
        <v>1. Concluído</v>
      </c>
      <c r="H280" s="136" t="s">
        <v>614</v>
      </c>
      <c r="I280" s="144" t="s">
        <v>658</v>
      </c>
      <c r="J280" s="153" t="str">
        <f>IF(VLOOKUP(A280,'Aux - pivots1'!$A:$E,3,0)=0, "",VLOOKUP(A280,'Aux - pivots1'!$A:$E,3,0))</f>
        <v/>
      </c>
      <c r="K280" s="153">
        <f>IF(VLOOKUP(A280,'Aux - pivots1'!$A:$E,4,0)=0, "",VLOOKUP(A280,'Aux - pivots1'!$A:$E,4,0))</f>
        <v>45603</v>
      </c>
      <c r="L280" s="153">
        <f>IF(VLOOKUP(A280,'Aux - pivots1'!$A:$E,5,0)=0, "",VLOOKUP(A280,'Aux - pivots1'!$A:$E,5,0))</f>
        <v>45534</v>
      </c>
      <c r="M280" s="209"/>
      <c r="N280" s="209"/>
    </row>
    <row r="281" spans="1:14" ht="16.2" hidden="1" customHeight="1" x14ac:dyDescent="0.4">
      <c r="A281" s="30" t="str">
        <f t="shared" si="7"/>
        <v>modesg_inp_nfrd_alinhamento_taxwtr_trnvr_enblng_alignd</v>
      </c>
      <c r="B281" s="142" t="s">
        <v>26</v>
      </c>
      <c r="C281" s="138" t="s">
        <v>181</v>
      </c>
      <c r="D281" s="134" t="s">
        <v>40</v>
      </c>
      <c r="E281" s="135" t="s">
        <v>216</v>
      </c>
      <c r="F281" s="134" t="s">
        <v>269</v>
      </c>
      <c r="G281" s="136" t="str">
        <f>VLOOKUP(A281,Plano_V3!$A$26:$G$592,7,0)</f>
        <v>1. Concluído</v>
      </c>
      <c r="H281" s="136" t="s">
        <v>614</v>
      </c>
      <c r="I281" s="144" t="s">
        <v>658</v>
      </c>
      <c r="J281" s="153" t="str">
        <f>IF(VLOOKUP(A281,'Aux - pivots1'!$A:$E,3,0)=0, "",VLOOKUP(A281,'Aux - pivots1'!$A:$E,3,0))</f>
        <v/>
      </c>
      <c r="K281" s="153">
        <f>IF(VLOOKUP(A281,'Aux - pivots1'!$A:$E,4,0)=0, "",VLOOKUP(A281,'Aux - pivots1'!$A:$E,4,0))</f>
        <v>45603</v>
      </c>
      <c r="L281" s="153">
        <f>IF(VLOOKUP(A281,'Aux - pivots1'!$A:$E,5,0)=0, "",VLOOKUP(A281,'Aux - pivots1'!$A:$E,5,0))</f>
        <v>45534</v>
      </c>
      <c r="M281" s="209"/>
      <c r="N281" s="209"/>
    </row>
    <row r="282" spans="1:14" ht="16.2" hidden="1" customHeight="1" x14ac:dyDescent="0.4">
      <c r="A282" s="30" t="str">
        <f t="shared" si="7"/>
        <v>modesg_inp_nfrd_alinhamento_taxwtr_turnover_own_prfrmnce_algnd</v>
      </c>
      <c r="B282" s="142" t="s">
        <v>26</v>
      </c>
      <c r="C282" s="138" t="s">
        <v>181</v>
      </c>
      <c r="D282" s="134" t="s">
        <v>40</v>
      </c>
      <c r="E282" s="135" t="s">
        <v>216</v>
      </c>
      <c r="F282" s="134" t="s">
        <v>270</v>
      </c>
      <c r="G282" s="136" t="str">
        <f>VLOOKUP(A282,Plano_V3!$A$26:$G$592,7,0)</f>
        <v>1. Concluído</v>
      </c>
      <c r="H282" s="136" t="s">
        <v>614</v>
      </c>
      <c r="I282" s="144" t="s">
        <v>658</v>
      </c>
      <c r="J282" s="153" t="str">
        <f>IF(VLOOKUP(A282,'Aux - pivots1'!$A:$E,3,0)=0, "",VLOOKUP(A282,'Aux - pivots1'!$A:$E,3,0))</f>
        <v/>
      </c>
      <c r="K282" s="153">
        <f>IF(VLOOKUP(A282,'Aux - pivots1'!$A:$E,4,0)=0, "",VLOOKUP(A282,'Aux - pivots1'!$A:$E,4,0))</f>
        <v>45603</v>
      </c>
      <c r="L282" s="153">
        <f>IF(VLOOKUP(A282,'Aux - pivots1'!$A:$E,5,0)=0, "",VLOOKUP(A282,'Aux - pivots1'!$A:$E,5,0))</f>
        <v>45534</v>
      </c>
      <c r="M282" s="209"/>
      <c r="N282" s="209"/>
    </row>
    <row r="283" spans="1:14" ht="16.2" hidden="1" customHeight="1" x14ac:dyDescent="0.4">
      <c r="A283" s="30" t="str">
        <f t="shared" si="7"/>
        <v>modesg_inp_nfrd_alinhamento_taxwtr_capex_ttl_elgbl</v>
      </c>
      <c r="B283" s="142" t="s">
        <v>26</v>
      </c>
      <c r="C283" s="138" t="s">
        <v>181</v>
      </c>
      <c r="D283" s="134" t="s">
        <v>40</v>
      </c>
      <c r="E283" s="135" t="s">
        <v>216</v>
      </c>
      <c r="F283" s="134" t="s">
        <v>271</v>
      </c>
      <c r="G283" s="136" t="str">
        <f>VLOOKUP(A283,Plano_V3!$A$26:$G$592,7,0)</f>
        <v>1. Concluído</v>
      </c>
      <c r="H283" s="136" t="s">
        <v>614</v>
      </c>
      <c r="I283" s="144" t="s">
        <v>658</v>
      </c>
      <c r="J283" s="153" t="str">
        <f>IF(VLOOKUP(A283,'Aux - pivots1'!$A:$E,3,0)=0, "",VLOOKUP(A283,'Aux - pivots1'!$A:$E,3,0))</f>
        <v/>
      </c>
      <c r="K283" s="153">
        <f>IF(VLOOKUP(A283,'Aux - pivots1'!$A:$E,4,0)=0, "",VLOOKUP(A283,'Aux - pivots1'!$A:$E,4,0))</f>
        <v>45603</v>
      </c>
      <c r="L283" s="153">
        <f>IF(VLOOKUP(A283,'Aux - pivots1'!$A:$E,5,0)=0, "",VLOOKUP(A283,'Aux - pivots1'!$A:$E,5,0))</f>
        <v>45534</v>
      </c>
      <c r="M283" s="209"/>
      <c r="N283" s="209"/>
    </row>
    <row r="284" spans="1:14" ht="16.2" hidden="1" customHeight="1" x14ac:dyDescent="0.4">
      <c r="A284" s="30" t="str">
        <f t="shared" si="7"/>
        <v>modesg_inp_nfrd_alinhamento_taxwtr_capex_enblng_algnd</v>
      </c>
      <c r="B284" s="142" t="s">
        <v>26</v>
      </c>
      <c r="C284" s="138" t="s">
        <v>181</v>
      </c>
      <c r="D284" s="134" t="s">
        <v>40</v>
      </c>
      <c r="E284" s="135" t="s">
        <v>216</v>
      </c>
      <c r="F284" s="134" t="s">
        <v>272</v>
      </c>
      <c r="G284" s="136" t="str">
        <f>VLOOKUP(A284,Plano_V3!$A$26:$G$592,7,0)</f>
        <v>1. Concluído</v>
      </c>
      <c r="H284" s="136" t="s">
        <v>614</v>
      </c>
      <c r="I284" s="144" t="s">
        <v>658</v>
      </c>
      <c r="J284" s="153" t="str">
        <f>IF(VLOOKUP(A284,'Aux - pivots1'!$A:$E,3,0)=0, "",VLOOKUP(A284,'Aux - pivots1'!$A:$E,3,0))</f>
        <v/>
      </c>
      <c r="K284" s="153">
        <f>IF(VLOOKUP(A284,'Aux - pivots1'!$A:$E,4,0)=0, "",VLOOKUP(A284,'Aux - pivots1'!$A:$E,4,0))</f>
        <v>45603</v>
      </c>
      <c r="L284" s="153">
        <f>IF(VLOOKUP(A284,'Aux - pivots1'!$A:$E,5,0)=0, "",VLOOKUP(A284,'Aux - pivots1'!$A:$E,5,0))</f>
        <v>45534</v>
      </c>
      <c r="M284" s="209"/>
      <c r="N284" s="209"/>
    </row>
    <row r="285" spans="1:14" ht="16.2" hidden="1" customHeight="1" x14ac:dyDescent="0.4">
      <c r="A285" s="30" t="str">
        <f t="shared" si="7"/>
        <v>modesg_inp_nfrd_alinhamento_taxwtr_capex_own_prfrmnce_algnd</v>
      </c>
      <c r="B285" s="142" t="s">
        <v>26</v>
      </c>
      <c r="C285" s="138" t="s">
        <v>181</v>
      </c>
      <c r="D285" s="134" t="s">
        <v>40</v>
      </c>
      <c r="E285" s="135" t="s">
        <v>216</v>
      </c>
      <c r="F285" s="134" t="s">
        <v>273</v>
      </c>
      <c r="G285" s="136" t="str">
        <f>VLOOKUP(A285,Plano_V3!$A$26:$G$592,7,0)</f>
        <v>1. Concluído</v>
      </c>
      <c r="H285" s="136" t="s">
        <v>614</v>
      </c>
      <c r="I285" s="144" t="s">
        <v>658</v>
      </c>
      <c r="J285" s="153" t="str">
        <f>IF(VLOOKUP(A285,'Aux - pivots1'!$A:$E,3,0)=0, "",VLOOKUP(A285,'Aux - pivots1'!$A:$E,3,0))</f>
        <v/>
      </c>
      <c r="K285" s="153">
        <f>IF(VLOOKUP(A285,'Aux - pivots1'!$A:$E,4,0)=0, "",VLOOKUP(A285,'Aux - pivots1'!$A:$E,4,0))</f>
        <v>45603</v>
      </c>
      <c r="L285" s="153">
        <f>IF(VLOOKUP(A285,'Aux - pivots1'!$A:$E,5,0)=0, "",VLOOKUP(A285,'Aux - pivots1'!$A:$E,5,0))</f>
        <v>45534</v>
      </c>
      <c r="M285" s="209"/>
      <c r="N285" s="209"/>
    </row>
    <row r="286" spans="1:14" ht="16.2" hidden="1" customHeight="1" x14ac:dyDescent="0.4">
      <c r="A286" s="30" t="str">
        <f t="shared" si="7"/>
        <v>modesg_inp_nfrd_alinhamento_taxce_trnvr_ttl_elgbl</v>
      </c>
      <c r="B286" s="142" t="s">
        <v>26</v>
      </c>
      <c r="C286" s="138" t="s">
        <v>181</v>
      </c>
      <c r="D286" s="134" t="s">
        <v>40</v>
      </c>
      <c r="E286" s="135" t="s">
        <v>216</v>
      </c>
      <c r="F286" s="134" t="s">
        <v>274</v>
      </c>
      <c r="G286" s="136" t="str">
        <f>VLOOKUP(A286,Plano_V3!$A$26:$G$592,7,0)</f>
        <v>1. Concluído</v>
      </c>
      <c r="H286" s="136" t="s">
        <v>614</v>
      </c>
      <c r="I286" s="144" t="s">
        <v>658</v>
      </c>
      <c r="J286" s="153" t="str">
        <f>IF(VLOOKUP(A286,'Aux - pivots1'!$A:$E,3,0)=0, "",VLOOKUP(A286,'Aux - pivots1'!$A:$E,3,0))</f>
        <v/>
      </c>
      <c r="K286" s="153">
        <f>IF(VLOOKUP(A286,'Aux - pivots1'!$A:$E,4,0)=0, "",VLOOKUP(A286,'Aux - pivots1'!$A:$E,4,0))</f>
        <v>45603</v>
      </c>
      <c r="L286" s="153">
        <f>IF(VLOOKUP(A286,'Aux - pivots1'!$A:$E,5,0)=0, "",VLOOKUP(A286,'Aux - pivots1'!$A:$E,5,0))</f>
        <v>45534</v>
      </c>
      <c r="M286" s="209"/>
      <c r="N286" s="209"/>
    </row>
    <row r="287" spans="1:14" ht="16.2" hidden="1" customHeight="1" x14ac:dyDescent="0.4">
      <c r="A287" s="30" t="str">
        <f t="shared" si="7"/>
        <v>modesg_inp_nfrd_alinhamento_taxce_trnvr_enblng_alignd</v>
      </c>
      <c r="B287" s="142" t="s">
        <v>26</v>
      </c>
      <c r="C287" s="138" t="s">
        <v>181</v>
      </c>
      <c r="D287" s="134" t="s">
        <v>40</v>
      </c>
      <c r="E287" s="135" t="s">
        <v>216</v>
      </c>
      <c r="F287" s="134" t="s">
        <v>275</v>
      </c>
      <c r="G287" s="136" t="str">
        <f>VLOOKUP(A287,Plano_V3!$A$26:$G$592,7,0)</f>
        <v>1. Concluído</v>
      </c>
      <c r="H287" s="136" t="s">
        <v>614</v>
      </c>
      <c r="I287" s="144" t="s">
        <v>658</v>
      </c>
      <c r="J287" s="153" t="str">
        <f>IF(VLOOKUP(A287,'Aux - pivots1'!$A:$E,3,0)=0, "",VLOOKUP(A287,'Aux - pivots1'!$A:$E,3,0))</f>
        <v/>
      </c>
      <c r="K287" s="153">
        <f>IF(VLOOKUP(A287,'Aux - pivots1'!$A:$E,4,0)=0, "",VLOOKUP(A287,'Aux - pivots1'!$A:$E,4,0))</f>
        <v>45603</v>
      </c>
      <c r="L287" s="153">
        <f>IF(VLOOKUP(A287,'Aux - pivots1'!$A:$E,5,0)=0, "",VLOOKUP(A287,'Aux - pivots1'!$A:$E,5,0))</f>
        <v>45534</v>
      </c>
      <c r="M287" s="209"/>
      <c r="N287" s="209"/>
    </row>
    <row r="288" spans="1:14" ht="16.2" hidden="1" customHeight="1" x14ac:dyDescent="0.4">
      <c r="A288" s="30" t="str">
        <f t="shared" si="7"/>
        <v>modesg_inp_nfrd_alinhamento_taxce_turnover_own_prfrmnce_algnd</v>
      </c>
      <c r="B288" s="142" t="s">
        <v>26</v>
      </c>
      <c r="C288" s="138" t="s">
        <v>181</v>
      </c>
      <c r="D288" s="134" t="s">
        <v>40</v>
      </c>
      <c r="E288" s="135" t="s">
        <v>216</v>
      </c>
      <c r="F288" s="134" t="s">
        <v>276</v>
      </c>
      <c r="G288" s="136" t="str">
        <f>VLOOKUP(A288,Plano_V3!$A$26:$G$592,7,0)</f>
        <v>1. Concluído</v>
      </c>
      <c r="H288" s="136" t="s">
        <v>614</v>
      </c>
      <c r="I288" s="144" t="s">
        <v>658</v>
      </c>
      <c r="J288" s="153" t="str">
        <f>IF(VLOOKUP(A288,'Aux - pivots1'!$A:$E,3,0)=0, "",VLOOKUP(A288,'Aux - pivots1'!$A:$E,3,0))</f>
        <v/>
      </c>
      <c r="K288" s="153">
        <f>IF(VLOOKUP(A288,'Aux - pivots1'!$A:$E,4,0)=0, "",VLOOKUP(A288,'Aux - pivots1'!$A:$E,4,0))</f>
        <v>45603</v>
      </c>
      <c r="L288" s="153">
        <f>IF(VLOOKUP(A288,'Aux - pivots1'!$A:$E,5,0)=0, "",VLOOKUP(A288,'Aux - pivots1'!$A:$E,5,0))</f>
        <v>45534</v>
      </c>
      <c r="M288" s="209"/>
      <c r="N288" s="209"/>
    </row>
    <row r="289" spans="1:14" ht="16.2" hidden="1" customHeight="1" x14ac:dyDescent="0.4">
      <c r="A289" s="30" t="str">
        <f t="shared" si="7"/>
        <v>modesg_inp_nfrd_alinhamento_taxce_capex_ttl_elgbl</v>
      </c>
      <c r="B289" s="142" t="s">
        <v>26</v>
      </c>
      <c r="C289" s="138" t="s">
        <v>181</v>
      </c>
      <c r="D289" s="134" t="s">
        <v>40</v>
      </c>
      <c r="E289" s="135" t="s">
        <v>216</v>
      </c>
      <c r="F289" s="134" t="s">
        <v>277</v>
      </c>
      <c r="G289" s="136" t="str">
        <f>VLOOKUP(A289,Plano_V3!$A$26:$G$592,7,0)</f>
        <v>1. Concluído</v>
      </c>
      <c r="H289" s="136" t="s">
        <v>614</v>
      </c>
      <c r="I289" s="144" t="s">
        <v>658</v>
      </c>
      <c r="J289" s="153" t="str">
        <f>IF(VLOOKUP(A289,'Aux - pivots1'!$A:$E,3,0)=0, "",VLOOKUP(A289,'Aux - pivots1'!$A:$E,3,0))</f>
        <v/>
      </c>
      <c r="K289" s="153">
        <f>IF(VLOOKUP(A289,'Aux - pivots1'!$A:$E,4,0)=0, "",VLOOKUP(A289,'Aux - pivots1'!$A:$E,4,0))</f>
        <v>45603</v>
      </c>
      <c r="L289" s="153">
        <f>IF(VLOOKUP(A289,'Aux - pivots1'!$A:$E,5,0)=0, "",VLOOKUP(A289,'Aux - pivots1'!$A:$E,5,0))</f>
        <v>45534</v>
      </c>
      <c r="M289" s="209"/>
      <c r="N289" s="209"/>
    </row>
    <row r="290" spans="1:14" ht="16.2" hidden="1" customHeight="1" x14ac:dyDescent="0.4">
      <c r="A290" s="30" t="str">
        <f t="shared" si="7"/>
        <v>modesg_inp_nfrd_alinhamento_taxce_capex_enblng_algnd</v>
      </c>
      <c r="B290" s="142" t="s">
        <v>26</v>
      </c>
      <c r="C290" s="138" t="s">
        <v>181</v>
      </c>
      <c r="D290" s="134" t="s">
        <v>40</v>
      </c>
      <c r="E290" s="135" t="s">
        <v>216</v>
      </c>
      <c r="F290" s="134" t="s">
        <v>278</v>
      </c>
      <c r="G290" s="136" t="str">
        <f>VLOOKUP(A290,Plano_V3!$A$26:$G$592,7,0)</f>
        <v>1. Concluído</v>
      </c>
      <c r="H290" s="136" t="s">
        <v>614</v>
      </c>
      <c r="I290" s="144" t="s">
        <v>658</v>
      </c>
      <c r="J290" s="153" t="str">
        <f>IF(VLOOKUP(A290,'Aux - pivots1'!$A:$E,3,0)=0, "",VLOOKUP(A290,'Aux - pivots1'!$A:$E,3,0))</f>
        <v/>
      </c>
      <c r="K290" s="153">
        <f>IF(VLOOKUP(A290,'Aux - pivots1'!$A:$E,4,0)=0, "",VLOOKUP(A290,'Aux - pivots1'!$A:$E,4,0))</f>
        <v>45603</v>
      </c>
      <c r="L290" s="153">
        <f>IF(VLOOKUP(A290,'Aux - pivots1'!$A:$E,5,0)=0, "",VLOOKUP(A290,'Aux - pivots1'!$A:$E,5,0))</f>
        <v>45534</v>
      </c>
      <c r="M290" s="209"/>
      <c r="N290" s="209"/>
    </row>
    <row r="291" spans="1:14" ht="16.2" hidden="1" customHeight="1" x14ac:dyDescent="0.4">
      <c r="A291" s="30" t="str">
        <f t="shared" si="7"/>
        <v>modesg_inp_nfrd_alinhamento_taxce_capex_own_prfrmnce_algnd</v>
      </c>
      <c r="B291" s="142" t="s">
        <v>26</v>
      </c>
      <c r="C291" s="138" t="s">
        <v>181</v>
      </c>
      <c r="D291" s="134" t="s">
        <v>40</v>
      </c>
      <c r="E291" s="135" t="s">
        <v>216</v>
      </c>
      <c r="F291" s="134" t="s">
        <v>279</v>
      </c>
      <c r="G291" s="136" t="str">
        <f>VLOOKUP(A291,Plano_V3!$A$26:$G$592,7,0)</f>
        <v>1. Concluído</v>
      </c>
      <c r="H291" s="136" t="s">
        <v>614</v>
      </c>
      <c r="I291" s="144" t="s">
        <v>658</v>
      </c>
      <c r="J291" s="153" t="str">
        <f>IF(VLOOKUP(A291,'Aux - pivots1'!$A:$E,3,0)=0, "",VLOOKUP(A291,'Aux - pivots1'!$A:$E,3,0))</f>
        <v/>
      </c>
      <c r="K291" s="153">
        <f>IF(VLOOKUP(A291,'Aux - pivots1'!$A:$E,4,0)=0, "",VLOOKUP(A291,'Aux - pivots1'!$A:$E,4,0))</f>
        <v>45603</v>
      </c>
      <c r="L291" s="153">
        <f>IF(VLOOKUP(A291,'Aux - pivots1'!$A:$E,5,0)=0, "",VLOOKUP(A291,'Aux - pivots1'!$A:$E,5,0))</f>
        <v>45534</v>
      </c>
      <c r="M291" s="209"/>
      <c r="N291" s="209"/>
    </row>
    <row r="292" spans="1:14" ht="16.2" hidden="1" customHeight="1" x14ac:dyDescent="0.4">
      <c r="A292" s="30" t="str">
        <f t="shared" si="7"/>
        <v>modesg_inp_risco_fisicoref_date</v>
      </c>
      <c r="B292" s="142" t="s">
        <v>26</v>
      </c>
      <c r="C292" s="138" t="s">
        <v>181</v>
      </c>
      <c r="D292" s="134" t="s">
        <v>40</v>
      </c>
      <c r="E292" s="135" t="s">
        <v>217</v>
      </c>
      <c r="F292" s="134" t="s">
        <v>208</v>
      </c>
      <c r="G292" s="136" t="str">
        <f>VLOOKUP(A292,Plano_V3!$A$26:$G$592,7,0)</f>
        <v>1. Concluído</v>
      </c>
      <c r="H292" s="136" t="s">
        <v>614</v>
      </c>
      <c r="I292" s="154"/>
      <c r="J292" s="153" t="str">
        <f>IF(VLOOKUP(A292,'Aux - pivots1'!$A:$E,3,0)=0, "",VLOOKUP(A292,'Aux - pivots1'!$A:$E,3,0))</f>
        <v/>
      </c>
      <c r="K292" s="153">
        <f>IF(VLOOKUP(A292,'Aux - pivots1'!$A:$E,4,0)=0, "",VLOOKUP(A292,'Aux - pivots1'!$A:$E,4,0))</f>
        <v>45603</v>
      </c>
      <c r="L292" s="153" t="str">
        <f>IF(VLOOKUP(A292,'Aux - pivots1'!$A:$E,5,0)=0, "",VLOOKUP(A292,'Aux - pivots1'!$A:$E,5,0))</f>
        <v/>
      </c>
      <c r="M292" s="209"/>
      <c r="N292" s="209"/>
    </row>
    <row r="293" spans="1:14" ht="16.2" hidden="1" customHeight="1" x14ac:dyDescent="0.4">
      <c r="A293" s="30" t="str">
        <f t="shared" si="7"/>
        <v>modesg_inp_risco_fisicocod_pais</v>
      </c>
      <c r="B293" s="142" t="s">
        <v>26</v>
      </c>
      <c r="C293" s="138" t="s">
        <v>181</v>
      </c>
      <c r="D293" s="134" t="s">
        <v>40</v>
      </c>
      <c r="E293" s="135" t="s">
        <v>217</v>
      </c>
      <c r="F293" s="134" t="s">
        <v>280</v>
      </c>
      <c r="G293" s="136" t="str">
        <f>VLOOKUP(A293,Plano_V3!$A$26:$G$592,7,0)</f>
        <v>1. Concluído</v>
      </c>
      <c r="H293" s="136" t="s">
        <v>614</v>
      </c>
      <c r="I293" s="154"/>
      <c r="J293" s="153" t="str">
        <f>IF(VLOOKUP(A293,'Aux - pivots1'!$A:$E,3,0)=0, "",VLOOKUP(A293,'Aux - pivots1'!$A:$E,3,0))</f>
        <v/>
      </c>
      <c r="K293" s="153">
        <f>IF(VLOOKUP(A293,'Aux - pivots1'!$A:$E,4,0)=0, "",VLOOKUP(A293,'Aux - pivots1'!$A:$E,4,0))</f>
        <v>45603</v>
      </c>
      <c r="L293" s="153" t="str">
        <f>IF(VLOOKUP(A293,'Aux - pivots1'!$A:$E,5,0)=0, "",VLOOKUP(A293,'Aux - pivots1'!$A:$E,5,0))</f>
        <v/>
      </c>
      <c r="M293" s="209"/>
      <c r="N293" s="209"/>
    </row>
    <row r="294" spans="1:14" ht="16.2" hidden="1" customHeight="1" x14ac:dyDescent="0.4">
      <c r="A294" s="30" t="str">
        <f t="shared" si="7"/>
        <v>modesg_inp_risco_fisicocod_nutiii</v>
      </c>
      <c r="B294" s="142" t="s">
        <v>26</v>
      </c>
      <c r="C294" s="138" t="s">
        <v>181</v>
      </c>
      <c r="D294" s="134" t="s">
        <v>40</v>
      </c>
      <c r="E294" s="135" t="s">
        <v>217</v>
      </c>
      <c r="F294" s="134" t="s">
        <v>281</v>
      </c>
      <c r="G294" s="136" t="str">
        <f>VLOOKUP(A294,Plano_V3!$A$26:$G$592,7,0)</f>
        <v>1. Concluído</v>
      </c>
      <c r="H294" s="136" t="s">
        <v>614</v>
      </c>
      <c r="I294" s="154"/>
      <c r="J294" s="153" t="str">
        <f>IF(VLOOKUP(A294,'Aux - pivots1'!$A:$E,3,0)=0, "",VLOOKUP(A294,'Aux - pivots1'!$A:$E,3,0))</f>
        <v/>
      </c>
      <c r="K294" s="153">
        <f>IF(VLOOKUP(A294,'Aux - pivots1'!$A:$E,4,0)=0, "",VLOOKUP(A294,'Aux - pivots1'!$A:$E,4,0))</f>
        <v>45603</v>
      </c>
      <c r="L294" s="153" t="str">
        <f>IF(VLOOKUP(A294,'Aux - pivots1'!$A:$E,5,0)=0, "",VLOOKUP(A294,'Aux - pivots1'!$A:$E,5,0))</f>
        <v/>
      </c>
      <c r="M294" s="209"/>
      <c r="N294" s="209"/>
    </row>
    <row r="295" spans="1:14" ht="16.2" hidden="1" customHeight="1" x14ac:dyDescent="0.4">
      <c r="A295" s="30" t="str">
        <f t="shared" si="7"/>
        <v>modesg_inp_risco_fisicocod_nace_esg</v>
      </c>
      <c r="B295" s="142" t="s">
        <v>26</v>
      </c>
      <c r="C295" s="138" t="s">
        <v>181</v>
      </c>
      <c r="D295" s="134" t="s">
        <v>40</v>
      </c>
      <c r="E295" s="135" t="s">
        <v>217</v>
      </c>
      <c r="F295" s="134" t="s">
        <v>282</v>
      </c>
      <c r="G295" s="136" t="str">
        <f>VLOOKUP(A295,Plano_V3!$A$26:$G$592,7,0)</f>
        <v>1. Concluído</v>
      </c>
      <c r="H295" s="136" t="s">
        <v>614</v>
      </c>
      <c r="I295" s="154"/>
      <c r="J295" s="153" t="str">
        <f>IF(VLOOKUP(A295,'Aux - pivots1'!$A:$E,3,0)=0, "",VLOOKUP(A295,'Aux - pivots1'!$A:$E,3,0))</f>
        <v/>
      </c>
      <c r="K295" s="153">
        <f>IF(VLOOKUP(A295,'Aux - pivots1'!$A:$E,4,0)=0, "",VLOOKUP(A295,'Aux - pivots1'!$A:$E,4,0))</f>
        <v>45603</v>
      </c>
      <c r="L295" s="153" t="str">
        <f>IF(VLOOKUP(A295,'Aux - pivots1'!$A:$E,5,0)=0, "",VLOOKUP(A295,'Aux - pivots1'!$A:$E,5,0))</f>
        <v/>
      </c>
      <c r="M295" s="209"/>
      <c r="N295" s="209"/>
    </row>
    <row r="296" spans="1:14" ht="16.2" hidden="1" customHeight="1" x14ac:dyDescent="0.4">
      <c r="A296" s="30" t="str">
        <f t="shared" si="7"/>
        <v>modesg_inp_risco_fisicoflg_rsc_fsc_agd</v>
      </c>
      <c r="B296" s="142" t="s">
        <v>26</v>
      </c>
      <c r="C296" s="138" t="s">
        <v>181</v>
      </c>
      <c r="D296" s="134" t="s">
        <v>40</v>
      </c>
      <c r="E296" s="135" t="s">
        <v>217</v>
      </c>
      <c r="F296" s="134" t="s">
        <v>283</v>
      </c>
      <c r="G296" s="136" t="str">
        <f>VLOOKUP(A296,Plano_V3!$A$26:$G$592,7,0)</f>
        <v>1. Concluído</v>
      </c>
      <c r="H296" s="136" t="s">
        <v>614</v>
      </c>
      <c r="I296" s="154"/>
      <c r="J296" s="153" t="str">
        <f>IF(VLOOKUP(A296,'Aux - pivots1'!$A:$E,3,0)=0, "",VLOOKUP(A296,'Aux - pivots1'!$A:$E,3,0))</f>
        <v/>
      </c>
      <c r="K296" s="153">
        <f>IF(VLOOKUP(A296,'Aux - pivots1'!$A:$E,4,0)=0, "",VLOOKUP(A296,'Aux - pivots1'!$A:$E,4,0))</f>
        <v>45603</v>
      </c>
      <c r="L296" s="153" t="str">
        <f>IF(VLOOKUP(A296,'Aux - pivots1'!$A:$E,5,0)=0, "",VLOOKUP(A296,'Aux - pivots1'!$A:$E,5,0))</f>
        <v/>
      </c>
      <c r="M296" s="209"/>
      <c r="N296" s="209"/>
    </row>
    <row r="297" spans="1:14" ht="16.2" hidden="1" customHeight="1" x14ac:dyDescent="0.4">
      <c r="A297" s="30" t="str">
        <f t="shared" si="7"/>
        <v>modesg_inp_risco_fisicoflg_rsc_fsc_crnc</v>
      </c>
      <c r="B297" s="142" t="s">
        <v>26</v>
      </c>
      <c r="C297" s="138" t="s">
        <v>181</v>
      </c>
      <c r="D297" s="134" t="s">
        <v>40</v>
      </c>
      <c r="E297" s="135" t="s">
        <v>217</v>
      </c>
      <c r="F297" s="134" t="s">
        <v>284</v>
      </c>
      <c r="G297" s="136" t="str">
        <f>VLOOKUP(A297,Plano_V3!$A$26:$G$592,7,0)</f>
        <v>1. Concluído</v>
      </c>
      <c r="H297" s="136" t="s">
        <v>614</v>
      </c>
      <c r="I297" s="154"/>
      <c r="J297" s="153" t="str">
        <f>IF(VLOOKUP(A297,'Aux - pivots1'!$A:$E,3,0)=0, "",VLOOKUP(A297,'Aux - pivots1'!$A:$E,3,0))</f>
        <v/>
      </c>
      <c r="K297" s="153">
        <f>IF(VLOOKUP(A297,'Aux - pivots1'!$A:$E,4,0)=0, "",VLOOKUP(A297,'Aux - pivots1'!$A:$E,4,0))</f>
        <v>45603</v>
      </c>
      <c r="L297" s="153" t="str">
        <f>IF(VLOOKUP(A297,'Aux - pivots1'!$A:$E,5,0)=0, "",VLOOKUP(A297,'Aux - pivots1'!$A:$E,5,0))</f>
        <v/>
      </c>
      <c r="M297" s="209"/>
      <c r="N297" s="209"/>
    </row>
    <row r="298" spans="1:14" ht="16.2" hidden="1" customHeight="1" x14ac:dyDescent="0.4">
      <c r="A298" s="30" t="str">
        <f t="shared" si="7"/>
        <v>modesg_inp_emss_scibref_date</v>
      </c>
      <c r="B298" s="142" t="s">
        <v>26</v>
      </c>
      <c r="C298" s="138" t="s">
        <v>181</v>
      </c>
      <c r="D298" s="134" t="s">
        <v>40</v>
      </c>
      <c r="E298" s="135" t="s">
        <v>218</v>
      </c>
      <c r="F298" s="134" t="s">
        <v>208</v>
      </c>
      <c r="G298" s="136" t="str">
        <f>VLOOKUP(A298,Plano_V3!$A$26:$G$592,7,0)</f>
        <v>1. Concluído</v>
      </c>
      <c r="H298" s="136" t="s">
        <v>614</v>
      </c>
      <c r="I298" s="154"/>
      <c r="J298" s="153" t="str">
        <f>IF(VLOOKUP(A298,'Aux - pivots1'!$A:$E,3,0)=0, "",VLOOKUP(A298,'Aux - pivots1'!$A:$E,3,0))</f>
        <v/>
      </c>
      <c r="K298" s="153">
        <f>IF(VLOOKUP(A298,'Aux - pivots1'!$A:$E,4,0)=0, "",VLOOKUP(A298,'Aux - pivots1'!$A:$E,4,0))</f>
        <v>45603</v>
      </c>
      <c r="L298" s="153" t="str">
        <f>IF(VLOOKUP(A298,'Aux - pivots1'!$A:$E,5,0)=0, "",VLOOKUP(A298,'Aux - pivots1'!$A:$E,5,0))</f>
        <v/>
      </c>
      <c r="M298" s="209"/>
      <c r="N298" s="209"/>
    </row>
    <row r="299" spans="1:14" ht="16.2" hidden="1" customHeight="1" x14ac:dyDescent="0.4">
      <c r="A299" s="30" t="str">
        <f t="shared" si="7"/>
        <v>modesg_inp_emss_scibccli_kgl</v>
      </c>
      <c r="B299" s="142" t="s">
        <v>26</v>
      </c>
      <c r="C299" s="138" t="s">
        <v>181</v>
      </c>
      <c r="D299" s="134" t="s">
        <v>40</v>
      </c>
      <c r="E299" s="135" t="s">
        <v>218</v>
      </c>
      <c r="F299" s="134" t="s">
        <v>241</v>
      </c>
      <c r="G299" s="136" t="str">
        <f>VLOOKUP(A299,Plano_V3!$A$26:$G$592,7,0)</f>
        <v>1. Concluído</v>
      </c>
      <c r="H299" s="136" t="s">
        <v>614</v>
      </c>
      <c r="I299" s="154"/>
      <c r="J299" s="153" t="str">
        <f>IF(VLOOKUP(A299,'Aux - pivots1'!$A:$E,3,0)=0, "",VLOOKUP(A299,'Aux - pivots1'!$A:$E,3,0))</f>
        <v/>
      </c>
      <c r="K299" s="153">
        <f>IF(VLOOKUP(A299,'Aux - pivots1'!$A:$E,4,0)=0, "",VLOOKUP(A299,'Aux - pivots1'!$A:$E,4,0))</f>
        <v>45603</v>
      </c>
      <c r="L299" s="153" t="str">
        <f>IF(VLOOKUP(A299,'Aux - pivots1'!$A:$E,5,0)=0, "",VLOOKUP(A299,'Aux - pivots1'!$A:$E,5,0))</f>
        <v/>
      </c>
      <c r="M299" s="209"/>
      <c r="N299" s="209"/>
    </row>
    <row r="300" spans="1:14" ht="16.2" hidden="1" customHeight="1" x14ac:dyDescent="0.4">
      <c r="A300" s="30" t="str">
        <f t="shared" si="7"/>
        <v>modesg_inp_emss_scibnome_grupo</v>
      </c>
      <c r="B300" s="142" t="s">
        <v>26</v>
      </c>
      <c r="C300" s="138" t="s">
        <v>181</v>
      </c>
      <c r="D300" s="134" t="s">
        <v>40</v>
      </c>
      <c r="E300" s="135" t="s">
        <v>218</v>
      </c>
      <c r="F300" s="134" t="s">
        <v>285</v>
      </c>
      <c r="G300" s="136" t="str">
        <f>VLOOKUP(A300,Plano_V3!$A$26:$G$592,7,0)</f>
        <v>1. Concluído</v>
      </c>
      <c r="H300" s="136" t="s">
        <v>614</v>
      </c>
      <c r="I300" s="154"/>
      <c r="J300" s="153" t="str">
        <f>IF(VLOOKUP(A300,'Aux - pivots1'!$A:$E,3,0)=0, "",VLOOKUP(A300,'Aux - pivots1'!$A:$E,3,0))</f>
        <v/>
      </c>
      <c r="K300" s="153">
        <f>IF(VLOOKUP(A300,'Aux - pivots1'!$A:$E,4,0)=0, "",VLOOKUP(A300,'Aux - pivots1'!$A:$E,4,0))</f>
        <v>45603</v>
      </c>
      <c r="L300" s="153" t="str">
        <f>IF(VLOOKUP(A300,'Aux - pivots1'!$A:$E,5,0)=0, "",VLOOKUP(A300,'Aux - pivots1'!$A:$E,5,0))</f>
        <v/>
      </c>
      <c r="M300" s="209"/>
      <c r="N300" s="209"/>
    </row>
    <row r="301" spans="1:14" ht="16.2" hidden="1" customHeight="1" x14ac:dyDescent="0.4">
      <c r="A301" s="30" t="str">
        <f t="shared" si="7"/>
        <v>modesg_inp_emss_scibisin</v>
      </c>
      <c r="B301" s="142" t="s">
        <v>26</v>
      </c>
      <c r="C301" s="138" t="s">
        <v>181</v>
      </c>
      <c r="D301" s="134" t="s">
        <v>40</v>
      </c>
      <c r="E301" s="135" t="s">
        <v>218</v>
      </c>
      <c r="F301" s="134" t="s">
        <v>239</v>
      </c>
      <c r="G301" s="136" t="str">
        <f>VLOOKUP(A301,Plano_V3!$A$26:$G$592,7,0)</f>
        <v>1. Concluído</v>
      </c>
      <c r="H301" s="136" t="s">
        <v>614</v>
      </c>
      <c r="I301" s="154"/>
      <c r="J301" s="153" t="str">
        <f>IF(VLOOKUP(A301,'Aux - pivots1'!$A:$E,3,0)=0, "",VLOOKUP(A301,'Aux - pivots1'!$A:$E,3,0))</f>
        <v/>
      </c>
      <c r="K301" s="153">
        <f>IF(VLOOKUP(A301,'Aux - pivots1'!$A:$E,4,0)=0, "",VLOOKUP(A301,'Aux - pivots1'!$A:$E,4,0))</f>
        <v>45603</v>
      </c>
      <c r="L301" s="153" t="str">
        <f>IF(VLOOKUP(A301,'Aux - pivots1'!$A:$E,5,0)=0, "",VLOOKUP(A301,'Aux - pivots1'!$A:$E,5,0))</f>
        <v/>
      </c>
      <c r="M301" s="209"/>
      <c r="N301" s="209"/>
    </row>
    <row r="302" spans="1:14" ht="16.2" hidden="1" customHeight="1" x14ac:dyDescent="0.4">
      <c r="A302" s="30" t="str">
        <f t="shared" si="7"/>
        <v>modesg_inp_emss_scibclei</v>
      </c>
      <c r="B302" s="142" t="s">
        <v>26</v>
      </c>
      <c r="C302" s="138" t="s">
        <v>181</v>
      </c>
      <c r="D302" s="134" t="s">
        <v>40</v>
      </c>
      <c r="E302" s="135" t="s">
        <v>218</v>
      </c>
      <c r="F302" s="134" t="s">
        <v>240</v>
      </c>
      <c r="G302" s="136" t="str">
        <f>VLOOKUP(A302,Plano_V3!$A$26:$G$592,7,0)</f>
        <v>1. Concluído</v>
      </c>
      <c r="H302" s="136" t="s">
        <v>614</v>
      </c>
      <c r="I302" s="154"/>
      <c r="J302" s="153" t="str">
        <f>IF(VLOOKUP(A302,'Aux - pivots1'!$A:$E,3,0)=0, "",VLOOKUP(A302,'Aux - pivots1'!$A:$E,3,0))</f>
        <v/>
      </c>
      <c r="K302" s="153">
        <f>IF(VLOOKUP(A302,'Aux - pivots1'!$A:$E,4,0)=0, "",VLOOKUP(A302,'Aux - pivots1'!$A:$E,4,0))</f>
        <v>45603</v>
      </c>
      <c r="L302" s="153" t="str">
        <f>IF(VLOOKUP(A302,'Aux - pivots1'!$A:$E,5,0)=0, "",VLOOKUP(A302,'Aux - pivots1'!$A:$E,5,0))</f>
        <v/>
      </c>
      <c r="M302" s="209"/>
      <c r="N302" s="209"/>
    </row>
    <row r="303" spans="1:14" ht="16.2" hidden="1" customHeight="1" x14ac:dyDescent="0.4">
      <c r="A303" s="30" t="str">
        <f t="shared" si="7"/>
        <v>modesg_inp_emss_scibscp1_emss</v>
      </c>
      <c r="B303" s="142" t="s">
        <v>26</v>
      </c>
      <c r="C303" s="138" t="s">
        <v>181</v>
      </c>
      <c r="D303" s="134" t="s">
        <v>40</v>
      </c>
      <c r="E303" s="135" t="s">
        <v>218</v>
      </c>
      <c r="F303" s="134" t="s">
        <v>286</v>
      </c>
      <c r="G303" s="136" t="str">
        <f>VLOOKUP(A303,Plano_V3!$A$26:$G$592,7,0)</f>
        <v>1. Concluído</v>
      </c>
      <c r="H303" s="136" t="s">
        <v>614</v>
      </c>
      <c r="I303" s="143" t="s">
        <v>659</v>
      </c>
      <c r="J303" s="153">
        <f>IF(VLOOKUP(A303,'Aux - pivots1'!$A:$E,3,0)=0, "",VLOOKUP(A303,'Aux - pivots1'!$A:$E,3,0))</f>
        <v>45491</v>
      </c>
      <c r="K303" s="153">
        <f>IF(VLOOKUP(A303,'Aux - pivots1'!$A:$E,4,0)=0, "",VLOOKUP(A303,'Aux - pivots1'!$A:$E,4,0))</f>
        <v>45603</v>
      </c>
      <c r="L303" s="153">
        <f>IF(VLOOKUP(A303,'Aux - pivots1'!$A:$E,5,0)=0, "",VLOOKUP(A303,'Aux - pivots1'!$A:$E,5,0))</f>
        <v>45499</v>
      </c>
      <c r="M303" s="209"/>
      <c r="N303" s="209"/>
    </row>
    <row r="304" spans="1:14" ht="16.2" hidden="1" customHeight="1" x14ac:dyDescent="0.4">
      <c r="A304" s="30" t="str">
        <f t="shared" si="7"/>
        <v>modesg_inp_emss_scibscp2_emss</v>
      </c>
      <c r="B304" s="142" t="s">
        <v>26</v>
      </c>
      <c r="C304" s="138" t="s">
        <v>181</v>
      </c>
      <c r="D304" s="134" t="s">
        <v>40</v>
      </c>
      <c r="E304" s="135" t="s">
        <v>218</v>
      </c>
      <c r="F304" s="134" t="s">
        <v>287</v>
      </c>
      <c r="G304" s="136" t="str">
        <f>VLOOKUP(A304,Plano_V3!$A$26:$G$592,7,0)</f>
        <v>1. Concluído</v>
      </c>
      <c r="H304" s="136" t="s">
        <v>614</v>
      </c>
      <c r="I304" s="143" t="s">
        <v>659</v>
      </c>
      <c r="J304" s="153">
        <f>IF(VLOOKUP(A304,'Aux - pivots1'!$A:$E,3,0)=0, "",VLOOKUP(A304,'Aux - pivots1'!$A:$E,3,0))</f>
        <v>45491</v>
      </c>
      <c r="K304" s="153">
        <f>IF(VLOOKUP(A304,'Aux - pivots1'!$A:$E,4,0)=0, "",VLOOKUP(A304,'Aux - pivots1'!$A:$E,4,0))</f>
        <v>45603</v>
      </c>
      <c r="L304" s="153">
        <f>IF(VLOOKUP(A304,'Aux - pivots1'!$A:$E,5,0)=0, "",VLOOKUP(A304,'Aux - pivots1'!$A:$E,5,0))</f>
        <v>45499</v>
      </c>
      <c r="M304" s="209"/>
      <c r="N304" s="209"/>
    </row>
    <row r="305" spans="1:14" ht="16.2" hidden="1" customHeight="1" x14ac:dyDescent="0.4">
      <c r="A305" s="30" t="str">
        <f t="shared" si="7"/>
        <v>modesg_inp_emss_scibscp3_emss</v>
      </c>
      <c r="B305" s="142" t="s">
        <v>26</v>
      </c>
      <c r="C305" s="138" t="s">
        <v>181</v>
      </c>
      <c r="D305" s="134" t="s">
        <v>40</v>
      </c>
      <c r="E305" s="135" t="s">
        <v>218</v>
      </c>
      <c r="F305" s="134" t="s">
        <v>288</v>
      </c>
      <c r="G305" s="136" t="str">
        <f>VLOOKUP(A305,Plano_V3!$A$26:$G$592,7,0)</f>
        <v>1. Concluído</v>
      </c>
      <c r="H305" s="136" t="s">
        <v>614</v>
      </c>
      <c r="I305" s="154"/>
      <c r="J305" s="153" t="str">
        <f>IF(VLOOKUP(A305,'Aux - pivots1'!$A:$E,3,0)=0, "",VLOOKUP(A305,'Aux - pivots1'!$A:$E,3,0))</f>
        <v/>
      </c>
      <c r="K305" s="153">
        <f>IF(VLOOKUP(A305,'Aux - pivots1'!$A:$E,4,0)=0, "",VLOOKUP(A305,'Aux - pivots1'!$A:$E,4,0))</f>
        <v>45603</v>
      </c>
      <c r="L305" s="153" t="str">
        <f>IF(VLOOKUP(A305,'Aux - pivots1'!$A:$E,5,0)=0, "",VLOOKUP(A305,'Aux - pivots1'!$A:$E,5,0))</f>
        <v/>
      </c>
      <c r="M305" s="209"/>
      <c r="N305" s="209"/>
    </row>
    <row r="306" spans="1:14" ht="16.2" hidden="1" customHeight="1" x14ac:dyDescent="0.4">
      <c r="A306" s="30" t="str">
        <f t="shared" si="7"/>
        <v>modesg_inp_emss_scibscore_scp1</v>
      </c>
      <c r="B306" s="142" t="s">
        <v>26</v>
      </c>
      <c r="C306" s="138" t="s">
        <v>181</v>
      </c>
      <c r="D306" s="134" t="s">
        <v>40</v>
      </c>
      <c r="E306" s="135" t="s">
        <v>218</v>
      </c>
      <c r="F306" s="134" t="s">
        <v>289</v>
      </c>
      <c r="G306" s="136" t="str">
        <f>VLOOKUP(A306,Plano_V3!$A$26:$G$592,7,0)</f>
        <v>1. Concluído</v>
      </c>
      <c r="H306" s="136" t="s">
        <v>614</v>
      </c>
      <c r="I306" s="154"/>
      <c r="J306" s="153" t="str">
        <f>IF(VLOOKUP(A306,'Aux - pivots1'!$A:$E,3,0)=0, "",VLOOKUP(A306,'Aux - pivots1'!$A:$E,3,0))</f>
        <v/>
      </c>
      <c r="K306" s="153">
        <f>IF(VLOOKUP(A306,'Aux - pivots1'!$A:$E,4,0)=0, "",VLOOKUP(A306,'Aux - pivots1'!$A:$E,4,0))</f>
        <v>45603</v>
      </c>
      <c r="L306" s="153" t="str">
        <f>IF(VLOOKUP(A306,'Aux - pivots1'!$A:$E,5,0)=0, "",VLOOKUP(A306,'Aux - pivots1'!$A:$E,5,0))</f>
        <v/>
      </c>
      <c r="M306" s="209"/>
      <c r="N306" s="209"/>
    </row>
    <row r="307" spans="1:14" ht="16.2" hidden="1" customHeight="1" x14ac:dyDescent="0.4">
      <c r="A307" s="30" t="str">
        <f t="shared" si="7"/>
        <v>modesg_inp_emss_scibscore_scp2</v>
      </c>
      <c r="B307" s="142" t="s">
        <v>26</v>
      </c>
      <c r="C307" s="138" t="s">
        <v>181</v>
      </c>
      <c r="D307" s="134" t="s">
        <v>40</v>
      </c>
      <c r="E307" s="135" t="s">
        <v>218</v>
      </c>
      <c r="F307" s="134" t="s">
        <v>290</v>
      </c>
      <c r="G307" s="136" t="str">
        <f>VLOOKUP(A307,Plano_V3!$A$26:$G$592,7,0)</f>
        <v>1. Concluído</v>
      </c>
      <c r="H307" s="136" t="s">
        <v>614</v>
      </c>
      <c r="I307" s="154"/>
      <c r="J307" s="153" t="str">
        <f>IF(VLOOKUP(A307,'Aux - pivots1'!$A:$E,3,0)=0, "",VLOOKUP(A307,'Aux - pivots1'!$A:$E,3,0))</f>
        <v/>
      </c>
      <c r="K307" s="153">
        <f>IF(VLOOKUP(A307,'Aux - pivots1'!$A:$E,4,0)=0, "",VLOOKUP(A307,'Aux - pivots1'!$A:$E,4,0))</f>
        <v>45603</v>
      </c>
      <c r="L307" s="153" t="str">
        <f>IF(VLOOKUP(A307,'Aux - pivots1'!$A:$E,5,0)=0, "",VLOOKUP(A307,'Aux - pivots1'!$A:$E,5,0))</f>
        <v/>
      </c>
      <c r="M307" s="209"/>
      <c r="N307" s="209"/>
    </row>
    <row r="308" spans="1:14" ht="16.2" hidden="1" customHeight="1" x14ac:dyDescent="0.4">
      <c r="A308" s="30" t="str">
        <f t="shared" si="7"/>
        <v>modesg_inp_emss_scibscore_scp3</v>
      </c>
      <c r="B308" s="142" t="s">
        <v>26</v>
      </c>
      <c r="C308" s="138" t="s">
        <v>181</v>
      </c>
      <c r="D308" s="134" t="s">
        <v>40</v>
      </c>
      <c r="E308" s="135" t="s">
        <v>218</v>
      </c>
      <c r="F308" s="134" t="s">
        <v>291</v>
      </c>
      <c r="G308" s="136" t="str">
        <f>VLOOKUP(A308,Plano_V3!$A$26:$G$592,7,0)</f>
        <v>1. Concluído</v>
      </c>
      <c r="H308" s="136" t="s">
        <v>614</v>
      </c>
      <c r="I308" s="154"/>
      <c r="J308" s="153" t="str">
        <f>IF(VLOOKUP(A308,'Aux - pivots1'!$A:$E,3,0)=0, "",VLOOKUP(A308,'Aux - pivots1'!$A:$E,3,0))</f>
        <v/>
      </c>
      <c r="K308" s="153">
        <f>IF(VLOOKUP(A308,'Aux - pivots1'!$A:$E,4,0)=0, "",VLOOKUP(A308,'Aux - pivots1'!$A:$E,4,0))</f>
        <v>45603</v>
      </c>
      <c r="L308" s="153" t="str">
        <f>IF(VLOOKUP(A308,'Aux - pivots1'!$A:$E,5,0)=0, "",VLOOKUP(A308,'Aux - pivots1'!$A:$E,5,0))</f>
        <v/>
      </c>
      <c r="M308" s="209"/>
      <c r="N308" s="209"/>
    </row>
    <row r="309" spans="1:14" ht="16.2" hidden="1" customHeight="1" x14ac:dyDescent="0.4">
      <c r="A309" s="30" t="str">
        <f t="shared" si="7"/>
        <v>modesg_inp_emss_sciborigem_scp1</v>
      </c>
      <c r="B309" s="142" t="s">
        <v>26</v>
      </c>
      <c r="C309" s="138" t="s">
        <v>181</v>
      </c>
      <c r="D309" s="134" t="s">
        <v>40</v>
      </c>
      <c r="E309" s="135" t="s">
        <v>218</v>
      </c>
      <c r="F309" s="134" t="s">
        <v>292</v>
      </c>
      <c r="G309" s="136" t="str">
        <f>VLOOKUP(A309,Plano_V3!$A$26:$G$592,7,0)</f>
        <v>1. Concluído</v>
      </c>
      <c r="H309" s="136" t="s">
        <v>614</v>
      </c>
      <c r="I309" s="154"/>
      <c r="J309" s="153" t="str">
        <f>IF(VLOOKUP(A309,'Aux - pivots1'!$A:$E,3,0)=0, "",VLOOKUP(A309,'Aux - pivots1'!$A:$E,3,0))</f>
        <v/>
      </c>
      <c r="K309" s="153">
        <f>IF(VLOOKUP(A309,'Aux - pivots1'!$A:$E,4,0)=0, "",VLOOKUP(A309,'Aux - pivots1'!$A:$E,4,0))</f>
        <v>45603</v>
      </c>
      <c r="L309" s="153" t="str">
        <f>IF(VLOOKUP(A309,'Aux - pivots1'!$A:$E,5,0)=0, "",VLOOKUP(A309,'Aux - pivots1'!$A:$E,5,0))</f>
        <v/>
      </c>
      <c r="M309" s="209"/>
      <c r="N309" s="209"/>
    </row>
    <row r="310" spans="1:14" ht="16.2" hidden="1" customHeight="1" x14ac:dyDescent="0.4">
      <c r="A310" s="30" t="str">
        <f t="shared" si="7"/>
        <v>modesg_inp_emss_sciborigem_scp2</v>
      </c>
      <c r="B310" s="142" t="s">
        <v>26</v>
      </c>
      <c r="C310" s="138" t="s">
        <v>181</v>
      </c>
      <c r="D310" s="134" t="s">
        <v>40</v>
      </c>
      <c r="E310" s="135" t="s">
        <v>218</v>
      </c>
      <c r="F310" s="134" t="s">
        <v>293</v>
      </c>
      <c r="G310" s="136" t="str">
        <f>VLOOKUP(A310,Plano_V3!$A$26:$G$592,7,0)</f>
        <v>1. Concluído</v>
      </c>
      <c r="H310" s="136" t="s">
        <v>614</v>
      </c>
      <c r="I310" s="154"/>
      <c r="J310" s="153" t="str">
        <f>IF(VLOOKUP(A310,'Aux - pivots1'!$A:$E,3,0)=0, "",VLOOKUP(A310,'Aux - pivots1'!$A:$E,3,0))</f>
        <v/>
      </c>
      <c r="K310" s="153">
        <f>IF(VLOOKUP(A310,'Aux - pivots1'!$A:$E,4,0)=0, "",VLOOKUP(A310,'Aux - pivots1'!$A:$E,4,0))</f>
        <v>45603</v>
      </c>
      <c r="L310" s="153" t="str">
        <f>IF(VLOOKUP(A310,'Aux - pivots1'!$A:$E,5,0)=0, "",VLOOKUP(A310,'Aux - pivots1'!$A:$E,5,0))</f>
        <v/>
      </c>
      <c r="M310" s="209"/>
      <c r="N310" s="209"/>
    </row>
    <row r="311" spans="1:14" ht="16.2" hidden="1" customHeight="1" x14ac:dyDescent="0.4">
      <c r="A311" s="30" t="str">
        <f t="shared" si="7"/>
        <v>modesg_inp_emss_sciborigem_scp3</v>
      </c>
      <c r="B311" s="142" t="s">
        <v>26</v>
      </c>
      <c r="C311" s="138" t="s">
        <v>181</v>
      </c>
      <c r="D311" s="134" t="s">
        <v>40</v>
      </c>
      <c r="E311" s="135" t="s">
        <v>218</v>
      </c>
      <c r="F311" s="134" t="s">
        <v>294</v>
      </c>
      <c r="G311" s="136" t="str">
        <f>VLOOKUP(A311,Plano_V3!$A$26:$G$592,7,0)</f>
        <v>1. Concluído</v>
      </c>
      <c r="H311" s="136" t="s">
        <v>614</v>
      </c>
      <c r="I311" s="154"/>
      <c r="J311" s="153" t="str">
        <f>IF(VLOOKUP(A311,'Aux - pivots1'!$A:$E,3,0)=0, "",VLOOKUP(A311,'Aux - pivots1'!$A:$E,3,0))</f>
        <v/>
      </c>
      <c r="K311" s="153">
        <f>IF(VLOOKUP(A311,'Aux - pivots1'!$A:$E,4,0)=0, "",VLOOKUP(A311,'Aux - pivots1'!$A:$E,4,0))</f>
        <v>45603</v>
      </c>
      <c r="L311" s="153" t="str">
        <f>IF(VLOOKUP(A311,'Aux - pivots1'!$A:$E,5,0)=0, "",VLOOKUP(A311,'Aux - pivots1'!$A:$E,5,0))</f>
        <v/>
      </c>
      <c r="M311" s="209"/>
      <c r="N311" s="209"/>
    </row>
    <row r="312" spans="1:14" ht="16.2" hidden="1" customHeight="1" x14ac:dyDescent="0.4">
      <c r="A312" s="30" t="str">
        <f t="shared" si="7"/>
        <v>modesg_inp_emss_scibano_info</v>
      </c>
      <c r="B312" s="142" t="s">
        <v>26</v>
      </c>
      <c r="C312" s="138" t="s">
        <v>181</v>
      </c>
      <c r="D312" s="134" t="s">
        <v>40</v>
      </c>
      <c r="E312" s="135" t="s">
        <v>218</v>
      </c>
      <c r="F312" s="134" t="s">
        <v>295</v>
      </c>
      <c r="G312" s="136" t="str">
        <f>VLOOKUP(A312,Plano_V3!$A$26:$G$592,7,0)</f>
        <v>1. Concluído</v>
      </c>
      <c r="H312" s="136" t="s">
        <v>614</v>
      </c>
      <c r="I312" s="154"/>
      <c r="J312" s="153" t="str">
        <f>IF(VLOOKUP(A312,'Aux - pivots1'!$A:$E,3,0)=0, "",VLOOKUP(A312,'Aux - pivots1'!$A:$E,3,0))</f>
        <v/>
      </c>
      <c r="K312" s="153">
        <f>IF(VLOOKUP(A312,'Aux - pivots1'!$A:$E,4,0)=0, "",VLOOKUP(A312,'Aux - pivots1'!$A:$E,4,0))</f>
        <v>45603</v>
      </c>
      <c r="L312" s="153" t="str">
        <f>IF(VLOOKUP(A312,'Aux - pivots1'!$A:$E,5,0)=0, "",VLOOKUP(A312,'Aux - pivots1'!$A:$E,5,0))</f>
        <v/>
      </c>
      <c r="M312" s="209"/>
      <c r="N312" s="209"/>
    </row>
    <row r="313" spans="1:14" ht="16.2" hidden="1" customHeight="1" x14ac:dyDescent="0.4">
      <c r="A313" s="30" t="str">
        <f t="shared" si="7"/>
        <v>modesg_inp_emss_scibdivida_total</v>
      </c>
      <c r="B313" s="142" t="s">
        <v>26</v>
      </c>
      <c r="C313" s="138" t="s">
        <v>181</v>
      </c>
      <c r="D313" s="134" t="s">
        <v>40</v>
      </c>
      <c r="E313" s="135" t="s">
        <v>218</v>
      </c>
      <c r="F313" s="134" t="s">
        <v>296</v>
      </c>
      <c r="G313" s="136" t="str">
        <f>VLOOKUP(A313,Plano_V3!$A$26:$G$592,7,0)</f>
        <v>1. Concluído</v>
      </c>
      <c r="H313" s="136" t="s">
        <v>614</v>
      </c>
      <c r="I313" s="154"/>
      <c r="J313" s="153" t="str">
        <f>IF(VLOOKUP(A313,'Aux - pivots1'!$A:$E,3,0)=0, "",VLOOKUP(A313,'Aux - pivots1'!$A:$E,3,0))</f>
        <v/>
      </c>
      <c r="K313" s="153">
        <f>IF(VLOOKUP(A313,'Aux - pivots1'!$A:$E,4,0)=0, "",VLOOKUP(A313,'Aux - pivots1'!$A:$E,4,0))</f>
        <v>45603</v>
      </c>
      <c r="L313" s="153" t="str">
        <f>IF(VLOOKUP(A313,'Aux - pivots1'!$A:$E,5,0)=0, "",VLOOKUP(A313,'Aux - pivots1'!$A:$E,5,0))</f>
        <v/>
      </c>
      <c r="M313" s="209"/>
      <c r="N313" s="209"/>
    </row>
    <row r="314" spans="1:14" ht="16.2" hidden="1" customHeight="1" x14ac:dyDescent="0.4">
      <c r="A314" s="30" t="str">
        <f t="shared" si="7"/>
        <v>modesg_inp_emss_scibcapital_proprio</v>
      </c>
      <c r="B314" s="142" t="s">
        <v>26</v>
      </c>
      <c r="C314" s="138" t="s">
        <v>181</v>
      </c>
      <c r="D314" s="134" t="s">
        <v>40</v>
      </c>
      <c r="E314" s="135" t="s">
        <v>218</v>
      </c>
      <c r="F314" s="134" t="s">
        <v>297</v>
      </c>
      <c r="G314" s="136" t="str">
        <f>VLOOKUP(A314,Plano_V3!$A$26:$G$592,7,0)</f>
        <v>1. Concluído</v>
      </c>
      <c r="H314" s="136" t="s">
        <v>614</v>
      </c>
      <c r="I314" s="154"/>
      <c r="J314" s="153" t="str">
        <f>IF(VLOOKUP(A314,'Aux - pivots1'!$A:$E,3,0)=0, "",VLOOKUP(A314,'Aux - pivots1'!$A:$E,3,0))</f>
        <v/>
      </c>
      <c r="K314" s="153">
        <f>IF(VLOOKUP(A314,'Aux - pivots1'!$A:$E,4,0)=0, "",VLOOKUP(A314,'Aux - pivots1'!$A:$E,4,0))</f>
        <v>45603</v>
      </c>
      <c r="L314" s="153" t="str">
        <f>IF(VLOOKUP(A314,'Aux - pivots1'!$A:$E,5,0)=0, "",VLOOKUP(A314,'Aux - pivots1'!$A:$E,5,0))</f>
        <v/>
      </c>
      <c r="M314" s="209"/>
      <c r="N314" s="209"/>
    </row>
    <row r="315" spans="1:14" ht="16.2" hidden="1" customHeight="1" x14ac:dyDescent="0.4">
      <c r="A315" s="30" t="str">
        <f t="shared" si="7"/>
        <v>modesg_inp_emss_naceref_date</v>
      </c>
      <c r="B315" s="142" t="s">
        <v>26</v>
      </c>
      <c r="C315" s="138" t="s">
        <v>181</v>
      </c>
      <c r="D315" s="134" t="s">
        <v>40</v>
      </c>
      <c r="E315" s="135" t="s">
        <v>219</v>
      </c>
      <c r="F315" s="134" t="s">
        <v>208</v>
      </c>
      <c r="G315" s="136" t="str">
        <f>VLOOKUP(A315,Plano_V3!$A$26:$G$592,7,0)</f>
        <v>1. Concluído</v>
      </c>
      <c r="H315" s="136" t="s">
        <v>614</v>
      </c>
      <c r="I315" s="143"/>
      <c r="J315" s="153" t="str">
        <f>IF(VLOOKUP(A315,'Aux - pivots1'!$A:$E,3,0)=0, "",VLOOKUP(A315,'Aux - pivots1'!$A:$E,3,0))</f>
        <v/>
      </c>
      <c r="K315" s="153">
        <f>IF(VLOOKUP(A315,'Aux - pivots1'!$A:$E,4,0)=0, "",VLOOKUP(A315,'Aux - pivots1'!$A:$E,4,0))</f>
        <v>45603</v>
      </c>
      <c r="L315" s="153" t="str">
        <f>IF(VLOOKUP(A315,'Aux - pivots1'!$A:$E,5,0)=0, "",VLOOKUP(A315,'Aux - pivots1'!$A:$E,5,0))</f>
        <v/>
      </c>
      <c r="M315" s="209"/>
      <c r="N315" s="209"/>
    </row>
    <row r="316" spans="1:14" ht="16.2" hidden="1" customHeight="1" x14ac:dyDescent="0.4">
      <c r="A316" s="30" t="str">
        <f t="shared" si="7"/>
        <v>modesg_inp_emss_naceano</v>
      </c>
      <c r="B316" s="142" t="s">
        <v>26</v>
      </c>
      <c r="C316" s="138" t="s">
        <v>181</v>
      </c>
      <c r="D316" s="134" t="s">
        <v>40</v>
      </c>
      <c r="E316" s="135" t="s">
        <v>219</v>
      </c>
      <c r="F316" s="134" t="s">
        <v>298</v>
      </c>
      <c r="G316" s="136" t="str">
        <f>VLOOKUP(A316,Plano_V3!$A$26:$G$592,7,0)</f>
        <v>1. Concluído</v>
      </c>
      <c r="H316" s="136" t="s">
        <v>614</v>
      </c>
      <c r="I316" s="144" t="s">
        <v>658</v>
      </c>
      <c r="J316" s="153" t="str">
        <f>IF(VLOOKUP(A316,'Aux - pivots1'!$A:$E,3,0)=0, "",VLOOKUP(A316,'Aux - pivots1'!$A:$E,3,0))</f>
        <v/>
      </c>
      <c r="K316" s="153">
        <f>IF(VLOOKUP(A316,'Aux - pivots1'!$A:$E,4,0)=0, "",VLOOKUP(A316,'Aux - pivots1'!$A:$E,4,0))</f>
        <v>45603</v>
      </c>
      <c r="L316" s="153" t="str">
        <f>IF(VLOOKUP(A316,'Aux - pivots1'!$A:$E,5,0)=0, "",VLOOKUP(A316,'Aux - pivots1'!$A:$E,5,0))</f>
        <v/>
      </c>
      <c r="M316" s="209"/>
      <c r="N316" s="209"/>
    </row>
    <row r="317" spans="1:14" ht="16.2" hidden="1" customHeight="1" x14ac:dyDescent="0.4">
      <c r="A317" s="30" t="str">
        <f t="shared" si="7"/>
        <v>modesg_inp_emss_nacenome_pais</v>
      </c>
      <c r="B317" s="142" t="s">
        <v>26</v>
      </c>
      <c r="C317" s="138" t="s">
        <v>181</v>
      </c>
      <c r="D317" s="134" t="s">
        <v>40</v>
      </c>
      <c r="E317" s="135" t="s">
        <v>219</v>
      </c>
      <c r="F317" s="134" t="s">
        <v>222</v>
      </c>
      <c r="G317" s="136" t="str">
        <f>VLOOKUP(A317,Plano_V3!$A$26:$G$592,7,0)</f>
        <v>1. Concluído</v>
      </c>
      <c r="H317" s="136" t="s">
        <v>614</v>
      </c>
      <c r="I317" s="144" t="s">
        <v>658</v>
      </c>
      <c r="J317" s="153" t="str">
        <f>IF(VLOOKUP(A317,'Aux - pivots1'!$A:$E,3,0)=0, "",VLOOKUP(A317,'Aux - pivots1'!$A:$E,3,0))</f>
        <v/>
      </c>
      <c r="K317" s="153">
        <f>IF(VLOOKUP(A317,'Aux - pivots1'!$A:$E,4,0)=0, "",VLOOKUP(A317,'Aux - pivots1'!$A:$E,4,0))</f>
        <v>45603</v>
      </c>
      <c r="L317" s="153" t="str">
        <f>IF(VLOOKUP(A317,'Aux - pivots1'!$A:$E,5,0)=0, "",VLOOKUP(A317,'Aux - pivots1'!$A:$E,5,0))</f>
        <v/>
      </c>
      <c r="M317" s="209"/>
      <c r="N317" s="209"/>
    </row>
    <row r="318" spans="1:14" ht="16.2" hidden="1" customHeight="1" x14ac:dyDescent="0.4">
      <c r="A318" s="30" t="str">
        <f t="shared" si="7"/>
        <v>modesg_inp_emss_nacecod_nace_esg</v>
      </c>
      <c r="B318" s="142" t="s">
        <v>26</v>
      </c>
      <c r="C318" s="138" t="s">
        <v>181</v>
      </c>
      <c r="D318" s="134" t="s">
        <v>40</v>
      </c>
      <c r="E318" s="135" t="s">
        <v>219</v>
      </c>
      <c r="F318" s="134" t="s">
        <v>282</v>
      </c>
      <c r="G318" s="136" t="str">
        <f>VLOOKUP(A318,Plano_V3!$A$26:$G$592,7,0)</f>
        <v>1. Concluído</v>
      </c>
      <c r="H318" s="136" t="s">
        <v>614</v>
      </c>
      <c r="I318" s="143"/>
      <c r="J318" s="153" t="str">
        <f>IF(VLOOKUP(A318,'Aux - pivots1'!$A:$E,3,0)=0, "",VLOOKUP(A318,'Aux - pivots1'!$A:$E,3,0))</f>
        <v/>
      </c>
      <c r="K318" s="153">
        <f>IF(VLOOKUP(A318,'Aux - pivots1'!$A:$E,4,0)=0, "",VLOOKUP(A318,'Aux - pivots1'!$A:$E,4,0))</f>
        <v>45603</v>
      </c>
      <c r="L318" s="153" t="str">
        <f>IF(VLOOKUP(A318,'Aux - pivots1'!$A:$E,5,0)=0, "",VLOOKUP(A318,'Aux - pivots1'!$A:$E,5,0))</f>
        <v/>
      </c>
      <c r="M318" s="209"/>
      <c r="N318" s="209"/>
    </row>
    <row r="319" spans="1:14" ht="16.2" hidden="1" customHeight="1" x14ac:dyDescent="0.4">
      <c r="A319" s="30" t="str">
        <f t="shared" si="7"/>
        <v>modesg_inp_emss_nacecod_class_indust</v>
      </c>
      <c r="B319" s="142" t="s">
        <v>26</v>
      </c>
      <c r="C319" s="138" t="s">
        <v>181</v>
      </c>
      <c r="D319" s="134" t="s">
        <v>40</v>
      </c>
      <c r="E319" s="135" t="s">
        <v>219</v>
      </c>
      <c r="F319" s="134" t="s">
        <v>299</v>
      </c>
      <c r="G319" s="136" t="str">
        <f>VLOOKUP(A319,Plano_V3!$A$26:$G$592,7,0)</f>
        <v>1. Concluído</v>
      </c>
      <c r="H319" s="136" t="s">
        <v>614</v>
      </c>
      <c r="I319" s="143"/>
      <c r="J319" s="153" t="str">
        <f>IF(VLOOKUP(A319,'Aux - pivots1'!$A:$E,3,0)=0, "",VLOOKUP(A319,'Aux - pivots1'!$A:$E,3,0))</f>
        <v/>
      </c>
      <c r="K319" s="153">
        <f>IF(VLOOKUP(A319,'Aux - pivots1'!$A:$E,4,0)=0, "",VLOOKUP(A319,'Aux - pivots1'!$A:$E,4,0))</f>
        <v>45603</v>
      </c>
      <c r="L319" s="153" t="str">
        <f>IF(VLOOKUP(A319,'Aux - pivots1'!$A:$E,5,0)=0, "",VLOOKUP(A319,'Aux - pivots1'!$A:$E,5,0))</f>
        <v/>
      </c>
      <c r="M319" s="209"/>
      <c r="N319" s="209"/>
    </row>
    <row r="320" spans="1:14" ht="16.2" hidden="1" customHeight="1" x14ac:dyDescent="0.4">
      <c r="A320" s="30" t="str">
        <f t="shared" si="7"/>
        <v>modesg_inp_emss_nacenivel_classificacao_1</v>
      </c>
      <c r="B320" s="142" t="s">
        <v>26</v>
      </c>
      <c r="C320" s="138" t="s">
        <v>181</v>
      </c>
      <c r="D320" s="134" t="s">
        <v>40</v>
      </c>
      <c r="E320" s="135" t="s">
        <v>219</v>
      </c>
      <c r="F320" s="134" t="s">
        <v>300</v>
      </c>
      <c r="G320" s="136" t="str">
        <f>VLOOKUP(A320,Plano_V3!$A$26:$G$592,7,0)</f>
        <v>1. Concluído</v>
      </c>
      <c r="H320" s="136" t="s">
        <v>614</v>
      </c>
      <c r="I320" s="144" t="s">
        <v>658</v>
      </c>
      <c r="J320" s="153" t="str">
        <f>IF(VLOOKUP(A320,'Aux - pivots1'!$A:$E,3,0)=0, "",VLOOKUP(A320,'Aux - pivots1'!$A:$E,3,0))</f>
        <v/>
      </c>
      <c r="K320" s="153">
        <f>IF(VLOOKUP(A320,'Aux - pivots1'!$A:$E,4,0)=0, "",VLOOKUP(A320,'Aux - pivots1'!$A:$E,4,0))</f>
        <v>45603</v>
      </c>
      <c r="L320" s="153" t="str">
        <f>IF(VLOOKUP(A320,'Aux - pivots1'!$A:$E,5,0)=0, "",VLOOKUP(A320,'Aux - pivots1'!$A:$E,5,0))</f>
        <v/>
      </c>
      <c r="M320" s="209"/>
      <c r="N320" s="209"/>
    </row>
    <row r="321" spans="1:14" ht="16.2" hidden="1" customHeight="1" x14ac:dyDescent="0.4">
      <c r="A321" s="30" t="str">
        <f t="shared" si="7"/>
        <v>modesg_inp_emss_naceclasse_ativo</v>
      </c>
      <c r="B321" s="142" t="s">
        <v>26</v>
      </c>
      <c r="C321" s="138" t="s">
        <v>181</v>
      </c>
      <c r="D321" s="134" t="s">
        <v>40</v>
      </c>
      <c r="E321" s="135" t="s">
        <v>219</v>
      </c>
      <c r="F321" s="134" t="s">
        <v>301</v>
      </c>
      <c r="G321" s="136" t="str">
        <f>VLOOKUP(A321,Plano_V3!$A$26:$G$592,7,0)</f>
        <v>1. Concluído</v>
      </c>
      <c r="H321" s="136" t="s">
        <v>614</v>
      </c>
      <c r="I321" s="144" t="s">
        <v>658</v>
      </c>
      <c r="J321" s="153" t="str">
        <f>IF(VLOOKUP(A321,'Aux - pivots1'!$A:$E,3,0)=0, "",VLOOKUP(A321,'Aux - pivots1'!$A:$E,3,0))</f>
        <v/>
      </c>
      <c r="K321" s="153">
        <f>IF(VLOOKUP(A321,'Aux - pivots1'!$A:$E,4,0)=0, "",VLOOKUP(A321,'Aux - pivots1'!$A:$E,4,0))</f>
        <v>45603</v>
      </c>
      <c r="L321" s="153" t="str">
        <f>IF(VLOOKUP(A321,'Aux - pivots1'!$A:$E,5,0)=0, "",VLOOKUP(A321,'Aux - pivots1'!$A:$E,5,0))</f>
        <v/>
      </c>
      <c r="M321" s="209"/>
      <c r="N321" s="209"/>
    </row>
    <row r="322" spans="1:14" ht="16.2" hidden="1" customHeight="1" x14ac:dyDescent="0.4">
      <c r="A322" s="30" t="str">
        <f t="shared" si="7"/>
        <v>modesg_inp_emss_naceopcao_metodologia</v>
      </c>
      <c r="B322" s="142" t="s">
        <v>26</v>
      </c>
      <c r="C322" s="138" t="s">
        <v>181</v>
      </c>
      <c r="D322" s="134" t="s">
        <v>40</v>
      </c>
      <c r="E322" s="135" t="s">
        <v>219</v>
      </c>
      <c r="F322" s="134" t="s">
        <v>302</v>
      </c>
      <c r="G322" s="136" t="str">
        <f>VLOOKUP(A322,Plano_V3!$A$26:$G$592,7,0)</f>
        <v>1. Concluído</v>
      </c>
      <c r="H322" s="136" t="s">
        <v>614</v>
      </c>
      <c r="I322" s="144" t="s">
        <v>658</v>
      </c>
      <c r="J322" s="153" t="str">
        <f>IF(VLOOKUP(A322,'Aux - pivots1'!$A:$E,3,0)=0, "",VLOOKUP(A322,'Aux - pivots1'!$A:$E,3,0))</f>
        <v/>
      </c>
      <c r="K322" s="153">
        <f>IF(VLOOKUP(A322,'Aux - pivots1'!$A:$E,4,0)=0, "",VLOOKUP(A322,'Aux - pivots1'!$A:$E,4,0))</f>
        <v>45603</v>
      </c>
      <c r="L322" s="153" t="str">
        <f>IF(VLOOKUP(A322,'Aux - pivots1'!$A:$E,5,0)=0, "",VLOOKUP(A322,'Aux - pivots1'!$A:$E,5,0))</f>
        <v/>
      </c>
      <c r="M322" s="209"/>
      <c r="N322" s="209"/>
    </row>
    <row r="323" spans="1:14" ht="16.2" hidden="1" customHeight="1" x14ac:dyDescent="0.4">
      <c r="A323" s="30" t="str">
        <f t="shared" si="7"/>
        <v>modesg_inp_emss_naceunidade_funcional</v>
      </c>
      <c r="B323" s="142" t="s">
        <v>26</v>
      </c>
      <c r="C323" s="138" t="s">
        <v>181</v>
      </c>
      <c r="D323" s="134" t="s">
        <v>40</v>
      </c>
      <c r="E323" s="135" t="s">
        <v>219</v>
      </c>
      <c r="F323" s="134" t="s">
        <v>230</v>
      </c>
      <c r="G323" s="136" t="str">
        <f>VLOOKUP(A323,Plano_V3!$A$26:$G$592,7,0)</f>
        <v>1. Concluído</v>
      </c>
      <c r="H323" s="136" t="s">
        <v>614</v>
      </c>
      <c r="I323" s="143"/>
      <c r="J323" s="153" t="str">
        <f>IF(VLOOKUP(A323,'Aux - pivots1'!$A:$E,3,0)=0, "",VLOOKUP(A323,'Aux - pivots1'!$A:$E,3,0))</f>
        <v/>
      </c>
      <c r="K323" s="153">
        <f>IF(VLOOKUP(A323,'Aux - pivots1'!$A:$E,4,0)=0, "",VLOOKUP(A323,'Aux - pivots1'!$A:$E,4,0))</f>
        <v>45603</v>
      </c>
      <c r="L323" s="153" t="str">
        <f>IF(VLOOKUP(A323,'Aux - pivots1'!$A:$E,5,0)=0, "",VLOOKUP(A323,'Aux - pivots1'!$A:$E,5,0))</f>
        <v/>
      </c>
      <c r="M323" s="209"/>
      <c r="N323" s="209"/>
    </row>
    <row r="324" spans="1:14" ht="16.2" hidden="1" customHeight="1" x14ac:dyDescent="0.4">
      <c r="A324" s="30" t="str">
        <f t="shared" si="7"/>
        <v>modesg_inp_emss_naceunidades_fator_de_emissao</v>
      </c>
      <c r="B324" s="142" t="s">
        <v>26</v>
      </c>
      <c r="C324" s="138" t="s">
        <v>181</v>
      </c>
      <c r="D324" s="134" t="s">
        <v>40</v>
      </c>
      <c r="E324" s="135" t="s">
        <v>219</v>
      </c>
      <c r="F324" s="134" t="s">
        <v>303</v>
      </c>
      <c r="G324" s="136" t="str">
        <f>VLOOKUP(A324,Plano_V3!$A$26:$G$592,7,0)</f>
        <v>1. Concluído</v>
      </c>
      <c r="H324" s="136" t="s">
        <v>614</v>
      </c>
      <c r="I324" s="143"/>
      <c r="J324" s="153" t="str">
        <f>IF(VLOOKUP(A324,'Aux - pivots1'!$A:$E,3,0)=0, "",VLOOKUP(A324,'Aux - pivots1'!$A:$E,3,0))</f>
        <v/>
      </c>
      <c r="K324" s="153">
        <f>IF(VLOOKUP(A324,'Aux - pivots1'!$A:$E,4,0)=0, "",VLOOKUP(A324,'Aux - pivots1'!$A:$E,4,0))</f>
        <v>45603</v>
      </c>
      <c r="L324" s="153" t="str">
        <f>IF(VLOOKUP(A324,'Aux - pivots1'!$A:$E,5,0)=0, "",VLOOKUP(A324,'Aux - pivots1'!$A:$E,5,0))</f>
        <v/>
      </c>
      <c r="M324" s="209"/>
      <c r="N324" s="209"/>
    </row>
    <row r="325" spans="1:14" ht="16.2" hidden="1" customHeight="1" x14ac:dyDescent="0.4">
      <c r="A325" s="30" t="str">
        <f t="shared" si="7"/>
        <v>modesg_inp_emss_nacescore_qualidade</v>
      </c>
      <c r="B325" s="142" t="s">
        <v>26</v>
      </c>
      <c r="C325" s="138" t="s">
        <v>181</v>
      </c>
      <c r="D325" s="134" t="s">
        <v>40</v>
      </c>
      <c r="E325" s="135" t="s">
        <v>219</v>
      </c>
      <c r="F325" s="134" t="s">
        <v>233</v>
      </c>
      <c r="G325" s="136" t="str">
        <f>VLOOKUP(A325,Plano_V3!$A$26:$G$592,7,0)</f>
        <v>1. Concluído</v>
      </c>
      <c r="H325" s="136" t="s">
        <v>614</v>
      </c>
      <c r="I325" s="143"/>
      <c r="J325" s="153" t="str">
        <f>IF(VLOOKUP(A325,'Aux - pivots1'!$A:$E,3,0)=0, "",VLOOKUP(A325,'Aux - pivots1'!$A:$E,3,0))</f>
        <v/>
      </c>
      <c r="K325" s="153">
        <f>IF(VLOOKUP(A325,'Aux - pivots1'!$A:$E,4,0)=0, "",VLOOKUP(A325,'Aux - pivots1'!$A:$E,4,0))</f>
        <v>45603</v>
      </c>
      <c r="L325" s="153" t="str">
        <f>IF(VLOOKUP(A325,'Aux - pivots1'!$A:$E,5,0)=0, "",VLOOKUP(A325,'Aux - pivots1'!$A:$E,5,0))</f>
        <v/>
      </c>
      <c r="M325" s="209"/>
      <c r="N325" s="209"/>
    </row>
    <row r="326" spans="1:14" ht="16.2" hidden="1" customHeight="1" x14ac:dyDescent="0.4">
      <c r="A326" s="30" t="str">
        <f t="shared" si="7"/>
        <v>modesg_inp_emss_nacescp1_ftr_emss</v>
      </c>
      <c r="B326" s="142" t="s">
        <v>26</v>
      </c>
      <c r="C326" s="138" t="s">
        <v>181</v>
      </c>
      <c r="D326" s="134" t="s">
        <v>40</v>
      </c>
      <c r="E326" s="135" t="s">
        <v>219</v>
      </c>
      <c r="F326" s="134" t="s">
        <v>234</v>
      </c>
      <c r="G326" s="136" t="str">
        <f>VLOOKUP(A326,Plano_V3!$A$26:$G$592,7,0)</f>
        <v>1. Concluído</v>
      </c>
      <c r="H326" s="136" t="s">
        <v>614</v>
      </c>
      <c r="I326" s="143"/>
      <c r="J326" s="153" t="str">
        <f>IF(VLOOKUP(A326,'Aux - pivots1'!$A:$E,3,0)=0, "",VLOOKUP(A326,'Aux - pivots1'!$A:$E,3,0))</f>
        <v/>
      </c>
      <c r="K326" s="153">
        <f>IF(VLOOKUP(A326,'Aux - pivots1'!$A:$E,4,0)=0, "",VLOOKUP(A326,'Aux - pivots1'!$A:$E,4,0))</f>
        <v>45603</v>
      </c>
      <c r="L326" s="153" t="str">
        <f>IF(VLOOKUP(A326,'Aux - pivots1'!$A:$E,5,0)=0, "",VLOOKUP(A326,'Aux - pivots1'!$A:$E,5,0))</f>
        <v/>
      </c>
      <c r="M326" s="209"/>
      <c r="N326" s="209"/>
    </row>
    <row r="327" spans="1:14" ht="16.2" hidden="1" customHeight="1" x14ac:dyDescent="0.4">
      <c r="A327" s="30" t="str">
        <f t="shared" si="7"/>
        <v>modesg_inp_emss_nacescp2_ftr_emss</v>
      </c>
      <c r="B327" s="142" t="s">
        <v>26</v>
      </c>
      <c r="C327" s="138" t="s">
        <v>181</v>
      </c>
      <c r="D327" s="134" t="s">
        <v>40</v>
      </c>
      <c r="E327" s="135" t="s">
        <v>219</v>
      </c>
      <c r="F327" s="134" t="s">
        <v>235</v>
      </c>
      <c r="G327" s="136" t="str">
        <f>VLOOKUP(A327,Plano_V3!$A$26:$G$592,7,0)</f>
        <v>1. Concluído</v>
      </c>
      <c r="H327" s="136" t="s">
        <v>614</v>
      </c>
      <c r="I327" s="143"/>
      <c r="J327" s="153" t="str">
        <f>IF(VLOOKUP(A327,'Aux - pivots1'!$A:$E,3,0)=0, "",VLOOKUP(A327,'Aux - pivots1'!$A:$E,3,0))</f>
        <v/>
      </c>
      <c r="K327" s="153">
        <f>IF(VLOOKUP(A327,'Aux - pivots1'!$A:$E,4,0)=0, "",VLOOKUP(A327,'Aux - pivots1'!$A:$E,4,0))</f>
        <v>45603</v>
      </c>
      <c r="L327" s="153" t="str">
        <f>IF(VLOOKUP(A327,'Aux - pivots1'!$A:$E,5,0)=0, "",VLOOKUP(A327,'Aux - pivots1'!$A:$E,5,0))</f>
        <v/>
      </c>
      <c r="M327" s="209"/>
      <c r="N327" s="209"/>
    </row>
    <row r="328" spans="1:14" ht="16.2" hidden="1" customHeight="1" x14ac:dyDescent="0.4">
      <c r="A328" s="30" t="str">
        <f t="shared" si="7"/>
        <v>modesg_inp_emss_nacescp3_ftr_emss</v>
      </c>
      <c r="B328" s="142" t="s">
        <v>26</v>
      </c>
      <c r="C328" s="138" t="s">
        <v>181</v>
      </c>
      <c r="D328" s="134" t="s">
        <v>40</v>
      </c>
      <c r="E328" s="135" t="s">
        <v>219</v>
      </c>
      <c r="F328" s="134" t="s">
        <v>236</v>
      </c>
      <c r="G328" s="136" t="str">
        <f>VLOOKUP(A328,Plano_V3!$A$26:$G$592,7,0)</f>
        <v>1. Concluído</v>
      </c>
      <c r="H328" s="136" t="s">
        <v>614</v>
      </c>
      <c r="I328" s="143"/>
      <c r="J328" s="153" t="str">
        <f>IF(VLOOKUP(A328,'Aux - pivots1'!$A:$E,3,0)=0, "",VLOOKUP(A328,'Aux - pivots1'!$A:$E,3,0))</f>
        <v/>
      </c>
      <c r="K328" s="153">
        <f>IF(VLOOKUP(A328,'Aux - pivots1'!$A:$E,4,0)=0, "",VLOOKUP(A328,'Aux - pivots1'!$A:$E,4,0))</f>
        <v>45603</v>
      </c>
      <c r="L328" s="153" t="str">
        <f>IF(VLOOKUP(A328,'Aux - pivots1'!$A:$E,5,0)=0, "",VLOOKUP(A328,'Aux - pivots1'!$A:$E,5,0))</f>
        <v/>
      </c>
      <c r="M328" s="209"/>
      <c r="N328" s="209"/>
    </row>
    <row r="329" spans="1:14" ht="16.2" hidden="1" customHeight="1" x14ac:dyDescent="0.4">
      <c r="A329" s="30" t="str">
        <f t="shared" si="7"/>
        <v>modesg_inp_emss_bens_imoveisref_date</v>
      </c>
      <c r="B329" s="142" t="s">
        <v>26</v>
      </c>
      <c r="C329" s="138" t="s">
        <v>181</v>
      </c>
      <c r="D329" s="134" t="s">
        <v>40</v>
      </c>
      <c r="E329" s="135" t="s">
        <v>220</v>
      </c>
      <c r="F329" s="134" t="s">
        <v>208</v>
      </c>
      <c r="G329" s="136" t="str">
        <f>VLOOKUP(A329,Plano_V3!$A$26:$G$592,7,0)</f>
        <v>1. Concluído</v>
      </c>
      <c r="H329" s="136" t="s">
        <v>614</v>
      </c>
      <c r="I329" s="143"/>
      <c r="J329" s="153" t="str">
        <f>IF(VLOOKUP(A329,'Aux - pivots1'!$A:$E,3,0)=0, "",VLOOKUP(A329,'Aux - pivots1'!$A:$E,3,0))</f>
        <v/>
      </c>
      <c r="K329" s="153">
        <f>IF(VLOOKUP(A329,'Aux - pivots1'!$A:$E,4,0)=0, "",VLOOKUP(A329,'Aux - pivots1'!$A:$E,4,0))</f>
        <v>45603</v>
      </c>
      <c r="L329" s="153">
        <f>IF(VLOOKUP(A329,'Aux - pivots1'!$A:$E,5,0)=0, "",VLOOKUP(A329,'Aux - pivots1'!$A:$E,5,0))</f>
        <v>45534</v>
      </c>
      <c r="M329" s="209"/>
      <c r="N329" s="209"/>
    </row>
    <row r="330" spans="1:14" ht="16.2" hidden="1" customHeight="1" x14ac:dyDescent="0.4">
      <c r="A330" s="30" t="str">
        <f t="shared" si="7"/>
        <v>modesg_inp_emss_bens_imoveisnome_pais</v>
      </c>
      <c r="B330" s="142" t="s">
        <v>26</v>
      </c>
      <c r="C330" s="138" t="s">
        <v>181</v>
      </c>
      <c r="D330" s="134" t="s">
        <v>40</v>
      </c>
      <c r="E330" s="135" t="s">
        <v>220</v>
      </c>
      <c r="F330" s="134" t="s">
        <v>222</v>
      </c>
      <c r="G330" s="136" t="str">
        <f>VLOOKUP(A330,Plano_V3!$A$26:$G$592,7,0)</f>
        <v>1. Concluído</v>
      </c>
      <c r="H330" s="136" t="s">
        <v>614</v>
      </c>
      <c r="I330" s="143"/>
      <c r="J330" s="153" t="str">
        <f>IF(VLOOKUP(A330,'Aux - pivots1'!$A:$E,3,0)=0, "",VLOOKUP(A330,'Aux - pivots1'!$A:$E,3,0))</f>
        <v/>
      </c>
      <c r="K330" s="153">
        <f>IF(VLOOKUP(A330,'Aux - pivots1'!$A:$E,4,0)=0, "",VLOOKUP(A330,'Aux - pivots1'!$A:$E,4,0))</f>
        <v>45603</v>
      </c>
      <c r="L330" s="153">
        <f>IF(VLOOKUP(A330,'Aux - pivots1'!$A:$E,5,0)=0, "",VLOOKUP(A330,'Aux - pivots1'!$A:$E,5,0))</f>
        <v>45534</v>
      </c>
      <c r="M330" s="209"/>
      <c r="N330" s="209"/>
    </row>
    <row r="331" spans="1:14" ht="16.2" hidden="1" customHeight="1" x14ac:dyDescent="0.4">
      <c r="A331" s="30" t="str">
        <f t="shared" si="7"/>
        <v>modesg_inp_emss_bens_imoveisnome_estado</v>
      </c>
      <c r="B331" s="142" t="s">
        <v>26</v>
      </c>
      <c r="C331" s="138" t="s">
        <v>181</v>
      </c>
      <c r="D331" s="134" t="s">
        <v>40</v>
      </c>
      <c r="E331" s="135" t="s">
        <v>220</v>
      </c>
      <c r="F331" s="134" t="s">
        <v>223</v>
      </c>
      <c r="G331" s="136" t="str">
        <f>VLOOKUP(A331,Plano_V3!$A$26:$G$592,7,0)</f>
        <v>1. Concluído</v>
      </c>
      <c r="H331" s="136" t="s">
        <v>614</v>
      </c>
      <c r="I331" s="143"/>
      <c r="J331" s="153" t="str">
        <f>IF(VLOOKUP(A331,'Aux - pivots1'!$A:$E,3,0)=0, "",VLOOKUP(A331,'Aux - pivots1'!$A:$E,3,0))</f>
        <v/>
      </c>
      <c r="K331" s="153">
        <f>IF(VLOOKUP(A331,'Aux - pivots1'!$A:$E,4,0)=0, "",VLOOKUP(A331,'Aux - pivots1'!$A:$E,4,0))</f>
        <v>45603</v>
      </c>
      <c r="L331" s="153">
        <f>IF(VLOOKUP(A331,'Aux - pivots1'!$A:$E,5,0)=0, "",VLOOKUP(A331,'Aux - pivots1'!$A:$E,5,0))</f>
        <v>45534</v>
      </c>
      <c r="M331" s="209"/>
      <c r="N331" s="209"/>
    </row>
    <row r="332" spans="1:14" ht="16.2" hidden="1" customHeight="1" x14ac:dyDescent="0.4">
      <c r="A332" s="30" t="str">
        <f t="shared" si="7"/>
        <v>modesg_inp_emss_bens_imoveisclasse_ativo</v>
      </c>
      <c r="B332" s="142" t="s">
        <v>26</v>
      </c>
      <c r="C332" s="138" t="s">
        <v>181</v>
      </c>
      <c r="D332" s="134" t="s">
        <v>40</v>
      </c>
      <c r="E332" s="135" t="s">
        <v>220</v>
      </c>
      <c r="F332" s="134" t="s">
        <v>301</v>
      </c>
      <c r="G332" s="136" t="str">
        <f>VLOOKUP(A332,Plano_V3!$A$26:$G$592,7,0)</f>
        <v>1. Concluído</v>
      </c>
      <c r="H332" s="136" t="s">
        <v>614</v>
      </c>
      <c r="I332" s="144" t="s">
        <v>658</v>
      </c>
      <c r="J332" s="153" t="str">
        <f>IF(VLOOKUP(A332,'Aux - pivots1'!$A:$E,3,0)=0, "",VLOOKUP(A332,'Aux - pivots1'!$A:$E,3,0))</f>
        <v/>
      </c>
      <c r="K332" s="153">
        <f>IF(VLOOKUP(A332,'Aux - pivots1'!$A:$E,4,0)=0, "",VLOOKUP(A332,'Aux - pivots1'!$A:$E,4,0))</f>
        <v>45603</v>
      </c>
      <c r="L332" s="153">
        <f>IF(VLOOKUP(A332,'Aux - pivots1'!$A:$E,5,0)=0, "",VLOOKUP(A332,'Aux - pivots1'!$A:$E,5,0))</f>
        <v>45534</v>
      </c>
      <c r="M332" s="209"/>
      <c r="N332" s="209"/>
    </row>
    <row r="333" spans="1:14" ht="16.2" hidden="1" customHeight="1" x14ac:dyDescent="0.4">
      <c r="A333" s="30" t="str">
        <f t="shared" si="7"/>
        <v>modesg_inp_emss_bens_imoveistipo_fator_emissao</v>
      </c>
      <c r="B333" s="142" t="s">
        <v>26</v>
      </c>
      <c r="C333" s="138" t="s">
        <v>181</v>
      </c>
      <c r="D333" s="134" t="s">
        <v>40</v>
      </c>
      <c r="E333" s="135" t="s">
        <v>220</v>
      </c>
      <c r="F333" s="134" t="s">
        <v>304</v>
      </c>
      <c r="G333" s="136" t="str">
        <f>VLOOKUP(A333,Plano_V3!$A$26:$G$592,7,0)</f>
        <v>1. Concluído</v>
      </c>
      <c r="H333" s="136" t="s">
        <v>614</v>
      </c>
      <c r="I333" s="144" t="s">
        <v>658</v>
      </c>
      <c r="J333" s="153" t="str">
        <f>IF(VLOOKUP(A333,'Aux - pivots1'!$A:$E,3,0)=0, "",VLOOKUP(A333,'Aux - pivots1'!$A:$E,3,0))</f>
        <v/>
      </c>
      <c r="K333" s="153">
        <f>IF(VLOOKUP(A333,'Aux - pivots1'!$A:$E,4,0)=0, "",VLOOKUP(A333,'Aux - pivots1'!$A:$E,4,0))</f>
        <v>45603</v>
      </c>
      <c r="L333" s="153">
        <f>IF(VLOOKUP(A333,'Aux - pivots1'!$A:$E,5,0)=0, "",VLOOKUP(A333,'Aux - pivots1'!$A:$E,5,0))</f>
        <v>45534</v>
      </c>
      <c r="M333" s="209"/>
      <c r="N333" s="209"/>
    </row>
    <row r="334" spans="1:14" ht="16.2" hidden="1" customHeight="1" x14ac:dyDescent="0.4">
      <c r="A334" s="30" t="str">
        <f t="shared" si="7"/>
        <v>modesg_inp_emss_bens_imoveisregiao</v>
      </c>
      <c r="B334" s="142" t="s">
        <v>26</v>
      </c>
      <c r="C334" s="138" t="s">
        <v>181</v>
      </c>
      <c r="D334" s="134" t="s">
        <v>40</v>
      </c>
      <c r="E334" s="135" t="s">
        <v>220</v>
      </c>
      <c r="F334" s="134" t="s">
        <v>305</v>
      </c>
      <c r="G334" s="136" t="str">
        <f>VLOOKUP(A334,Plano_V3!$A$26:$G$592,7,0)</f>
        <v>1. Concluído</v>
      </c>
      <c r="H334" s="136" t="s">
        <v>614</v>
      </c>
      <c r="I334" s="144" t="s">
        <v>658</v>
      </c>
      <c r="J334" s="153" t="str">
        <f>IF(VLOOKUP(A334,'Aux - pivots1'!$A:$E,3,0)=0, "",VLOOKUP(A334,'Aux - pivots1'!$A:$E,3,0))</f>
        <v/>
      </c>
      <c r="K334" s="153">
        <f>IF(VLOOKUP(A334,'Aux - pivots1'!$A:$E,4,0)=0, "",VLOOKUP(A334,'Aux - pivots1'!$A:$E,4,0))</f>
        <v>45603</v>
      </c>
      <c r="L334" s="153">
        <f>IF(VLOOKUP(A334,'Aux - pivots1'!$A:$E,5,0)=0, "",VLOOKUP(A334,'Aux - pivots1'!$A:$E,5,0))</f>
        <v>45534</v>
      </c>
      <c r="M334" s="209"/>
      <c r="N334" s="209"/>
    </row>
    <row r="335" spans="1:14" ht="16.2" hidden="1" customHeight="1" x14ac:dyDescent="0.4">
      <c r="A335" s="30" t="str">
        <f t="shared" si="7"/>
        <v>modesg_inp_emss_bens_imoveistipo_bem</v>
      </c>
      <c r="B335" s="142" t="s">
        <v>26</v>
      </c>
      <c r="C335" s="138" t="s">
        <v>181</v>
      </c>
      <c r="D335" s="134" t="s">
        <v>40</v>
      </c>
      <c r="E335" s="135" t="s">
        <v>220</v>
      </c>
      <c r="F335" s="134" t="s">
        <v>306</v>
      </c>
      <c r="G335" s="136" t="str">
        <f>VLOOKUP(A335,Plano_V3!$A$26:$G$592,7,0)</f>
        <v>1. Concluído</v>
      </c>
      <c r="H335" s="136" t="s">
        <v>614</v>
      </c>
      <c r="I335" s="143"/>
      <c r="J335" s="153" t="str">
        <f>IF(VLOOKUP(A335,'Aux - pivots1'!$A:$E,3,0)=0, "",VLOOKUP(A335,'Aux - pivots1'!$A:$E,3,0))</f>
        <v/>
      </c>
      <c r="K335" s="153">
        <f>IF(VLOOKUP(A335,'Aux - pivots1'!$A:$E,4,0)=0, "",VLOOKUP(A335,'Aux - pivots1'!$A:$E,4,0))</f>
        <v>45603</v>
      </c>
      <c r="L335" s="153">
        <f>IF(VLOOKUP(A335,'Aux - pivots1'!$A:$E,5,0)=0, "",VLOOKUP(A335,'Aux - pivots1'!$A:$E,5,0))</f>
        <v>45534</v>
      </c>
      <c r="M335" s="209"/>
      <c r="N335" s="209"/>
    </row>
    <row r="336" spans="1:14" ht="16.2" hidden="1" customHeight="1" x14ac:dyDescent="0.4">
      <c r="A336" s="30" t="str">
        <f t="shared" si="7"/>
        <v>modesg_inp_emss_bens_imoveistipo_finalidade_bem</v>
      </c>
      <c r="B336" s="142" t="s">
        <v>26</v>
      </c>
      <c r="C336" s="138" t="s">
        <v>181</v>
      </c>
      <c r="D336" s="134" t="s">
        <v>40</v>
      </c>
      <c r="E336" s="135" t="s">
        <v>220</v>
      </c>
      <c r="F336" s="134" t="s">
        <v>307</v>
      </c>
      <c r="G336" s="136" t="str">
        <f>VLOOKUP(A336,Plano_V3!$A$26:$G$592,7,0)</f>
        <v>1. Concluído</v>
      </c>
      <c r="H336" s="136" t="s">
        <v>614</v>
      </c>
      <c r="I336" s="143"/>
      <c r="J336" s="153" t="str">
        <f>IF(VLOOKUP(A336,'Aux - pivots1'!$A:$E,3,0)=0, "",VLOOKUP(A336,'Aux - pivots1'!$A:$E,3,0))</f>
        <v/>
      </c>
      <c r="K336" s="153">
        <f>IF(VLOOKUP(A336,'Aux - pivots1'!$A:$E,4,0)=0, "",VLOOKUP(A336,'Aux - pivots1'!$A:$E,4,0))</f>
        <v>45603</v>
      </c>
      <c r="L336" s="153">
        <f>IF(VLOOKUP(A336,'Aux - pivots1'!$A:$E,5,0)=0, "",VLOOKUP(A336,'Aux - pivots1'!$A:$E,5,0))</f>
        <v>45534</v>
      </c>
      <c r="M336" s="209"/>
      <c r="N336" s="209"/>
    </row>
    <row r="337" spans="1:14" ht="16.2" hidden="1" customHeight="1" x14ac:dyDescent="0.4">
      <c r="A337" s="30" t="str">
        <f t="shared" si="7"/>
        <v>modesg_inp_emss_bens_imoveisepc</v>
      </c>
      <c r="B337" s="142" t="s">
        <v>26</v>
      </c>
      <c r="C337" s="138" t="s">
        <v>181</v>
      </c>
      <c r="D337" s="134" t="s">
        <v>40</v>
      </c>
      <c r="E337" s="135" t="s">
        <v>220</v>
      </c>
      <c r="F337" s="134" t="s">
        <v>198</v>
      </c>
      <c r="G337" s="136" t="str">
        <f>VLOOKUP(A337,Plano_V3!$A$26:$G$592,7,0)</f>
        <v>1. Concluído</v>
      </c>
      <c r="H337" s="136" t="s">
        <v>614</v>
      </c>
      <c r="I337" s="143"/>
      <c r="J337" s="153" t="str">
        <f>IF(VLOOKUP(A337,'Aux - pivots1'!$A:$E,3,0)=0, "",VLOOKUP(A337,'Aux - pivots1'!$A:$E,3,0))</f>
        <v/>
      </c>
      <c r="K337" s="153">
        <f>IF(VLOOKUP(A337,'Aux - pivots1'!$A:$E,4,0)=0, "",VLOOKUP(A337,'Aux - pivots1'!$A:$E,4,0))</f>
        <v>45603</v>
      </c>
      <c r="L337" s="153">
        <f>IF(VLOOKUP(A337,'Aux - pivots1'!$A:$E,5,0)=0, "",VLOOKUP(A337,'Aux - pivots1'!$A:$E,5,0))</f>
        <v>45534</v>
      </c>
      <c r="M337" s="209"/>
      <c r="N337" s="209"/>
    </row>
    <row r="338" spans="1:14" ht="16.2" hidden="1" customHeight="1" x14ac:dyDescent="0.4">
      <c r="A338" s="30" t="str">
        <f t="shared" si="7"/>
        <v>modesg_inp_emss_bens_imoveisflg_ftr_emss_area</v>
      </c>
      <c r="B338" s="142" t="s">
        <v>26</v>
      </c>
      <c r="C338" s="138" t="s">
        <v>181</v>
      </c>
      <c r="D338" s="134" t="s">
        <v>40</v>
      </c>
      <c r="E338" s="135" t="s">
        <v>220</v>
      </c>
      <c r="F338" s="134" t="s">
        <v>308</v>
      </c>
      <c r="G338" s="136" t="str">
        <f>VLOOKUP(A338,Plano_V3!$A$26:$G$592,7,0)</f>
        <v>0. Cancelado</v>
      </c>
      <c r="H338" s="136" t="s">
        <v>613</v>
      </c>
      <c r="I338" s="145" t="s">
        <v>660</v>
      </c>
      <c r="J338" s="153" t="str">
        <f>IF(VLOOKUP(A338,'Aux - pivots1'!$A:$E,3,0)=0, "",VLOOKUP(A338,'Aux - pivots1'!$A:$E,3,0))</f>
        <v/>
      </c>
      <c r="K338" s="153">
        <f>IF(VLOOKUP(A338,'Aux - pivots1'!$A:$E,4,0)=0, "",VLOOKUP(A338,'Aux - pivots1'!$A:$E,4,0))</f>
        <v>45534</v>
      </c>
      <c r="L338" s="153">
        <f>IF(VLOOKUP(A338,'Aux - pivots1'!$A:$E,5,0)=0, "",VLOOKUP(A338,'Aux - pivots1'!$A:$E,5,0))</f>
        <v>45534</v>
      </c>
      <c r="M338" s="209"/>
      <c r="N338" s="209"/>
    </row>
    <row r="339" spans="1:14" ht="16.2" hidden="1" customHeight="1" x14ac:dyDescent="0.4">
      <c r="A339" s="30" t="str">
        <f t="shared" ref="A339:A402" si="8">E339&amp;F339</f>
        <v>modesg_inp_emss_bens_imoveisnome_unidade_funcional</v>
      </c>
      <c r="B339" s="142" t="s">
        <v>26</v>
      </c>
      <c r="C339" s="138" t="s">
        <v>181</v>
      </c>
      <c r="D339" s="134" t="s">
        <v>40</v>
      </c>
      <c r="E339" s="135" t="s">
        <v>220</v>
      </c>
      <c r="F339" s="134" t="s">
        <v>229</v>
      </c>
      <c r="G339" s="136" t="str">
        <f>VLOOKUP(A339,Plano_V3!$A$26:$G$592,7,0)</f>
        <v>1. Concluído</v>
      </c>
      <c r="H339" s="136" t="s">
        <v>614</v>
      </c>
      <c r="I339" s="143"/>
      <c r="J339" s="153" t="str">
        <f>IF(VLOOKUP(A339,'Aux - pivots1'!$A:$E,3,0)=0, "",VLOOKUP(A339,'Aux - pivots1'!$A:$E,3,0))</f>
        <v/>
      </c>
      <c r="K339" s="153">
        <f>IF(VLOOKUP(A339,'Aux - pivots1'!$A:$E,4,0)=0, "",VLOOKUP(A339,'Aux - pivots1'!$A:$E,4,0))</f>
        <v>45603</v>
      </c>
      <c r="L339" s="153">
        <f>IF(VLOOKUP(A339,'Aux - pivots1'!$A:$E,5,0)=0, "",VLOOKUP(A339,'Aux - pivots1'!$A:$E,5,0))</f>
        <v>45534</v>
      </c>
      <c r="M339" s="209"/>
      <c r="N339" s="209"/>
    </row>
    <row r="340" spans="1:14" ht="16.2" hidden="1" customHeight="1" x14ac:dyDescent="0.4">
      <c r="A340" s="30" t="str">
        <f t="shared" si="8"/>
        <v>modesg_inp_emss_bens_imoveisunidade_funcional</v>
      </c>
      <c r="B340" s="142" t="s">
        <v>26</v>
      </c>
      <c r="C340" s="138" t="s">
        <v>181</v>
      </c>
      <c r="D340" s="134" t="s">
        <v>40</v>
      </c>
      <c r="E340" s="135" t="s">
        <v>220</v>
      </c>
      <c r="F340" s="134" t="s">
        <v>230</v>
      </c>
      <c r="G340" s="136" t="str">
        <f>VLOOKUP(A340,Plano_V3!$A$26:$G$592,7,0)</f>
        <v>1. Concluído</v>
      </c>
      <c r="H340" s="136" t="s">
        <v>614</v>
      </c>
      <c r="I340" s="143"/>
      <c r="J340" s="153" t="str">
        <f>IF(VLOOKUP(A340,'Aux - pivots1'!$A:$E,3,0)=0, "",VLOOKUP(A340,'Aux - pivots1'!$A:$E,3,0))</f>
        <v/>
      </c>
      <c r="K340" s="153">
        <f>IF(VLOOKUP(A340,'Aux - pivots1'!$A:$E,4,0)=0, "",VLOOKUP(A340,'Aux - pivots1'!$A:$E,4,0))</f>
        <v>45603</v>
      </c>
      <c r="L340" s="153">
        <f>IF(VLOOKUP(A340,'Aux - pivots1'!$A:$E,5,0)=0, "",VLOOKUP(A340,'Aux - pivots1'!$A:$E,5,0))</f>
        <v>45534</v>
      </c>
      <c r="M340" s="209"/>
      <c r="N340" s="209"/>
    </row>
    <row r="341" spans="1:14" ht="16.2" hidden="1" customHeight="1" x14ac:dyDescent="0.4">
      <c r="A341" s="30" t="str">
        <f t="shared" si="8"/>
        <v>modesg_inp_emss_bens_imoveisnome_fator_emissao</v>
      </c>
      <c r="B341" s="142" t="s">
        <v>26</v>
      </c>
      <c r="C341" s="138" t="s">
        <v>181</v>
      </c>
      <c r="D341" s="134" t="s">
        <v>40</v>
      </c>
      <c r="E341" s="135" t="s">
        <v>220</v>
      </c>
      <c r="F341" s="134" t="s">
        <v>231</v>
      </c>
      <c r="G341" s="136" t="str">
        <f>VLOOKUP(A341,Plano_V3!$A$26:$G$592,7,0)</f>
        <v>1. Concluído</v>
      </c>
      <c r="H341" s="136" t="s">
        <v>614</v>
      </c>
      <c r="I341" s="143"/>
      <c r="J341" s="153" t="str">
        <f>IF(VLOOKUP(A341,'Aux - pivots1'!$A:$E,3,0)=0, "",VLOOKUP(A341,'Aux - pivots1'!$A:$E,3,0))</f>
        <v/>
      </c>
      <c r="K341" s="153">
        <f>IF(VLOOKUP(A341,'Aux - pivots1'!$A:$E,4,0)=0, "",VLOOKUP(A341,'Aux - pivots1'!$A:$E,4,0))</f>
        <v>45603</v>
      </c>
      <c r="L341" s="153">
        <f>IF(VLOOKUP(A341,'Aux - pivots1'!$A:$E,5,0)=0, "",VLOOKUP(A341,'Aux - pivots1'!$A:$E,5,0))</f>
        <v>45534</v>
      </c>
      <c r="M341" s="209"/>
      <c r="N341" s="209"/>
    </row>
    <row r="342" spans="1:14" ht="16.2" hidden="1" customHeight="1" x14ac:dyDescent="0.4">
      <c r="A342" s="30" t="str">
        <f t="shared" si="8"/>
        <v>modesg_inp_emss_bens_imoveisunidade_fator_de_emissao</v>
      </c>
      <c r="B342" s="142" t="s">
        <v>26</v>
      </c>
      <c r="C342" s="138" t="s">
        <v>181</v>
      </c>
      <c r="D342" s="134" t="s">
        <v>40</v>
      </c>
      <c r="E342" s="135" t="s">
        <v>220</v>
      </c>
      <c r="F342" s="134" t="s">
        <v>232</v>
      </c>
      <c r="G342" s="136" t="str">
        <f>VLOOKUP(A342,Plano_V3!$A$26:$G$592,7,0)</f>
        <v>1. Concluído</v>
      </c>
      <c r="H342" s="136" t="s">
        <v>614</v>
      </c>
      <c r="I342" s="143"/>
      <c r="J342" s="153" t="str">
        <f>IF(VLOOKUP(A342,'Aux - pivots1'!$A:$E,3,0)=0, "",VLOOKUP(A342,'Aux - pivots1'!$A:$E,3,0))</f>
        <v/>
      </c>
      <c r="K342" s="153">
        <f>IF(VLOOKUP(A342,'Aux - pivots1'!$A:$E,4,0)=0, "",VLOOKUP(A342,'Aux - pivots1'!$A:$E,4,0))</f>
        <v>45603</v>
      </c>
      <c r="L342" s="153">
        <f>IF(VLOOKUP(A342,'Aux - pivots1'!$A:$E,5,0)=0, "",VLOOKUP(A342,'Aux - pivots1'!$A:$E,5,0))</f>
        <v>45534</v>
      </c>
      <c r="M342" s="209"/>
      <c r="N342" s="209"/>
    </row>
    <row r="343" spans="1:14" ht="16.2" hidden="1" customHeight="1" x14ac:dyDescent="0.4">
      <c r="A343" s="30" t="str">
        <f t="shared" si="8"/>
        <v>modesg_inp_emss_bens_imoveisscore_qualidade</v>
      </c>
      <c r="B343" s="142" t="s">
        <v>26</v>
      </c>
      <c r="C343" s="138" t="s">
        <v>181</v>
      </c>
      <c r="D343" s="134" t="s">
        <v>40</v>
      </c>
      <c r="E343" s="135" t="s">
        <v>220</v>
      </c>
      <c r="F343" s="134" t="s">
        <v>233</v>
      </c>
      <c r="G343" s="136" t="str">
        <f>VLOOKUP(A343,Plano_V3!$A$26:$G$592,7,0)</f>
        <v>1. Concluído</v>
      </c>
      <c r="H343" s="136" t="s">
        <v>614</v>
      </c>
      <c r="I343" s="143"/>
      <c r="J343" s="153" t="str">
        <f>IF(VLOOKUP(A343,'Aux - pivots1'!$A:$E,3,0)=0, "",VLOOKUP(A343,'Aux - pivots1'!$A:$E,3,0))</f>
        <v/>
      </c>
      <c r="K343" s="153">
        <f>IF(VLOOKUP(A343,'Aux - pivots1'!$A:$E,4,0)=0, "",VLOOKUP(A343,'Aux - pivots1'!$A:$E,4,0))</f>
        <v>45603</v>
      </c>
      <c r="L343" s="153">
        <f>IF(VLOOKUP(A343,'Aux - pivots1'!$A:$E,5,0)=0, "",VLOOKUP(A343,'Aux - pivots1'!$A:$E,5,0))</f>
        <v>45534</v>
      </c>
      <c r="M343" s="209"/>
      <c r="N343" s="209"/>
    </row>
    <row r="344" spans="1:14" ht="16.2" hidden="1" customHeight="1" x14ac:dyDescent="0.4">
      <c r="A344" s="30" t="str">
        <f t="shared" si="8"/>
        <v>modesg_inp_emss_bens_imoveisano_fator_emissao</v>
      </c>
      <c r="B344" s="142" t="s">
        <v>26</v>
      </c>
      <c r="C344" s="138" t="s">
        <v>181</v>
      </c>
      <c r="D344" s="134" t="s">
        <v>40</v>
      </c>
      <c r="E344" s="135" t="s">
        <v>220</v>
      </c>
      <c r="F344" s="134" t="s">
        <v>309</v>
      </c>
      <c r="G344" s="136" t="str">
        <f>VLOOKUP(A344,Plano_V3!$A$26:$G$592,7,0)</f>
        <v>1. Concluído</v>
      </c>
      <c r="H344" s="136" t="s">
        <v>614</v>
      </c>
      <c r="I344" s="144" t="s">
        <v>658</v>
      </c>
      <c r="J344" s="153" t="str">
        <f>IF(VLOOKUP(A344,'Aux - pivots1'!$A:$E,3,0)=0, "",VLOOKUP(A344,'Aux - pivots1'!$A:$E,3,0))</f>
        <v/>
      </c>
      <c r="K344" s="153">
        <f>IF(VLOOKUP(A344,'Aux - pivots1'!$A:$E,4,0)=0, "",VLOOKUP(A344,'Aux - pivots1'!$A:$E,4,0))</f>
        <v>45603</v>
      </c>
      <c r="L344" s="153">
        <f>IF(VLOOKUP(A344,'Aux - pivots1'!$A:$E,5,0)=0, "",VLOOKUP(A344,'Aux - pivots1'!$A:$E,5,0))</f>
        <v>45534</v>
      </c>
      <c r="M344" s="209"/>
      <c r="N344" s="209"/>
    </row>
    <row r="345" spans="1:14" ht="16.2" hidden="1" customHeight="1" x14ac:dyDescent="0.4">
      <c r="A345" s="30" t="str">
        <f t="shared" si="8"/>
        <v>modesg_inp_emss_bens_imoveisscp1_ftr_emss</v>
      </c>
      <c r="B345" s="142" t="s">
        <v>26</v>
      </c>
      <c r="C345" s="138" t="s">
        <v>181</v>
      </c>
      <c r="D345" s="134" t="s">
        <v>40</v>
      </c>
      <c r="E345" s="135" t="s">
        <v>220</v>
      </c>
      <c r="F345" s="134" t="s">
        <v>234</v>
      </c>
      <c r="G345" s="136" t="str">
        <f>VLOOKUP(A345,Plano_V3!$A$26:$G$592,7,0)</f>
        <v>1. Concluído</v>
      </c>
      <c r="H345" s="136" t="s">
        <v>614</v>
      </c>
      <c r="I345" s="143"/>
      <c r="J345" s="153" t="str">
        <f>IF(VLOOKUP(A345,'Aux - pivots1'!$A:$E,3,0)=0, "",VLOOKUP(A345,'Aux - pivots1'!$A:$E,3,0))</f>
        <v/>
      </c>
      <c r="K345" s="153">
        <f>IF(VLOOKUP(A345,'Aux - pivots1'!$A:$E,4,0)=0, "",VLOOKUP(A345,'Aux - pivots1'!$A:$E,4,0))</f>
        <v>45603</v>
      </c>
      <c r="L345" s="153">
        <f>IF(VLOOKUP(A345,'Aux - pivots1'!$A:$E,5,0)=0, "",VLOOKUP(A345,'Aux - pivots1'!$A:$E,5,0))</f>
        <v>45534</v>
      </c>
      <c r="M345" s="209"/>
      <c r="N345" s="209"/>
    </row>
    <row r="346" spans="1:14" ht="16.2" hidden="1" customHeight="1" x14ac:dyDescent="0.4">
      <c r="A346" s="30" t="str">
        <f t="shared" si="8"/>
        <v>modesg_inp_emss_bens_imoveisscp2_ftr_emss</v>
      </c>
      <c r="B346" s="142" t="s">
        <v>26</v>
      </c>
      <c r="C346" s="138" t="s">
        <v>181</v>
      </c>
      <c r="D346" s="134" t="s">
        <v>40</v>
      </c>
      <c r="E346" s="135" t="s">
        <v>220</v>
      </c>
      <c r="F346" s="134" t="s">
        <v>235</v>
      </c>
      <c r="G346" s="136" t="str">
        <f>VLOOKUP(A346,Plano_V3!$A$26:$G$592,7,0)</f>
        <v>1. Concluído</v>
      </c>
      <c r="H346" s="136" t="s">
        <v>614</v>
      </c>
      <c r="I346" s="143"/>
      <c r="J346" s="153" t="str">
        <f>IF(VLOOKUP(A346,'Aux - pivots1'!$A:$E,3,0)=0, "",VLOOKUP(A346,'Aux - pivots1'!$A:$E,3,0))</f>
        <v/>
      </c>
      <c r="K346" s="153">
        <f>IF(VLOOKUP(A346,'Aux - pivots1'!$A:$E,4,0)=0, "",VLOOKUP(A346,'Aux - pivots1'!$A:$E,4,0))</f>
        <v>45603</v>
      </c>
      <c r="L346" s="153">
        <f>IF(VLOOKUP(A346,'Aux - pivots1'!$A:$E,5,0)=0, "",VLOOKUP(A346,'Aux - pivots1'!$A:$E,5,0))</f>
        <v>45534</v>
      </c>
      <c r="M346" s="209"/>
      <c r="N346" s="209"/>
    </row>
    <row r="347" spans="1:14" ht="16.2" hidden="1" customHeight="1" x14ac:dyDescent="0.4">
      <c r="A347" s="30" t="str">
        <f t="shared" si="8"/>
        <v>modesg_out_bens_imoveisn.a.</v>
      </c>
      <c r="B347" s="142" t="s">
        <v>26</v>
      </c>
      <c r="C347" s="138" t="s">
        <v>311</v>
      </c>
      <c r="D347" s="134" t="s">
        <v>36</v>
      </c>
      <c r="E347" s="135" t="s">
        <v>312</v>
      </c>
      <c r="F347" s="134" t="s">
        <v>38</v>
      </c>
      <c r="G347" s="136" t="str">
        <f>VLOOKUP(A347,Plano_V3!$A$26:$G$592,7,0)</f>
        <v>1. Concluído</v>
      </c>
      <c r="H347" s="136" t="s">
        <v>614</v>
      </c>
      <c r="I347" s="143"/>
      <c r="J347" s="153" t="str">
        <f>IF(VLOOKUP(A347,'Aux - pivots1'!$A:$E,3,0)=0, "",VLOOKUP(A347,'Aux - pivots1'!$A:$E,3,0))</f>
        <v/>
      </c>
      <c r="K347" s="153" t="str">
        <f>IF(VLOOKUP(A347,'Aux - pivots1'!$A:$E,4,0)=0, "",VLOOKUP(A347,'Aux - pivots1'!$A:$E,4,0))</f>
        <v/>
      </c>
      <c r="L347" s="153" t="str">
        <f>IF(VLOOKUP(A347,'Aux - pivots1'!$A:$E,5,0)=0, "",VLOOKUP(A347,'Aux - pivots1'!$A:$E,5,0))</f>
        <v/>
      </c>
      <c r="M347" s="209"/>
      <c r="N347" s="209"/>
    </row>
    <row r="348" spans="1:14" ht="16.2" hidden="1" customHeight="1" x14ac:dyDescent="0.4">
      <c r="A348" s="30" t="str">
        <f t="shared" si="8"/>
        <v>modesg_out_bens_imoveiscempbem</v>
      </c>
      <c r="B348" s="142" t="s">
        <v>26</v>
      </c>
      <c r="C348" s="138" t="s">
        <v>311</v>
      </c>
      <c r="D348" s="134" t="s">
        <v>40</v>
      </c>
      <c r="E348" s="135" t="s">
        <v>312</v>
      </c>
      <c r="F348" s="134" t="s">
        <v>314</v>
      </c>
      <c r="G348" s="136" t="str">
        <f>VLOOKUP(A348,Plano_V3!$A$26:$G$592,7,0)</f>
        <v>1. Concluído</v>
      </c>
      <c r="H348" s="136" t="s">
        <v>614</v>
      </c>
      <c r="I348" s="154"/>
      <c r="J348" s="153" t="str">
        <f>IF(VLOOKUP(A348,'Aux - pivots1'!$A:$E,3,0)=0, "",VLOOKUP(A348,'Aux - pivots1'!$A:$E,3,0))</f>
        <v/>
      </c>
      <c r="K348" s="153" t="str">
        <f>IF(VLOOKUP(A348,'Aux - pivots1'!$A:$E,4,0)=0, "",VLOOKUP(A348,'Aux - pivots1'!$A:$E,4,0))</f>
        <v/>
      </c>
      <c r="L348" s="153" t="str">
        <f>IF(VLOOKUP(A348,'Aux - pivots1'!$A:$E,5,0)=0, "",VLOOKUP(A348,'Aux - pivots1'!$A:$E,5,0))</f>
        <v/>
      </c>
      <c r="M348" s="209"/>
      <c r="N348" s="209"/>
    </row>
    <row r="349" spans="1:14" ht="16.2" hidden="1" customHeight="1" x14ac:dyDescent="0.4">
      <c r="A349" s="30" t="str">
        <f t="shared" si="8"/>
        <v>modesg_out_bens_imoveisckbalbem</v>
      </c>
      <c r="B349" s="142" t="s">
        <v>26</v>
      </c>
      <c r="C349" s="138" t="s">
        <v>311</v>
      </c>
      <c r="D349" s="134" t="s">
        <v>40</v>
      </c>
      <c r="E349" s="135" t="s">
        <v>312</v>
      </c>
      <c r="F349" s="134" t="s">
        <v>315</v>
      </c>
      <c r="G349" s="136" t="str">
        <f>VLOOKUP(A349,Plano_V3!$A$26:$G$592,7,0)</f>
        <v>1. Concluído</v>
      </c>
      <c r="H349" s="136" t="s">
        <v>614</v>
      </c>
      <c r="I349" s="154"/>
      <c r="J349" s="153" t="str">
        <f>IF(VLOOKUP(A349,'Aux - pivots1'!$A:$E,3,0)=0, "",VLOOKUP(A349,'Aux - pivots1'!$A:$E,3,0))</f>
        <v/>
      </c>
      <c r="K349" s="153" t="str">
        <f>IF(VLOOKUP(A349,'Aux - pivots1'!$A:$E,4,0)=0, "",VLOOKUP(A349,'Aux - pivots1'!$A:$E,4,0))</f>
        <v/>
      </c>
      <c r="L349" s="153" t="str">
        <f>IF(VLOOKUP(A349,'Aux - pivots1'!$A:$E,5,0)=0, "",VLOOKUP(A349,'Aux - pivots1'!$A:$E,5,0))</f>
        <v/>
      </c>
      <c r="M349" s="209"/>
      <c r="N349" s="209"/>
    </row>
    <row r="350" spans="1:14" ht="16.2" hidden="1" customHeight="1" x14ac:dyDescent="0.4">
      <c r="A350" s="30" t="str">
        <f t="shared" si="8"/>
        <v>modesg_out_bens_imoveisckctabem</v>
      </c>
      <c r="B350" s="142" t="s">
        <v>26</v>
      </c>
      <c r="C350" s="138" t="s">
        <v>311</v>
      </c>
      <c r="D350" s="134" t="s">
        <v>40</v>
      </c>
      <c r="E350" s="135" t="s">
        <v>312</v>
      </c>
      <c r="F350" s="134" t="s">
        <v>316</v>
      </c>
      <c r="G350" s="136" t="str">
        <f>VLOOKUP(A350,Plano_V3!$A$26:$G$592,7,0)</f>
        <v>1. Concluído</v>
      </c>
      <c r="H350" s="136" t="s">
        <v>614</v>
      </c>
      <c r="I350" s="154"/>
      <c r="J350" s="153" t="str">
        <f>IF(VLOOKUP(A350,'Aux - pivots1'!$A:$E,3,0)=0, "",VLOOKUP(A350,'Aux - pivots1'!$A:$E,3,0))</f>
        <v/>
      </c>
      <c r="K350" s="153" t="str">
        <f>IF(VLOOKUP(A350,'Aux - pivots1'!$A:$E,4,0)=0, "",VLOOKUP(A350,'Aux - pivots1'!$A:$E,4,0))</f>
        <v/>
      </c>
      <c r="L350" s="153" t="str">
        <f>IF(VLOOKUP(A350,'Aux - pivots1'!$A:$E,5,0)=0, "",VLOOKUP(A350,'Aux - pivots1'!$A:$E,5,0))</f>
        <v/>
      </c>
      <c r="M350" s="209"/>
      <c r="N350" s="209"/>
    </row>
    <row r="351" spans="1:14" ht="16.2" hidden="1" customHeight="1" x14ac:dyDescent="0.4">
      <c r="A351" s="30" t="str">
        <f t="shared" si="8"/>
        <v>modesg_out_bens_imoveisckrefbem</v>
      </c>
      <c r="B351" s="142" t="s">
        <v>26</v>
      </c>
      <c r="C351" s="138" t="s">
        <v>311</v>
      </c>
      <c r="D351" s="134" t="s">
        <v>40</v>
      </c>
      <c r="E351" s="135" t="s">
        <v>312</v>
      </c>
      <c r="F351" s="134" t="s">
        <v>317</v>
      </c>
      <c r="G351" s="136" t="str">
        <f>VLOOKUP(A351,Plano_V3!$A$26:$G$592,7,0)</f>
        <v>1. Concluído</v>
      </c>
      <c r="H351" s="136" t="s">
        <v>614</v>
      </c>
      <c r="I351" s="154"/>
      <c r="J351" s="153" t="str">
        <f>IF(VLOOKUP(A351,'Aux - pivots1'!$A:$E,3,0)=0, "",VLOOKUP(A351,'Aux - pivots1'!$A:$E,3,0))</f>
        <v/>
      </c>
      <c r="K351" s="153" t="str">
        <f>IF(VLOOKUP(A351,'Aux - pivots1'!$A:$E,4,0)=0, "",VLOOKUP(A351,'Aux - pivots1'!$A:$E,4,0))</f>
        <v/>
      </c>
      <c r="L351" s="153" t="str">
        <f>IF(VLOOKUP(A351,'Aux - pivots1'!$A:$E,5,0)=0, "",VLOOKUP(A351,'Aux - pivots1'!$A:$E,5,0))</f>
        <v/>
      </c>
      <c r="M351" s="209"/>
      <c r="N351" s="209"/>
    </row>
    <row r="352" spans="1:14" ht="16.2" hidden="1" customHeight="1" x14ac:dyDescent="0.4">
      <c r="A352" s="30" t="str">
        <f t="shared" si="8"/>
        <v>modesg_out_bens_imoveisflg_rsc_fsc_agd</v>
      </c>
      <c r="B352" s="142" t="s">
        <v>26</v>
      </c>
      <c r="C352" s="138" t="s">
        <v>311</v>
      </c>
      <c r="D352" s="134" t="s">
        <v>40</v>
      </c>
      <c r="E352" s="135" t="s">
        <v>312</v>
      </c>
      <c r="F352" s="134" t="s">
        <v>283</v>
      </c>
      <c r="G352" s="136" t="str">
        <f>VLOOKUP(A352,Plano_V3!$A$26:$G$592,7,0)</f>
        <v>6. Em implementação (re-especificação)</v>
      </c>
      <c r="H352" s="136" t="s">
        <v>619</v>
      </c>
      <c r="I352" s="143" t="s">
        <v>661</v>
      </c>
      <c r="J352" s="153">
        <f>IF(VLOOKUP(A352,'Aux - pivots1'!$A:$E,3,0)=0, "",VLOOKUP(A352,'Aux - pivots1'!$A:$E,3,0))</f>
        <v>45569</v>
      </c>
      <c r="K352" s="153">
        <f>IF(VLOOKUP(A352,'Aux - pivots1'!$A:$E,4,0)=0, "",VLOOKUP(A352,'Aux - pivots1'!$A:$E,4,0))</f>
        <v>45621</v>
      </c>
      <c r="L352" s="153" t="str">
        <f>IF(VLOOKUP(A352,'Aux - pivots1'!$A:$E,5,0)=0, "",VLOOKUP(A352,'Aux - pivots1'!$A:$E,5,0))</f>
        <v/>
      </c>
      <c r="M352" s="209"/>
      <c r="N352" s="209"/>
    </row>
    <row r="353" spans="1:14" ht="16.2" hidden="1" customHeight="1" x14ac:dyDescent="0.4">
      <c r="A353" s="30" t="str">
        <f t="shared" si="8"/>
        <v>modesg_out_bens_imoveisflg_rsc_fsc_crnc</v>
      </c>
      <c r="B353" s="142" t="s">
        <v>26</v>
      </c>
      <c r="C353" s="138" t="s">
        <v>311</v>
      </c>
      <c r="D353" s="134" t="s">
        <v>40</v>
      </c>
      <c r="E353" s="135" t="s">
        <v>312</v>
      </c>
      <c r="F353" s="134" t="s">
        <v>284</v>
      </c>
      <c r="G353" s="136" t="str">
        <f>VLOOKUP(A353,Plano_V3!$A$26:$G$592,7,0)</f>
        <v>6. Em implementação (re-especificação)</v>
      </c>
      <c r="H353" s="136" t="s">
        <v>619</v>
      </c>
      <c r="I353" s="143" t="s">
        <v>661</v>
      </c>
      <c r="J353" s="153">
        <f>IF(VLOOKUP(A353,'Aux - pivots1'!$A:$E,3,0)=0, "",VLOOKUP(A353,'Aux - pivots1'!$A:$E,3,0))</f>
        <v>45569</v>
      </c>
      <c r="K353" s="153">
        <f>IF(VLOOKUP(A353,'Aux - pivots1'!$A:$E,4,0)=0, "",VLOOKUP(A353,'Aux - pivots1'!$A:$E,4,0))</f>
        <v>45621</v>
      </c>
      <c r="L353" s="153" t="str">
        <f>IF(VLOOKUP(A353,'Aux - pivots1'!$A:$E,5,0)=0, "",VLOOKUP(A353,'Aux - pivots1'!$A:$E,5,0))</f>
        <v/>
      </c>
      <c r="M353" s="209"/>
      <c r="N353" s="209"/>
    </row>
    <row r="354" spans="1:14" ht="16.2" hidden="1" customHeight="1" x14ac:dyDescent="0.4">
      <c r="A354" s="30" t="str">
        <f t="shared" si="8"/>
        <v>modesg_out_bens_imoveisorigem_flg_rsc_fsc_agd</v>
      </c>
      <c r="B354" s="142" t="s">
        <v>26</v>
      </c>
      <c r="C354" s="138" t="s">
        <v>311</v>
      </c>
      <c r="D354" s="134" t="s">
        <v>40</v>
      </c>
      <c r="E354" s="135" t="s">
        <v>312</v>
      </c>
      <c r="F354" s="134" t="s">
        <v>318</v>
      </c>
      <c r="G354" s="136" t="str">
        <f>VLOOKUP(A354,Plano_V3!$A$26:$G$592,7,0)</f>
        <v>6. Em implementação (re-especificação)</v>
      </c>
      <c r="H354" s="136" t="s">
        <v>619</v>
      </c>
      <c r="I354" s="143" t="s">
        <v>661</v>
      </c>
      <c r="J354" s="153">
        <f>IF(VLOOKUP(A354,'Aux - pivots1'!$A:$E,3,0)=0, "",VLOOKUP(A354,'Aux - pivots1'!$A:$E,3,0))</f>
        <v>45569</v>
      </c>
      <c r="K354" s="153">
        <f>IF(VLOOKUP(A354,'Aux - pivots1'!$A:$E,4,0)=0, "",VLOOKUP(A354,'Aux - pivots1'!$A:$E,4,0))</f>
        <v>45621</v>
      </c>
      <c r="L354" s="153" t="str">
        <f>IF(VLOOKUP(A354,'Aux - pivots1'!$A:$E,5,0)=0, "",VLOOKUP(A354,'Aux - pivots1'!$A:$E,5,0))</f>
        <v/>
      </c>
      <c r="M354" s="209"/>
      <c r="N354" s="209"/>
    </row>
    <row r="355" spans="1:14" ht="16.2" hidden="1" customHeight="1" x14ac:dyDescent="0.4">
      <c r="A355" s="30" t="str">
        <f t="shared" si="8"/>
        <v>modesg_out_bens_imoveisorigem_flg_rsc_fsc_crnc</v>
      </c>
      <c r="B355" s="142" t="s">
        <v>26</v>
      </c>
      <c r="C355" s="138" t="s">
        <v>311</v>
      </c>
      <c r="D355" s="134" t="s">
        <v>40</v>
      </c>
      <c r="E355" s="135" t="s">
        <v>312</v>
      </c>
      <c r="F355" s="134" t="s">
        <v>319</v>
      </c>
      <c r="G355" s="136" t="str">
        <f>VLOOKUP(A355,Plano_V3!$A$26:$G$592,7,0)</f>
        <v>6. Em implementação (re-especificação)</v>
      </c>
      <c r="H355" s="136" t="s">
        <v>619</v>
      </c>
      <c r="I355" s="143" t="s">
        <v>661</v>
      </c>
      <c r="J355" s="153">
        <f>IF(VLOOKUP(A355,'Aux - pivots1'!$A:$E,3,0)=0, "",VLOOKUP(A355,'Aux - pivots1'!$A:$E,3,0))</f>
        <v>45569</v>
      </c>
      <c r="K355" s="153">
        <f>IF(VLOOKUP(A355,'Aux - pivots1'!$A:$E,4,0)=0, "",VLOOKUP(A355,'Aux - pivots1'!$A:$E,4,0))</f>
        <v>45621</v>
      </c>
      <c r="L355" s="153" t="str">
        <f>IF(VLOOKUP(A355,'Aux - pivots1'!$A:$E,5,0)=0, "",VLOOKUP(A355,'Aux - pivots1'!$A:$E,5,0))</f>
        <v/>
      </c>
      <c r="M355" s="209"/>
      <c r="N355" s="209"/>
    </row>
    <row r="356" spans="1:14" ht="16.2" hidden="1" customHeight="1" x14ac:dyDescent="0.4">
      <c r="A356" s="30" t="str">
        <f t="shared" si="8"/>
        <v>modesg_out_bens_imoveisorigem_scp1_emss</v>
      </c>
      <c r="B356" s="142" t="s">
        <v>26</v>
      </c>
      <c r="C356" s="138" t="s">
        <v>311</v>
      </c>
      <c r="D356" s="134" t="s">
        <v>40</v>
      </c>
      <c r="E356" s="135" t="s">
        <v>312</v>
      </c>
      <c r="F356" s="134" t="s">
        <v>320</v>
      </c>
      <c r="G356" s="136" t="str">
        <f>VLOOKUP(A356,Plano_V3!$A$26:$G$592,7,0)</f>
        <v>1. Concluído</v>
      </c>
      <c r="H356" s="136" t="s">
        <v>614</v>
      </c>
      <c r="I356" s="143"/>
      <c r="J356" s="153">
        <f>IF(VLOOKUP(A356,'Aux - pivots1'!$A:$E,3,0)=0, "",VLOOKUP(A356,'Aux - pivots1'!$A:$E,3,0))</f>
        <v>45604</v>
      </c>
      <c r="K356" s="153">
        <f>IF(VLOOKUP(A356,'Aux - pivots1'!$A:$E,4,0)=0, "",VLOOKUP(A356,'Aux - pivots1'!$A:$E,4,0))</f>
        <v>45600</v>
      </c>
      <c r="L356" s="153">
        <f>IF(VLOOKUP(A356,'Aux - pivots1'!$A:$E,5,0)=0, "",VLOOKUP(A356,'Aux - pivots1'!$A:$E,5,0))</f>
        <v>45601</v>
      </c>
      <c r="M356" s="209"/>
      <c r="N356" s="209"/>
    </row>
    <row r="357" spans="1:14" ht="16.2" hidden="1" customHeight="1" x14ac:dyDescent="0.4">
      <c r="A357" s="30" t="str">
        <f t="shared" si="8"/>
        <v>modesg_out_bens_imoveisorigem_scp2_emss</v>
      </c>
      <c r="B357" s="142" t="s">
        <v>26</v>
      </c>
      <c r="C357" s="138" t="s">
        <v>311</v>
      </c>
      <c r="D357" s="134" t="s">
        <v>40</v>
      </c>
      <c r="E357" s="135" t="s">
        <v>312</v>
      </c>
      <c r="F357" s="134" t="s">
        <v>321</v>
      </c>
      <c r="G357" s="136" t="str">
        <f>VLOOKUP(A357,Plano_V3!$A$26:$G$592,7,0)</f>
        <v>1. Concluído</v>
      </c>
      <c r="H357" s="136" t="s">
        <v>614</v>
      </c>
      <c r="I357" s="143"/>
      <c r="J357" s="153">
        <f>IF(VLOOKUP(A357,'Aux - pivots1'!$A:$E,3,0)=0, "",VLOOKUP(A357,'Aux - pivots1'!$A:$E,3,0))</f>
        <v>45604</v>
      </c>
      <c r="K357" s="153">
        <f>IF(VLOOKUP(A357,'Aux - pivots1'!$A:$E,4,0)=0, "",VLOOKUP(A357,'Aux - pivots1'!$A:$E,4,0))</f>
        <v>45600</v>
      </c>
      <c r="L357" s="153">
        <f>IF(VLOOKUP(A357,'Aux - pivots1'!$A:$E,5,0)=0, "",VLOOKUP(A357,'Aux - pivots1'!$A:$E,5,0))</f>
        <v>45601</v>
      </c>
      <c r="M357" s="209"/>
      <c r="N357" s="209"/>
    </row>
    <row r="358" spans="1:14" ht="16.2" hidden="1" customHeight="1" x14ac:dyDescent="0.4">
      <c r="A358" s="30" t="str">
        <f t="shared" si="8"/>
        <v>modesg_out_bens_imoveisorigem_scp3_emss</v>
      </c>
      <c r="B358" s="142" t="s">
        <v>26</v>
      </c>
      <c r="C358" s="138" t="s">
        <v>311</v>
      </c>
      <c r="D358" s="134" t="s">
        <v>40</v>
      </c>
      <c r="E358" s="135" t="s">
        <v>312</v>
      </c>
      <c r="F358" s="134" t="s">
        <v>322</v>
      </c>
      <c r="G358" s="136" t="str">
        <f>VLOOKUP(A358,Plano_V3!$A$26:$G$592,7,0)</f>
        <v>1. Concluído</v>
      </c>
      <c r="H358" s="136" t="s">
        <v>614</v>
      </c>
      <c r="I358" s="143"/>
      <c r="J358" s="153">
        <f>IF(VLOOKUP(A358,'Aux - pivots1'!$A:$E,3,0)=0, "",VLOOKUP(A358,'Aux - pivots1'!$A:$E,3,0))</f>
        <v>45569</v>
      </c>
      <c r="K358" s="153">
        <f>IF(VLOOKUP(A358,'Aux - pivots1'!$A:$E,4,0)=0, "",VLOOKUP(A358,'Aux - pivots1'!$A:$E,4,0))</f>
        <v>45600</v>
      </c>
      <c r="L358" s="153">
        <f>IF(VLOOKUP(A358,'Aux - pivots1'!$A:$E,5,0)=0, "",VLOOKUP(A358,'Aux - pivots1'!$A:$E,5,0))</f>
        <v>45601</v>
      </c>
      <c r="M358" s="209"/>
      <c r="N358" s="209"/>
    </row>
    <row r="359" spans="1:14" ht="16.2" hidden="1" customHeight="1" x14ac:dyDescent="0.4">
      <c r="A359" s="30" t="str">
        <f t="shared" si="8"/>
        <v>modesg_out_bens_imoveisref_date</v>
      </c>
      <c r="B359" s="142" t="s">
        <v>26</v>
      </c>
      <c r="C359" s="138" t="s">
        <v>311</v>
      </c>
      <c r="D359" s="134" t="s">
        <v>40</v>
      </c>
      <c r="E359" s="135" t="s">
        <v>312</v>
      </c>
      <c r="F359" s="134" t="s">
        <v>208</v>
      </c>
      <c r="G359" s="136" t="str">
        <f>VLOOKUP(A359,Plano_V3!$A$26:$G$592,7,0)</f>
        <v>1. Concluído</v>
      </c>
      <c r="H359" s="136" t="s">
        <v>614</v>
      </c>
      <c r="I359" s="154"/>
      <c r="J359" s="153" t="str">
        <f>IF(VLOOKUP(A359,'Aux - pivots1'!$A:$E,3,0)=0, "",VLOOKUP(A359,'Aux - pivots1'!$A:$E,3,0))</f>
        <v/>
      </c>
      <c r="K359" s="153" t="str">
        <f>IF(VLOOKUP(A359,'Aux - pivots1'!$A:$E,4,0)=0, "",VLOOKUP(A359,'Aux - pivots1'!$A:$E,4,0))</f>
        <v/>
      </c>
      <c r="L359" s="153" t="str">
        <f>IF(VLOOKUP(A359,'Aux - pivots1'!$A:$E,5,0)=0, "",VLOOKUP(A359,'Aux - pivots1'!$A:$E,5,0))</f>
        <v/>
      </c>
      <c r="M359" s="209"/>
      <c r="N359" s="209"/>
    </row>
    <row r="360" spans="1:14" ht="16.2" hidden="1" customHeight="1" x14ac:dyDescent="0.4">
      <c r="A360" s="30" t="str">
        <f t="shared" si="8"/>
        <v>modesg_out_bens_imoveisscp1_emss</v>
      </c>
      <c r="B360" s="142" t="s">
        <v>26</v>
      </c>
      <c r="C360" s="138" t="s">
        <v>311</v>
      </c>
      <c r="D360" s="134" t="s">
        <v>40</v>
      </c>
      <c r="E360" s="135" t="s">
        <v>312</v>
      </c>
      <c r="F360" s="134" t="s">
        <v>286</v>
      </c>
      <c r="G360" s="136" t="str">
        <f>VLOOKUP(A360,Plano_V3!$A$26:$G$592,7,0)</f>
        <v>1. Concluído</v>
      </c>
      <c r="H360" s="136" t="s">
        <v>614</v>
      </c>
      <c r="I360" s="143"/>
      <c r="J360" s="153">
        <f>IF(VLOOKUP(A360,'Aux - pivots1'!$A:$E,3,0)=0, "",VLOOKUP(A360,'Aux - pivots1'!$A:$E,3,0))</f>
        <v>45604</v>
      </c>
      <c r="K360" s="153">
        <f>IF(VLOOKUP(A360,'Aux - pivots1'!$A:$E,4,0)=0, "",VLOOKUP(A360,'Aux - pivots1'!$A:$E,4,0))</f>
        <v>45600</v>
      </c>
      <c r="L360" s="153">
        <f>IF(VLOOKUP(A360,'Aux - pivots1'!$A:$E,5,0)=0, "",VLOOKUP(A360,'Aux - pivots1'!$A:$E,5,0))</f>
        <v>45601</v>
      </c>
      <c r="M360" s="209"/>
      <c r="N360" s="209"/>
    </row>
    <row r="361" spans="1:14" ht="16.2" hidden="1" customHeight="1" x14ac:dyDescent="0.4">
      <c r="A361" s="30" t="str">
        <f t="shared" si="8"/>
        <v>modesg_out_bens_imoveisscp2_emss</v>
      </c>
      <c r="B361" s="142" t="s">
        <v>26</v>
      </c>
      <c r="C361" s="138" t="s">
        <v>311</v>
      </c>
      <c r="D361" s="134" t="s">
        <v>40</v>
      </c>
      <c r="E361" s="135" t="s">
        <v>312</v>
      </c>
      <c r="F361" s="134" t="s">
        <v>287</v>
      </c>
      <c r="G361" s="136" t="str">
        <f>VLOOKUP(A361,Plano_V3!$A$26:$G$592,7,0)</f>
        <v>1. Concluído</v>
      </c>
      <c r="H361" s="136" t="s">
        <v>614</v>
      </c>
      <c r="I361" s="143"/>
      <c r="J361" s="153">
        <f>IF(VLOOKUP(A361,'Aux - pivots1'!$A:$E,3,0)=0, "",VLOOKUP(A361,'Aux - pivots1'!$A:$E,3,0))</f>
        <v>45604</v>
      </c>
      <c r="K361" s="153">
        <f>IF(VLOOKUP(A361,'Aux - pivots1'!$A:$E,4,0)=0, "",VLOOKUP(A361,'Aux - pivots1'!$A:$E,4,0))</f>
        <v>45600</v>
      </c>
      <c r="L361" s="153">
        <f>IF(VLOOKUP(A361,'Aux - pivots1'!$A:$E,5,0)=0, "",VLOOKUP(A361,'Aux - pivots1'!$A:$E,5,0))</f>
        <v>45601</v>
      </c>
      <c r="M361" s="209"/>
      <c r="N361" s="209"/>
    </row>
    <row r="362" spans="1:14" ht="16.2" hidden="1" customHeight="1" x14ac:dyDescent="0.4">
      <c r="A362" s="30" t="str">
        <f t="shared" si="8"/>
        <v>modesg_out_bens_imoveisscp3_emss</v>
      </c>
      <c r="B362" s="142" t="s">
        <v>26</v>
      </c>
      <c r="C362" s="138" t="s">
        <v>311</v>
      </c>
      <c r="D362" s="134" t="s">
        <v>40</v>
      </c>
      <c r="E362" s="135" t="s">
        <v>312</v>
      </c>
      <c r="F362" s="134" t="s">
        <v>288</v>
      </c>
      <c r="G362" s="136" t="str">
        <f>VLOOKUP(A362,Plano_V3!$A$26:$G$592,7,0)</f>
        <v>1. Concluído</v>
      </c>
      <c r="H362" s="136" t="s">
        <v>614</v>
      </c>
      <c r="I362" s="154"/>
      <c r="J362" s="153" t="str">
        <f>IF(VLOOKUP(A362,'Aux - pivots1'!$A:$E,3,0)=0, "",VLOOKUP(A362,'Aux - pivots1'!$A:$E,3,0))</f>
        <v/>
      </c>
      <c r="K362" s="153" t="str">
        <f>IF(VLOOKUP(A362,'Aux - pivots1'!$A:$E,4,0)=0, "",VLOOKUP(A362,'Aux - pivots1'!$A:$E,4,0))</f>
        <v/>
      </c>
      <c r="L362" s="153" t="str">
        <f>IF(VLOOKUP(A362,'Aux - pivots1'!$A:$E,5,0)=0, "",VLOOKUP(A362,'Aux - pivots1'!$A:$E,5,0))</f>
        <v/>
      </c>
      <c r="M362" s="209"/>
      <c r="N362" s="209"/>
    </row>
    <row r="363" spans="1:14" ht="16.2" hidden="1" customHeight="1" x14ac:dyDescent="0.4">
      <c r="A363" s="30" t="str">
        <f t="shared" si="8"/>
        <v>modesg_out_bens_imoveisunidade_funcional_scp1_emss</v>
      </c>
      <c r="B363" s="142" t="s">
        <v>26</v>
      </c>
      <c r="C363" s="138" t="s">
        <v>311</v>
      </c>
      <c r="D363" s="134" t="s">
        <v>40</v>
      </c>
      <c r="E363" s="135" t="s">
        <v>312</v>
      </c>
      <c r="F363" s="134" t="s">
        <v>323</v>
      </c>
      <c r="G363" s="136" t="str">
        <f>VLOOKUP(A363,Plano_V3!$A$26:$G$592,7,0)</f>
        <v>1. Concluído</v>
      </c>
      <c r="H363" s="136" t="s">
        <v>614</v>
      </c>
      <c r="I363" s="143"/>
      <c r="J363" s="153">
        <f>IF(VLOOKUP(A363,'Aux - pivots1'!$A:$E,3,0)=0, "",VLOOKUP(A363,'Aux - pivots1'!$A:$E,3,0))</f>
        <v>45604</v>
      </c>
      <c r="K363" s="153">
        <f>IF(VLOOKUP(A363,'Aux - pivots1'!$A:$E,4,0)=0, "",VLOOKUP(A363,'Aux - pivots1'!$A:$E,4,0))</f>
        <v>45600</v>
      </c>
      <c r="L363" s="153">
        <f>IF(VLOOKUP(A363,'Aux - pivots1'!$A:$E,5,0)=0, "",VLOOKUP(A363,'Aux - pivots1'!$A:$E,5,0))</f>
        <v>45601</v>
      </c>
      <c r="M363" s="209"/>
      <c r="N363" s="209"/>
    </row>
    <row r="364" spans="1:14" ht="16.2" hidden="1" customHeight="1" x14ac:dyDescent="0.4">
      <c r="A364" s="30" t="str">
        <f t="shared" si="8"/>
        <v>modesg_out_bens_imoveisunidade_funcional_scp2_emss</v>
      </c>
      <c r="B364" s="142" t="s">
        <v>26</v>
      </c>
      <c r="C364" s="138" t="s">
        <v>311</v>
      </c>
      <c r="D364" s="134" t="s">
        <v>40</v>
      </c>
      <c r="E364" s="135" t="s">
        <v>312</v>
      </c>
      <c r="F364" s="134" t="s">
        <v>324</v>
      </c>
      <c r="G364" s="136" t="str">
        <f>VLOOKUP(A364,Plano_V3!$A$26:$G$592,7,0)</f>
        <v>1. Concluído</v>
      </c>
      <c r="H364" s="136" t="s">
        <v>614</v>
      </c>
      <c r="I364" s="143"/>
      <c r="J364" s="153">
        <f>IF(VLOOKUP(A364,'Aux - pivots1'!$A:$E,3,0)=0, "",VLOOKUP(A364,'Aux - pivots1'!$A:$E,3,0))</f>
        <v>45604</v>
      </c>
      <c r="K364" s="153">
        <f>IF(VLOOKUP(A364,'Aux - pivots1'!$A:$E,4,0)=0, "",VLOOKUP(A364,'Aux - pivots1'!$A:$E,4,0))</f>
        <v>45600</v>
      </c>
      <c r="L364" s="153">
        <f>IF(VLOOKUP(A364,'Aux - pivots1'!$A:$E,5,0)=0, "",VLOOKUP(A364,'Aux - pivots1'!$A:$E,5,0))</f>
        <v>45601</v>
      </c>
      <c r="M364" s="209"/>
      <c r="N364" s="209"/>
    </row>
    <row r="365" spans="1:14" ht="16.2" hidden="1" customHeight="1" x14ac:dyDescent="0.4">
      <c r="A365" s="30" t="str">
        <f t="shared" si="8"/>
        <v>modesg_out_bens_imoveisunidade_funcional_scp3_emss</v>
      </c>
      <c r="B365" s="142" t="s">
        <v>26</v>
      </c>
      <c r="C365" s="138" t="s">
        <v>311</v>
      </c>
      <c r="D365" s="134" t="s">
        <v>40</v>
      </c>
      <c r="E365" s="135" t="s">
        <v>312</v>
      </c>
      <c r="F365" s="134" t="s">
        <v>325</v>
      </c>
      <c r="G365" s="136" t="str">
        <f>VLOOKUP(A365,Plano_V3!$A$26:$G$592,7,0)</f>
        <v>1. Concluído</v>
      </c>
      <c r="H365" s="136" t="s">
        <v>614</v>
      </c>
      <c r="I365" s="143"/>
      <c r="J365" s="153">
        <f>IF(VLOOKUP(A365,'Aux - pivots1'!$A:$E,3,0)=0, "",VLOOKUP(A365,'Aux - pivots1'!$A:$E,3,0))</f>
        <v>45569</v>
      </c>
      <c r="K365" s="153">
        <f>IF(VLOOKUP(A365,'Aux - pivots1'!$A:$E,4,0)=0, "",VLOOKUP(A365,'Aux - pivots1'!$A:$E,4,0))</f>
        <v>45600</v>
      </c>
      <c r="L365" s="153">
        <f>IF(VLOOKUP(A365,'Aux - pivots1'!$A:$E,5,0)=0, "",VLOOKUP(A365,'Aux - pivots1'!$A:$E,5,0))</f>
        <v>45601</v>
      </c>
      <c r="M365" s="209"/>
      <c r="N365" s="209"/>
    </row>
    <row r="366" spans="1:14" ht="16.2" hidden="1" customHeight="1" x14ac:dyDescent="0.4">
      <c r="A366" s="30" t="str">
        <f t="shared" si="8"/>
        <v>modesg_out_empr_info_nfinn.a.</v>
      </c>
      <c r="B366" s="142" t="s">
        <v>26</v>
      </c>
      <c r="C366" s="138" t="s">
        <v>311</v>
      </c>
      <c r="D366" s="134" t="s">
        <v>36</v>
      </c>
      <c r="E366" s="135" t="s">
        <v>326</v>
      </c>
      <c r="F366" s="134" t="s">
        <v>38</v>
      </c>
      <c r="G366" s="136" t="str">
        <f>VLOOKUP(A366,Plano_V3!$A$26:$G$592,7,0)</f>
        <v>1. Concluído</v>
      </c>
      <c r="H366" s="136" t="s">
        <v>614</v>
      </c>
      <c r="I366" s="154"/>
      <c r="J366" s="153">
        <f>IF(VLOOKUP(A366,'Aux - pivots1'!$A:$E,3,0)=0, "",VLOOKUP(A366,'Aux - pivots1'!$A:$E,3,0))</f>
        <v>45512</v>
      </c>
      <c r="K366" s="153" t="str">
        <f>IF(VLOOKUP(A366,'Aux - pivots1'!$A:$E,4,0)=0, "",VLOOKUP(A366,'Aux - pivots1'!$A:$E,4,0))</f>
        <v/>
      </c>
      <c r="L366" s="153" t="str">
        <f>IF(VLOOKUP(A366,'Aux - pivots1'!$A:$E,5,0)=0, "",VLOOKUP(A366,'Aux - pivots1'!$A:$E,5,0))</f>
        <v/>
      </c>
      <c r="M366" s="209"/>
      <c r="N366" s="209"/>
    </row>
    <row r="367" spans="1:14" ht="16.2" hidden="1" customHeight="1" x14ac:dyDescent="0.4">
      <c r="A367" s="30" t="str">
        <f t="shared" si="8"/>
        <v>modesg_out_empr_info_nfincca_capex_enblng_algnd</v>
      </c>
      <c r="B367" s="142" t="s">
        <v>26</v>
      </c>
      <c r="C367" s="138" t="s">
        <v>311</v>
      </c>
      <c r="D367" s="134" t="s">
        <v>40</v>
      </c>
      <c r="E367" s="135" t="s">
        <v>326</v>
      </c>
      <c r="F367" s="134" t="s">
        <v>250</v>
      </c>
      <c r="G367" s="136" t="str">
        <f>VLOOKUP(A367,Plano_V3!$A$26:$G$592,7,0)</f>
        <v>2.1 Em Teste</v>
      </c>
      <c r="H367" s="136" t="s">
        <v>1927</v>
      </c>
      <c r="I367" s="154" t="s">
        <v>661</v>
      </c>
      <c r="J367" s="153">
        <f>IF(VLOOKUP(A367,'Aux - pivots1'!$A:$E,3,0)=0, "",VLOOKUP(A367,'Aux - pivots1'!$A:$E,3,0))</f>
        <v>45561</v>
      </c>
      <c r="K367" s="153">
        <f>IF(VLOOKUP(A367,'Aux - pivots1'!$A:$E,4,0)=0, "",VLOOKUP(A367,'Aux - pivots1'!$A:$E,4,0))</f>
        <v>45614</v>
      </c>
      <c r="L367" s="153">
        <f>IF(VLOOKUP(A367,'Aux - pivots1'!$A:$E,5,0)=0, "",VLOOKUP(A367,'Aux - pivots1'!$A:$E,5,0))</f>
        <v>45615</v>
      </c>
      <c r="M367" s="209"/>
      <c r="N367" s="209"/>
    </row>
    <row r="368" spans="1:14" ht="16.2" hidden="1" customHeight="1" x14ac:dyDescent="0.4">
      <c r="A368" s="30" t="str">
        <f t="shared" si="8"/>
        <v>modesg_out_empr_info_nfincca_capex_own_prfrmnce_algnd</v>
      </c>
      <c r="B368" s="142" t="s">
        <v>26</v>
      </c>
      <c r="C368" s="138" t="s">
        <v>311</v>
      </c>
      <c r="D368" s="134" t="s">
        <v>40</v>
      </c>
      <c r="E368" s="135" t="s">
        <v>326</v>
      </c>
      <c r="F368" s="134" t="s">
        <v>251</v>
      </c>
      <c r="G368" s="136" t="str">
        <f>VLOOKUP(A368,Plano_V3!$A$26:$G$592,7,0)</f>
        <v>2.1 Em Teste</v>
      </c>
      <c r="H368" s="136" t="s">
        <v>1927</v>
      </c>
      <c r="I368" s="154" t="s">
        <v>661</v>
      </c>
      <c r="J368" s="153">
        <f>IF(VLOOKUP(A368,'Aux - pivots1'!$A:$E,3,0)=0, "",VLOOKUP(A368,'Aux - pivots1'!$A:$E,3,0))</f>
        <v>45561</v>
      </c>
      <c r="K368" s="153">
        <f>IF(VLOOKUP(A368,'Aux - pivots1'!$A:$E,4,0)=0, "",VLOOKUP(A368,'Aux - pivots1'!$A:$E,4,0))</f>
        <v>45614</v>
      </c>
      <c r="L368" s="153">
        <f>IF(VLOOKUP(A368,'Aux - pivots1'!$A:$E,5,0)=0, "",VLOOKUP(A368,'Aux - pivots1'!$A:$E,5,0))</f>
        <v>45615</v>
      </c>
      <c r="M368" s="209"/>
      <c r="N368" s="209"/>
    </row>
    <row r="369" spans="1:14" ht="16.2" hidden="1" customHeight="1" x14ac:dyDescent="0.4">
      <c r="A369" s="30" t="str">
        <f t="shared" si="8"/>
        <v>modesg_out_empr_info_nfincca_capex_ttl_elgbl</v>
      </c>
      <c r="B369" s="142" t="s">
        <v>26</v>
      </c>
      <c r="C369" s="138" t="s">
        <v>311</v>
      </c>
      <c r="D369" s="134" t="s">
        <v>40</v>
      </c>
      <c r="E369" s="135" t="s">
        <v>326</v>
      </c>
      <c r="F369" s="134" t="s">
        <v>249</v>
      </c>
      <c r="G369" s="136" t="str">
        <f>VLOOKUP(A369,Plano_V3!$A$26:$G$592,7,0)</f>
        <v>2.1 Em Teste</v>
      </c>
      <c r="H369" s="136" t="s">
        <v>1927</v>
      </c>
      <c r="I369" s="154" t="s">
        <v>661</v>
      </c>
      <c r="J369" s="153">
        <f>IF(VLOOKUP(A369,'Aux - pivots1'!$A:$E,3,0)=0, "",VLOOKUP(A369,'Aux - pivots1'!$A:$E,3,0))</f>
        <v>45561</v>
      </c>
      <c r="K369" s="153">
        <f>IF(VLOOKUP(A369,'Aux - pivots1'!$A:$E,4,0)=0, "",VLOOKUP(A369,'Aux - pivots1'!$A:$E,4,0))</f>
        <v>45614</v>
      </c>
      <c r="L369" s="153">
        <f>IF(VLOOKUP(A369,'Aux - pivots1'!$A:$E,5,0)=0, "",VLOOKUP(A369,'Aux - pivots1'!$A:$E,5,0))</f>
        <v>45615</v>
      </c>
      <c r="M369" s="209"/>
      <c r="N369" s="209"/>
    </row>
    <row r="370" spans="1:14" ht="16.2" hidden="1" customHeight="1" x14ac:dyDescent="0.4">
      <c r="A370" s="30" t="str">
        <f t="shared" si="8"/>
        <v>modesg_out_empr_info_nfincca_trnvr_enblng_alignd</v>
      </c>
      <c r="B370" s="142" t="s">
        <v>26</v>
      </c>
      <c r="C370" s="138" t="s">
        <v>311</v>
      </c>
      <c r="D370" s="134" t="s">
        <v>40</v>
      </c>
      <c r="E370" s="135" t="s">
        <v>326</v>
      </c>
      <c r="F370" s="134" t="s">
        <v>247</v>
      </c>
      <c r="G370" s="136" t="str">
        <f>VLOOKUP(A370,Plano_V3!$A$26:$G$592,7,0)</f>
        <v>2.1 Em Teste</v>
      </c>
      <c r="H370" s="136" t="s">
        <v>1927</v>
      </c>
      <c r="I370" s="154" t="s">
        <v>661</v>
      </c>
      <c r="J370" s="153">
        <f>IF(VLOOKUP(A370,'Aux - pivots1'!$A:$E,3,0)=0, "",VLOOKUP(A370,'Aux - pivots1'!$A:$E,3,0))</f>
        <v>45561</v>
      </c>
      <c r="K370" s="153">
        <f>IF(VLOOKUP(A370,'Aux - pivots1'!$A:$E,4,0)=0, "",VLOOKUP(A370,'Aux - pivots1'!$A:$E,4,0))</f>
        <v>45614</v>
      </c>
      <c r="L370" s="153">
        <f>IF(VLOOKUP(A370,'Aux - pivots1'!$A:$E,5,0)=0, "",VLOOKUP(A370,'Aux - pivots1'!$A:$E,5,0))</f>
        <v>45615</v>
      </c>
      <c r="M370" s="209"/>
      <c r="N370" s="209"/>
    </row>
    <row r="371" spans="1:14" ht="16.2" hidden="1" customHeight="1" x14ac:dyDescent="0.4">
      <c r="A371" s="30" t="str">
        <f t="shared" si="8"/>
        <v>modesg_out_empr_info_nfincca_trnvr_ttl_elgbl</v>
      </c>
      <c r="B371" s="142" t="s">
        <v>26</v>
      </c>
      <c r="C371" s="138" t="s">
        <v>311</v>
      </c>
      <c r="D371" s="134" t="s">
        <v>40</v>
      </c>
      <c r="E371" s="135" t="s">
        <v>326</v>
      </c>
      <c r="F371" s="134" t="s">
        <v>246</v>
      </c>
      <c r="G371" s="136" t="str">
        <f>VLOOKUP(A371,Plano_V3!$A$26:$G$592,7,0)</f>
        <v>2.1 Em Teste</v>
      </c>
      <c r="H371" s="136" t="s">
        <v>1927</v>
      </c>
      <c r="I371" s="154" t="s">
        <v>661</v>
      </c>
      <c r="J371" s="153">
        <f>IF(VLOOKUP(A371,'Aux - pivots1'!$A:$E,3,0)=0, "",VLOOKUP(A371,'Aux - pivots1'!$A:$E,3,0))</f>
        <v>45561</v>
      </c>
      <c r="K371" s="153">
        <f>IF(VLOOKUP(A371,'Aux - pivots1'!$A:$E,4,0)=0, "",VLOOKUP(A371,'Aux - pivots1'!$A:$E,4,0))</f>
        <v>45614</v>
      </c>
      <c r="L371" s="153">
        <f>IF(VLOOKUP(A371,'Aux - pivots1'!$A:$E,5,0)=0, "",VLOOKUP(A371,'Aux - pivots1'!$A:$E,5,0))</f>
        <v>45615</v>
      </c>
      <c r="M371" s="209"/>
      <c r="N371" s="209"/>
    </row>
    <row r="372" spans="1:14" ht="16.2" hidden="1" customHeight="1" x14ac:dyDescent="0.4">
      <c r="A372" s="30" t="str">
        <f t="shared" si="8"/>
        <v>modesg_out_empr_info_nfincca_turnover_own_prfrmnce_algnd</v>
      </c>
      <c r="B372" s="142" t="s">
        <v>26</v>
      </c>
      <c r="C372" s="138" t="s">
        <v>311</v>
      </c>
      <c r="D372" s="134" t="s">
        <v>40</v>
      </c>
      <c r="E372" s="135" t="s">
        <v>326</v>
      </c>
      <c r="F372" s="134" t="s">
        <v>248</v>
      </c>
      <c r="G372" s="136" t="str">
        <f>VLOOKUP(A372,Plano_V3!$A$26:$G$592,7,0)</f>
        <v>2.1 Em Teste</v>
      </c>
      <c r="H372" s="136" t="s">
        <v>1927</v>
      </c>
      <c r="I372" s="154" t="s">
        <v>661</v>
      </c>
      <c r="J372" s="153">
        <f>IF(VLOOKUP(A372,'Aux - pivots1'!$A:$E,3,0)=0, "",VLOOKUP(A372,'Aux - pivots1'!$A:$E,3,0))</f>
        <v>45561</v>
      </c>
      <c r="K372" s="153">
        <f>IF(VLOOKUP(A372,'Aux - pivots1'!$A:$E,4,0)=0, "",VLOOKUP(A372,'Aux - pivots1'!$A:$E,4,0))</f>
        <v>45614</v>
      </c>
      <c r="L372" s="153">
        <f>IF(VLOOKUP(A372,'Aux - pivots1'!$A:$E,5,0)=0, "",VLOOKUP(A372,'Aux - pivots1'!$A:$E,5,0))</f>
        <v>45615</v>
      </c>
      <c r="M372" s="209"/>
      <c r="N372" s="209"/>
    </row>
    <row r="373" spans="1:14" ht="16.2" hidden="1" customHeight="1" x14ac:dyDescent="0.4">
      <c r="A373" s="30" t="str">
        <f t="shared" si="8"/>
        <v>modesg_out_empr_info_nfinccm_capex_enblng_algnd</v>
      </c>
      <c r="B373" s="142" t="s">
        <v>26</v>
      </c>
      <c r="C373" s="138" t="s">
        <v>311</v>
      </c>
      <c r="D373" s="134" t="s">
        <v>40</v>
      </c>
      <c r="E373" s="135" t="s">
        <v>326</v>
      </c>
      <c r="F373" s="134" t="s">
        <v>257</v>
      </c>
      <c r="G373" s="136" t="str">
        <f>VLOOKUP(A373,Plano_V3!$A$26:$G$592,7,0)</f>
        <v>2.1 Em Teste</v>
      </c>
      <c r="H373" s="136" t="s">
        <v>1927</v>
      </c>
      <c r="I373" s="154" t="s">
        <v>661</v>
      </c>
      <c r="J373" s="153">
        <f>IF(VLOOKUP(A373,'Aux - pivots1'!$A:$E,3,0)=0, "",VLOOKUP(A373,'Aux - pivots1'!$A:$E,3,0))</f>
        <v>45561</v>
      </c>
      <c r="K373" s="153">
        <f>IF(VLOOKUP(A373,'Aux - pivots1'!$A:$E,4,0)=0, "",VLOOKUP(A373,'Aux - pivots1'!$A:$E,4,0))</f>
        <v>45614</v>
      </c>
      <c r="L373" s="153">
        <f>IF(VLOOKUP(A373,'Aux - pivots1'!$A:$E,5,0)=0, "",VLOOKUP(A373,'Aux - pivots1'!$A:$E,5,0))</f>
        <v>45615</v>
      </c>
      <c r="M373" s="209"/>
      <c r="N373" s="209"/>
    </row>
    <row r="374" spans="1:14" ht="16.2" hidden="1" customHeight="1" x14ac:dyDescent="0.4">
      <c r="A374" s="30" t="str">
        <f t="shared" si="8"/>
        <v>modesg_out_empr_info_nfinccm_capex_own_prfrmnce_algnd</v>
      </c>
      <c r="B374" s="142" t="s">
        <v>26</v>
      </c>
      <c r="C374" s="138" t="s">
        <v>311</v>
      </c>
      <c r="D374" s="134" t="s">
        <v>40</v>
      </c>
      <c r="E374" s="135" t="s">
        <v>326</v>
      </c>
      <c r="F374" s="134" t="s">
        <v>259</v>
      </c>
      <c r="G374" s="136" t="str">
        <f>VLOOKUP(A374,Plano_V3!$A$26:$G$592,7,0)</f>
        <v>2.1 Em Teste</v>
      </c>
      <c r="H374" s="136" t="s">
        <v>1927</v>
      </c>
      <c r="I374" s="154" t="s">
        <v>661</v>
      </c>
      <c r="J374" s="153">
        <f>IF(VLOOKUP(A374,'Aux - pivots1'!$A:$E,3,0)=0, "",VLOOKUP(A374,'Aux - pivots1'!$A:$E,3,0))</f>
        <v>45561</v>
      </c>
      <c r="K374" s="153">
        <f>IF(VLOOKUP(A374,'Aux - pivots1'!$A:$E,4,0)=0, "",VLOOKUP(A374,'Aux - pivots1'!$A:$E,4,0))</f>
        <v>45614</v>
      </c>
      <c r="L374" s="153">
        <f>IF(VLOOKUP(A374,'Aux - pivots1'!$A:$E,5,0)=0, "",VLOOKUP(A374,'Aux - pivots1'!$A:$E,5,0))</f>
        <v>45615</v>
      </c>
      <c r="M374" s="209"/>
      <c r="N374" s="209"/>
    </row>
    <row r="375" spans="1:14" ht="16.2" hidden="1" customHeight="1" x14ac:dyDescent="0.4">
      <c r="A375" s="30" t="str">
        <f t="shared" si="8"/>
        <v>modesg_out_empr_info_nfinccm_capex_trnstn_algnd</v>
      </c>
      <c r="B375" s="142" t="s">
        <v>26</v>
      </c>
      <c r="C375" s="138" t="s">
        <v>311</v>
      </c>
      <c r="D375" s="134" t="s">
        <v>40</v>
      </c>
      <c r="E375" s="135" t="s">
        <v>326</v>
      </c>
      <c r="F375" s="134" t="s">
        <v>258</v>
      </c>
      <c r="G375" s="136" t="str">
        <f>VLOOKUP(A375,Plano_V3!$A$26:$G$592,7,0)</f>
        <v>2.1 Em Teste</v>
      </c>
      <c r="H375" s="136" t="s">
        <v>1927</v>
      </c>
      <c r="I375" s="154" t="s">
        <v>661</v>
      </c>
      <c r="J375" s="153">
        <f>IF(VLOOKUP(A375,'Aux - pivots1'!$A:$E,3,0)=0, "",VLOOKUP(A375,'Aux - pivots1'!$A:$E,3,0))</f>
        <v>45561</v>
      </c>
      <c r="K375" s="153">
        <f>IF(VLOOKUP(A375,'Aux - pivots1'!$A:$E,4,0)=0, "",VLOOKUP(A375,'Aux - pivots1'!$A:$E,4,0))</f>
        <v>45614</v>
      </c>
      <c r="L375" s="153">
        <f>IF(VLOOKUP(A375,'Aux - pivots1'!$A:$E,5,0)=0, "",VLOOKUP(A375,'Aux - pivots1'!$A:$E,5,0))</f>
        <v>45615</v>
      </c>
      <c r="M375" s="209"/>
      <c r="N375" s="209"/>
    </row>
    <row r="376" spans="1:14" ht="16.2" hidden="1" customHeight="1" x14ac:dyDescent="0.4">
      <c r="A376" s="30" t="str">
        <f t="shared" si="8"/>
        <v>modesg_out_empr_info_nfinccm_capex_ttl_elgbl</v>
      </c>
      <c r="B376" s="142" t="s">
        <v>26</v>
      </c>
      <c r="C376" s="138" t="s">
        <v>311</v>
      </c>
      <c r="D376" s="134" t="s">
        <v>40</v>
      </c>
      <c r="E376" s="135" t="s">
        <v>326</v>
      </c>
      <c r="F376" s="134" t="s">
        <v>256</v>
      </c>
      <c r="G376" s="136" t="str">
        <f>VLOOKUP(A376,Plano_V3!$A$26:$G$592,7,0)</f>
        <v>2.1 Em Teste</v>
      </c>
      <c r="H376" s="136" t="s">
        <v>1927</v>
      </c>
      <c r="I376" s="154" t="s">
        <v>661</v>
      </c>
      <c r="J376" s="153">
        <f>IF(VLOOKUP(A376,'Aux - pivots1'!$A:$E,3,0)=0, "",VLOOKUP(A376,'Aux - pivots1'!$A:$E,3,0))</f>
        <v>45561</v>
      </c>
      <c r="K376" s="153">
        <f>IF(VLOOKUP(A376,'Aux - pivots1'!$A:$E,4,0)=0, "",VLOOKUP(A376,'Aux - pivots1'!$A:$E,4,0))</f>
        <v>45614</v>
      </c>
      <c r="L376" s="153">
        <f>IF(VLOOKUP(A376,'Aux - pivots1'!$A:$E,5,0)=0, "",VLOOKUP(A376,'Aux - pivots1'!$A:$E,5,0))</f>
        <v>45615</v>
      </c>
      <c r="M376" s="209"/>
      <c r="N376" s="209"/>
    </row>
    <row r="377" spans="1:14" ht="16.2" hidden="1" customHeight="1" x14ac:dyDescent="0.4">
      <c r="A377" s="30" t="str">
        <f t="shared" si="8"/>
        <v>modesg_out_empr_info_nfinccm_trnvr_enblng_algnd</v>
      </c>
      <c r="B377" s="142" t="s">
        <v>26</v>
      </c>
      <c r="C377" s="138" t="s">
        <v>311</v>
      </c>
      <c r="D377" s="134" t="s">
        <v>40</v>
      </c>
      <c r="E377" s="135" t="s">
        <v>326</v>
      </c>
      <c r="F377" s="134" t="s">
        <v>253</v>
      </c>
      <c r="G377" s="136" t="str">
        <f>VLOOKUP(A377,Plano_V3!$A$26:$G$592,7,0)</f>
        <v>2.1 Em Teste</v>
      </c>
      <c r="H377" s="136" t="s">
        <v>1927</v>
      </c>
      <c r="I377" s="154" t="s">
        <v>661</v>
      </c>
      <c r="J377" s="153">
        <f>IF(VLOOKUP(A377,'Aux - pivots1'!$A:$E,3,0)=0, "",VLOOKUP(A377,'Aux - pivots1'!$A:$E,3,0))</f>
        <v>45561</v>
      </c>
      <c r="K377" s="153">
        <f>IF(VLOOKUP(A377,'Aux - pivots1'!$A:$E,4,0)=0, "",VLOOKUP(A377,'Aux - pivots1'!$A:$E,4,0))</f>
        <v>45614</v>
      </c>
      <c r="L377" s="153">
        <f>IF(VLOOKUP(A377,'Aux - pivots1'!$A:$E,5,0)=0, "",VLOOKUP(A377,'Aux - pivots1'!$A:$E,5,0))</f>
        <v>45615</v>
      </c>
      <c r="M377" s="209"/>
      <c r="N377" s="209"/>
    </row>
    <row r="378" spans="1:14" ht="16.2" hidden="1" customHeight="1" x14ac:dyDescent="0.4">
      <c r="A378" s="30" t="str">
        <f t="shared" si="8"/>
        <v>modesg_out_empr_info_nfinccm_trnvr_own_prfrmnce_algnd</v>
      </c>
      <c r="B378" s="142" t="s">
        <v>26</v>
      </c>
      <c r="C378" s="138" t="s">
        <v>311</v>
      </c>
      <c r="D378" s="134" t="s">
        <v>40</v>
      </c>
      <c r="E378" s="135" t="s">
        <v>326</v>
      </c>
      <c r="F378" s="134" t="s">
        <v>255</v>
      </c>
      <c r="G378" s="136" t="str">
        <f>VLOOKUP(A378,Plano_V3!$A$26:$G$592,7,0)</f>
        <v>2.1 Em Teste</v>
      </c>
      <c r="H378" s="136" t="s">
        <v>1927</v>
      </c>
      <c r="I378" s="154" t="s">
        <v>661</v>
      </c>
      <c r="J378" s="153">
        <f>IF(VLOOKUP(A378,'Aux - pivots1'!$A:$E,3,0)=0, "",VLOOKUP(A378,'Aux - pivots1'!$A:$E,3,0))</f>
        <v>45561</v>
      </c>
      <c r="K378" s="153">
        <f>IF(VLOOKUP(A378,'Aux - pivots1'!$A:$E,4,0)=0, "",VLOOKUP(A378,'Aux - pivots1'!$A:$E,4,0))</f>
        <v>45614</v>
      </c>
      <c r="L378" s="153">
        <f>IF(VLOOKUP(A378,'Aux - pivots1'!$A:$E,5,0)=0, "",VLOOKUP(A378,'Aux - pivots1'!$A:$E,5,0))</f>
        <v>45615</v>
      </c>
      <c r="M378" s="209"/>
      <c r="N378" s="209"/>
    </row>
    <row r="379" spans="1:14" ht="16.2" hidden="1" customHeight="1" x14ac:dyDescent="0.4">
      <c r="A379" s="30" t="str">
        <f t="shared" si="8"/>
        <v>modesg_out_empr_info_nfinccm_trnvr_trnstn_alignd</v>
      </c>
      <c r="B379" s="142" t="s">
        <v>26</v>
      </c>
      <c r="C379" s="138" t="s">
        <v>311</v>
      </c>
      <c r="D379" s="134" t="s">
        <v>40</v>
      </c>
      <c r="E379" s="135" t="s">
        <v>326</v>
      </c>
      <c r="F379" s="134" t="s">
        <v>254</v>
      </c>
      <c r="G379" s="136" t="str">
        <f>VLOOKUP(A379,Plano_V3!$A$26:$G$592,7,0)</f>
        <v>2.1 Em Teste</v>
      </c>
      <c r="H379" s="136" t="s">
        <v>1927</v>
      </c>
      <c r="I379" s="154" t="s">
        <v>661</v>
      </c>
      <c r="J379" s="153">
        <f>IF(VLOOKUP(A379,'Aux - pivots1'!$A:$E,3,0)=0, "",VLOOKUP(A379,'Aux - pivots1'!$A:$E,3,0))</f>
        <v>45561</v>
      </c>
      <c r="K379" s="153">
        <f>IF(VLOOKUP(A379,'Aux - pivots1'!$A:$E,4,0)=0, "",VLOOKUP(A379,'Aux - pivots1'!$A:$E,4,0))</f>
        <v>45614</v>
      </c>
      <c r="L379" s="153">
        <f>IF(VLOOKUP(A379,'Aux - pivots1'!$A:$E,5,0)=0, "",VLOOKUP(A379,'Aux - pivots1'!$A:$E,5,0))</f>
        <v>45615</v>
      </c>
      <c r="M379" s="209"/>
      <c r="N379" s="209"/>
    </row>
    <row r="380" spans="1:14" ht="16.2" hidden="1" customHeight="1" x14ac:dyDescent="0.4">
      <c r="A380" s="30" t="str">
        <f t="shared" si="8"/>
        <v>modesg_out_empr_info_nfinccm_trnvr_ttl_elgbl</v>
      </c>
      <c r="B380" s="142" t="s">
        <v>26</v>
      </c>
      <c r="C380" s="138" t="s">
        <v>311</v>
      </c>
      <c r="D380" s="134" t="s">
        <v>40</v>
      </c>
      <c r="E380" s="135" t="s">
        <v>326</v>
      </c>
      <c r="F380" s="134" t="s">
        <v>252</v>
      </c>
      <c r="G380" s="136" t="str">
        <f>VLOOKUP(A380,Plano_V3!$A$26:$G$592,7,0)</f>
        <v>2.1 Em Teste</v>
      </c>
      <c r="H380" s="136" t="s">
        <v>1927</v>
      </c>
      <c r="I380" s="154" t="s">
        <v>661</v>
      </c>
      <c r="J380" s="153">
        <f>IF(VLOOKUP(A380,'Aux - pivots1'!$A:$E,3,0)=0, "",VLOOKUP(A380,'Aux - pivots1'!$A:$E,3,0))</f>
        <v>45561</v>
      </c>
      <c r="K380" s="153">
        <f>IF(VLOOKUP(A380,'Aux - pivots1'!$A:$E,4,0)=0, "",VLOOKUP(A380,'Aux - pivots1'!$A:$E,4,0))</f>
        <v>45614</v>
      </c>
      <c r="L380" s="153">
        <f>IF(VLOOKUP(A380,'Aux - pivots1'!$A:$E,5,0)=0, "",VLOOKUP(A380,'Aux - pivots1'!$A:$E,5,0))</f>
        <v>45615</v>
      </c>
      <c r="M380" s="209"/>
      <c r="N380" s="209"/>
    </row>
    <row r="381" spans="1:14" ht="16.2" hidden="1" customHeight="1" x14ac:dyDescent="0.4">
      <c r="A381" s="30" t="str">
        <f t="shared" si="8"/>
        <v>modesg_out_empr_info_nfincod_nace_esg</v>
      </c>
      <c r="B381" s="142" t="s">
        <v>26</v>
      </c>
      <c r="C381" s="138" t="s">
        <v>311</v>
      </c>
      <c r="D381" s="134" t="s">
        <v>40</v>
      </c>
      <c r="E381" s="135" t="s">
        <v>326</v>
      </c>
      <c r="F381" s="219" t="s">
        <v>282</v>
      </c>
      <c r="G381" s="220" t="str">
        <f>VLOOKUP(A381,Plano_V3!$A$26:$G$592,7,0)</f>
        <v>2.1 Em Teste</v>
      </c>
      <c r="H381" s="136" t="s">
        <v>1927</v>
      </c>
      <c r="I381" s="154" t="s">
        <v>661</v>
      </c>
      <c r="J381" s="153">
        <f>IF(VLOOKUP(A381,'Aux - pivots1'!$A:$E,3,0)=0, "",VLOOKUP(A381,'Aux - pivots1'!$A:$E,3,0))</f>
        <v>45561</v>
      </c>
      <c r="K381" s="153">
        <f>IF(VLOOKUP(A381,'Aux - pivots1'!$A:$E,4,0)=0, "",VLOOKUP(A381,'Aux - pivots1'!$A:$E,4,0))</f>
        <v>45614</v>
      </c>
      <c r="L381" s="153">
        <f>IF(VLOOKUP(A381,'Aux - pivots1'!$A:$E,5,0)=0, "",VLOOKUP(A381,'Aux - pivots1'!$A:$E,5,0))</f>
        <v>45615</v>
      </c>
      <c r="M381" s="209"/>
      <c r="N381" s="209"/>
    </row>
    <row r="382" spans="1:14" ht="16.2" hidden="1" customHeight="1" x14ac:dyDescent="0.4">
      <c r="A382" s="30" t="str">
        <f t="shared" si="8"/>
        <v>modesg_out_empr_info_nfinflg_emprs_excl_paris</v>
      </c>
      <c r="B382" s="142" t="s">
        <v>26</v>
      </c>
      <c r="C382" s="138" t="s">
        <v>311</v>
      </c>
      <c r="D382" s="134" t="s">
        <v>40</v>
      </c>
      <c r="E382" s="135" t="s">
        <v>326</v>
      </c>
      <c r="F382" s="134" t="s">
        <v>328</v>
      </c>
      <c r="G382" s="136" t="str">
        <f>VLOOKUP(A382,Plano_V3!$A$26:$G$592,7,0)</f>
        <v>2.1 Em Teste</v>
      </c>
      <c r="H382" s="136" t="s">
        <v>1927</v>
      </c>
      <c r="I382" s="154" t="s">
        <v>661</v>
      </c>
      <c r="J382" s="153">
        <f>IF(VLOOKUP(A382,'Aux - pivots1'!$A:$E,3,0)=0, "",VLOOKUP(A382,'Aux - pivots1'!$A:$E,3,0))</f>
        <v>45553</v>
      </c>
      <c r="K382" s="153">
        <f>IF(VLOOKUP(A382,'Aux - pivots1'!$A:$E,4,0)=0, "",VLOOKUP(A382,'Aux - pivots1'!$A:$E,4,0))</f>
        <v>45614</v>
      </c>
      <c r="L382" s="153">
        <f>IF(VLOOKUP(A382,'Aux - pivots1'!$A:$E,5,0)=0, "",VLOOKUP(A382,'Aux - pivots1'!$A:$E,5,0))</f>
        <v>45615</v>
      </c>
      <c r="M382" s="209"/>
      <c r="N382" s="209"/>
    </row>
    <row r="383" spans="1:14" ht="16.2" hidden="1" customHeight="1" x14ac:dyDescent="0.4">
      <c r="A383" s="30" t="str">
        <f t="shared" si="8"/>
        <v>modesg_out_empr_info_nfinflg_nfrd</v>
      </c>
      <c r="B383" s="142" t="s">
        <v>26</v>
      </c>
      <c r="C383" s="138" t="s">
        <v>311</v>
      </c>
      <c r="D383" s="134" t="s">
        <v>40</v>
      </c>
      <c r="E383" s="135" t="s">
        <v>326</v>
      </c>
      <c r="F383" s="134" t="s">
        <v>245</v>
      </c>
      <c r="G383" s="136" t="str">
        <f>VLOOKUP(A383,Plano_V3!$A$26:$G$592,7,0)</f>
        <v>2.1 Em Teste</v>
      </c>
      <c r="H383" s="136" t="s">
        <v>1927</v>
      </c>
      <c r="I383" s="154" t="s">
        <v>661</v>
      </c>
      <c r="J383" s="153">
        <f>IF(VLOOKUP(A383,'Aux - pivots1'!$A:$E,3,0)=0, "",VLOOKUP(A383,'Aux - pivots1'!$A:$E,3,0))</f>
        <v>45553</v>
      </c>
      <c r="K383" s="153">
        <f>IF(VLOOKUP(A383,'Aux - pivots1'!$A:$E,4,0)=0, "",VLOOKUP(A383,'Aux - pivots1'!$A:$E,4,0))</f>
        <v>45614</v>
      </c>
      <c r="L383" s="153">
        <f>IF(VLOOKUP(A383,'Aux - pivots1'!$A:$E,5,0)=0, "",VLOOKUP(A383,'Aux - pivots1'!$A:$E,5,0))</f>
        <v>45615</v>
      </c>
      <c r="M383" s="209"/>
      <c r="N383" s="209"/>
    </row>
    <row r="384" spans="1:14" ht="16.2" hidden="1" customHeight="1" x14ac:dyDescent="0.4">
      <c r="A384" s="30" t="str">
        <f t="shared" si="8"/>
        <v>modesg_out_empr_info_nfinflg_rsc_fsc_agd</v>
      </c>
      <c r="B384" s="142" t="s">
        <v>26</v>
      </c>
      <c r="C384" s="138" t="s">
        <v>311</v>
      </c>
      <c r="D384" s="134" t="s">
        <v>40</v>
      </c>
      <c r="E384" s="135" t="s">
        <v>326</v>
      </c>
      <c r="F384" s="134" t="s">
        <v>283</v>
      </c>
      <c r="G384" s="136" t="str">
        <f>VLOOKUP(A384,Plano_V3!$A$26:$G$592,7,0)</f>
        <v>6. Em implementação (re-especificação)</v>
      </c>
      <c r="H384" s="136" t="s">
        <v>619</v>
      </c>
      <c r="I384" s="154" t="s">
        <v>661</v>
      </c>
      <c r="J384" s="153">
        <f>IF(VLOOKUP(A384,'Aux - pivots1'!$A:$E,3,0)=0, "",VLOOKUP(A384,'Aux - pivots1'!$A:$E,3,0))</f>
        <v>45569</v>
      </c>
      <c r="K384" s="153">
        <f>IF(VLOOKUP(A384,'Aux - pivots1'!$A:$E,4,0)=0, "",VLOOKUP(A384,'Aux - pivots1'!$A:$E,4,0))</f>
        <v>45624</v>
      </c>
      <c r="L384" s="153" t="str">
        <f>IF(VLOOKUP(A384,'Aux - pivots1'!$A:$E,5,0)=0, "",VLOOKUP(A384,'Aux - pivots1'!$A:$E,5,0))</f>
        <v/>
      </c>
      <c r="M384" s="209"/>
      <c r="N384" s="209"/>
    </row>
    <row r="385" spans="1:14" ht="16.2" hidden="1" customHeight="1" x14ac:dyDescent="0.4">
      <c r="A385" s="30" t="str">
        <f t="shared" si="8"/>
        <v>modesg_out_empr_info_nfinflg_rsc_fsc_crnc</v>
      </c>
      <c r="B385" s="142" t="s">
        <v>26</v>
      </c>
      <c r="C385" s="138" t="s">
        <v>311</v>
      </c>
      <c r="D385" s="134" t="s">
        <v>40</v>
      </c>
      <c r="E385" s="135" t="s">
        <v>326</v>
      </c>
      <c r="F385" s="134" t="s">
        <v>284</v>
      </c>
      <c r="G385" s="136" t="str">
        <f>VLOOKUP(A385,Plano_V3!$A$26:$G$592,7,0)</f>
        <v>6. Em implementação (re-especificação)</v>
      </c>
      <c r="H385" s="136" t="s">
        <v>619</v>
      </c>
      <c r="I385" s="154" t="s">
        <v>661</v>
      </c>
      <c r="J385" s="153">
        <f>IF(VLOOKUP(A385,'Aux - pivots1'!$A:$E,3,0)=0, "",VLOOKUP(A385,'Aux - pivots1'!$A:$E,3,0))</f>
        <v>45569</v>
      </c>
      <c r="K385" s="153">
        <f>IF(VLOOKUP(A385,'Aux - pivots1'!$A:$E,4,0)=0, "",VLOOKUP(A385,'Aux - pivots1'!$A:$E,4,0))</f>
        <v>45624</v>
      </c>
      <c r="L385" s="153" t="str">
        <f>IF(VLOOKUP(A385,'Aux - pivots1'!$A:$E,5,0)=0, "",VLOOKUP(A385,'Aux - pivots1'!$A:$E,5,0))</f>
        <v/>
      </c>
      <c r="M385" s="209"/>
      <c r="N385" s="209"/>
    </row>
    <row r="386" spans="1:14" ht="16.2" hidden="1" customHeight="1" x14ac:dyDescent="0.4">
      <c r="A386" s="30" t="str">
        <f t="shared" si="8"/>
        <v>modesg_out_empr_info_nfinorigem_alinhamentos</v>
      </c>
      <c r="B386" s="142" t="s">
        <v>26</v>
      </c>
      <c r="C386" s="138" t="s">
        <v>311</v>
      </c>
      <c r="D386" s="134" t="s">
        <v>40</v>
      </c>
      <c r="E386" s="135" t="s">
        <v>326</v>
      </c>
      <c r="F386" s="134" t="s">
        <v>329</v>
      </c>
      <c r="G386" s="136" t="str">
        <f>VLOOKUP(A386,Plano_V3!$A$26:$G$592,7,0)</f>
        <v>2.1 Em Teste</v>
      </c>
      <c r="H386" s="136" t="s">
        <v>1927</v>
      </c>
      <c r="I386" s="154" t="s">
        <v>661</v>
      </c>
      <c r="J386" s="153">
        <f>IF(VLOOKUP(A386,'Aux - pivots1'!$A:$E,3,0)=0, "",VLOOKUP(A386,'Aux - pivots1'!$A:$E,3,0))</f>
        <v>45569</v>
      </c>
      <c r="K386" s="153">
        <f>IF(VLOOKUP(A386,'Aux - pivots1'!$A:$E,4,0)=0, "",VLOOKUP(A386,'Aux - pivots1'!$A:$E,4,0))</f>
        <v>45614</v>
      </c>
      <c r="L386" s="153">
        <f>IF(VLOOKUP(A386,'Aux - pivots1'!$A:$E,5,0)=0, "",VLOOKUP(A386,'Aux - pivots1'!$A:$E,5,0))</f>
        <v>45615</v>
      </c>
      <c r="M386" s="209"/>
      <c r="N386" s="209"/>
    </row>
    <row r="387" spans="1:14" ht="16.2" hidden="1" customHeight="1" x14ac:dyDescent="0.4">
      <c r="A387" s="30" t="str">
        <f t="shared" si="8"/>
        <v>modesg_out_empr_info_nfinorigem_flg_emprs_excl_paris</v>
      </c>
      <c r="B387" s="142" t="s">
        <v>26</v>
      </c>
      <c r="C387" s="138" t="s">
        <v>311</v>
      </c>
      <c r="D387" s="134" t="s">
        <v>40</v>
      </c>
      <c r="E387" s="135" t="s">
        <v>326</v>
      </c>
      <c r="F387" s="134" t="s">
        <v>330</v>
      </c>
      <c r="G387" s="136" t="str">
        <f>VLOOKUP(A387,Plano_V3!$A$26:$G$592,7,0)</f>
        <v>2.1 Em Teste</v>
      </c>
      <c r="H387" s="136" t="s">
        <v>1927</v>
      </c>
      <c r="I387" s="154" t="s">
        <v>661</v>
      </c>
      <c r="J387" s="153">
        <f>IF(VLOOKUP(A387,'Aux - pivots1'!$A:$E,3,0)=0, "",VLOOKUP(A387,'Aux - pivots1'!$A:$E,3,0))</f>
        <v>45553</v>
      </c>
      <c r="K387" s="153">
        <f>IF(VLOOKUP(A387,'Aux - pivots1'!$A:$E,4,0)=0, "",VLOOKUP(A387,'Aux - pivots1'!$A:$E,4,0))</f>
        <v>45614</v>
      </c>
      <c r="L387" s="153">
        <f>IF(VLOOKUP(A387,'Aux - pivots1'!$A:$E,5,0)=0, "",VLOOKUP(A387,'Aux - pivots1'!$A:$E,5,0))</f>
        <v>45615</v>
      </c>
      <c r="M387" s="209"/>
      <c r="N387" s="209"/>
    </row>
    <row r="388" spans="1:14" ht="16.2" hidden="1" customHeight="1" x14ac:dyDescent="0.4">
      <c r="A388" s="30" t="str">
        <f t="shared" si="8"/>
        <v>modesg_out_empr_info_nfinorigem_flg_nfrd</v>
      </c>
      <c r="B388" s="142" t="s">
        <v>26</v>
      </c>
      <c r="C388" s="138" t="s">
        <v>311</v>
      </c>
      <c r="D388" s="134" t="s">
        <v>40</v>
      </c>
      <c r="E388" s="135" t="s">
        <v>326</v>
      </c>
      <c r="F388" s="134" t="s">
        <v>331</v>
      </c>
      <c r="G388" s="136" t="str">
        <f>VLOOKUP(A388,Plano_V3!$A$26:$G$592,7,0)</f>
        <v>2.1 Em Teste</v>
      </c>
      <c r="H388" s="136" t="s">
        <v>1927</v>
      </c>
      <c r="I388" s="154" t="s">
        <v>661</v>
      </c>
      <c r="J388" s="153">
        <f>IF(VLOOKUP(A388,'Aux - pivots1'!$A:$E,3,0)=0, "",VLOOKUP(A388,'Aux - pivots1'!$A:$E,3,0))</f>
        <v>45553</v>
      </c>
      <c r="K388" s="153">
        <f>IF(VLOOKUP(A388,'Aux - pivots1'!$A:$E,4,0)=0, "",VLOOKUP(A388,'Aux - pivots1'!$A:$E,4,0))</f>
        <v>45614</v>
      </c>
      <c r="L388" s="153">
        <f>IF(VLOOKUP(A388,'Aux - pivots1'!$A:$E,5,0)=0, "",VLOOKUP(A388,'Aux - pivots1'!$A:$E,5,0))</f>
        <v>45615</v>
      </c>
      <c r="M388" s="209"/>
      <c r="N388" s="209"/>
    </row>
    <row r="389" spans="1:14" ht="16.2" hidden="1" customHeight="1" x14ac:dyDescent="0.4">
      <c r="A389" s="30" t="str">
        <f t="shared" si="8"/>
        <v>modesg_out_empr_info_nfinorigem_flg_rsc_fsc_agd</v>
      </c>
      <c r="B389" s="142" t="s">
        <v>26</v>
      </c>
      <c r="C389" s="138" t="s">
        <v>311</v>
      </c>
      <c r="D389" s="134" t="s">
        <v>40</v>
      </c>
      <c r="E389" s="135" t="s">
        <v>326</v>
      </c>
      <c r="F389" s="134" t="s">
        <v>318</v>
      </c>
      <c r="G389" s="136" t="str">
        <f>VLOOKUP(A389,Plano_V3!$A$26:$G$592,7,0)</f>
        <v>6. Em implementação (re-especificação)</v>
      </c>
      <c r="H389" s="136" t="s">
        <v>619</v>
      </c>
      <c r="I389" s="154" t="s">
        <v>661</v>
      </c>
      <c r="J389" s="153">
        <f>IF(VLOOKUP(A389,'Aux - pivots1'!$A:$E,3,0)=0, "",VLOOKUP(A389,'Aux - pivots1'!$A:$E,3,0))</f>
        <v>45569</v>
      </c>
      <c r="K389" s="153">
        <f>IF(VLOOKUP(A389,'Aux - pivots1'!$A:$E,4,0)=0, "",VLOOKUP(A389,'Aux - pivots1'!$A:$E,4,0))</f>
        <v>45624</v>
      </c>
      <c r="L389" s="153" t="str">
        <f>IF(VLOOKUP(A389,'Aux - pivots1'!$A:$E,5,0)=0, "",VLOOKUP(A389,'Aux - pivots1'!$A:$E,5,0))</f>
        <v/>
      </c>
      <c r="M389" s="209"/>
      <c r="N389" s="209"/>
    </row>
    <row r="390" spans="1:14" ht="16.2" hidden="1" customHeight="1" x14ac:dyDescent="0.4">
      <c r="A390" s="30" t="str">
        <f t="shared" si="8"/>
        <v>modesg_out_empr_info_nfinorigem_flg_rsc_fsc_crnc</v>
      </c>
      <c r="B390" s="142" t="s">
        <v>26</v>
      </c>
      <c r="C390" s="138" t="s">
        <v>311</v>
      </c>
      <c r="D390" s="134" t="s">
        <v>40</v>
      </c>
      <c r="E390" s="135" t="s">
        <v>326</v>
      </c>
      <c r="F390" s="134" t="s">
        <v>319</v>
      </c>
      <c r="G390" s="136" t="str">
        <f>VLOOKUP(A390,Plano_V3!$A$26:$G$592,7,0)</f>
        <v>6. Em implementação (re-especificação)</v>
      </c>
      <c r="H390" s="136" t="s">
        <v>619</v>
      </c>
      <c r="I390" s="154" t="s">
        <v>661</v>
      </c>
      <c r="J390" s="153">
        <f>IF(VLOOKUP(A390,'Aux - pivots1'!$A:$E,3,0)=0, "",VLOOKUP(A390,'Aux - pivots1'!$A:$E,3,0))</f>
        <v>45569</v>
      </c>
      <c r="K390" s="153">
        <f>IF(VLOOKUP(A390,'Aux - pivots1'!$A:$E,4,0)=0, "",VLOOKUP(A390,'Aux - pivots1'!$A:$E,4,0))</f>
        <v>45624</v>
      </c>
      <c r="L390" s="153" t="str">
        <f>IF(VLOOKUP(A390,'Aux - pivots1'!$A:$E,5,0)=0, "",VLOOKUP(A390,'Aux - pivots1'!$A:$E,5,0))</f>
        <v/>
      </c>
      <c r="M390" s="209"/>
      <c r="N390" s="209"/>
    </row>
    <row r="391" spans="1:14" ht="16.2" hidden="1" customHeight="1" x14ac:dyDescent="0.4">
      <c r="A391" s="30" t="str">
        <f t="shared" si="8"/>
        <v>modesg_out_empr_info_nfinorigem_scp1_emss</v>
      </c>
      <c r="B391" s="142" t="s">
        <v>26</v>
      </c>
      <c r="C391" s="138" t="s">
        <v>311</v>
      </c>
      <c r="D391" s="134" t="s">
        <v>40</v>
      </c>
      <c r="E391" s="135" t="s">
        <v>326</v>
      </c>
      <c r="F391" s="134" t="s">
        <v>320</v>
      </c>
      <c r="G391" s="136" t="str">
        <f>VLOOKUP(A391,Plano_V3!$A$26:$G$592,7,0)</f>
        <v>2.1 Em Teste</v>
      </c>
      <c r="H391" s="136" t="s">
        <v>619</v>
      </c>
      <c r="I391" s="154" t="s">
        <v>662</v>
      </c>
      <c r="J391" s="153">
        <f>IF(VLOOKUP(A391,'Aux - pivots1'!$A:$E,3,0)=0, "",VLOOKUP(A391,'Aux - pivots1'!$A:$E,3,0))</f>
        <v>45569</v>
      </c>
      <c r="K391" s="153">
        <f>IF(VLOOKUP(A391,'Aux - pivots1'!$A:$E,4,0)=0, "",VLOOKUP(A391,'Aux - pivots1'!$A:$E,4,0))</f>
        <v>45621</v>
      </c>
      <c r="L391" s="153">
        <f>IF(VLOOKUP(A391,'Aux - pivots1'!$A:$E,5,0)=0, "",VLOOKUP(A391,'Aux - pivots1'!$A:$E,5,0))</f>
        <v>45622</v>
      </c>
      <c r="M391" s="209"/>
      <c r="N391" s="209"/>
    </row>
    <row r="392" spans="1:14" ht="16.2" hidden="1" customHeight="1" x14ac:dyDescent="0.4">
      <c r="A392" s="30" t="str">
        <f t="shared" si="8"/>
        <v>modesg_out_empr_info_nfinorigem_scp2_emss</v>
      </c>
      <c r="B392" s="142" t="s">
        <v>26</v>
      </c>
      <c r="C392" s="138" t="s">
        <v>311</v>
      </c>
      <c r="D392" s="134" t="s">
        <v>40</v>
      </c>
      <c r="E392" s="135" t="s">
        <v>326</v>
      </c>
      <c r="F392" s="134" t="s">
        <v>321</v>
      </c>
      <c r="G392" s="136" t="str">
        <f>VLOOKUP(A392,Plano_V3!$A$26:$G$592,7,0)</f>
        <v>2.1 Em Teste</v>
      </c>
      <c r="H392" s="136" t="s">
        <v>619</v>
      </c>
      <c r="I392" s="154" t="s">
        <v>662</v>
      </c>
      <c r="J392" s="153">
        <f>IF(VLOOKUP(A392,'Aux - pivots1'!$A:$E,3,0)=0, "",VLOOKUP(A392,'Aux - pivots1'!$A:$E,3,0))</f>
        <v>45569</v>
      </c>
      <c r="K392" s="153">
        <f>IF(VLOOKUP(A392,'Aux - pivots1'!$A:$E,4,0)=0, "",VLOOKUP(A392,'Aux - pivots1'!$A:$E,4,0))</f>
        <v>45621</v>
      </c>
      <c r="L392" s="153">
        <f>IF(VLOOKUP(A392,'Aux - pivots1'!$A:$E,5,0)=0, "",VLOOKUP(A392,'Aux - pivots1'!$A:$E,5,0))</f>
        <v>45622</v>
      </c>
      <c r="M392" s="209"/>
      <c r="N392" s="209"/>
    </row>
    <row r="393" spans="1:14" ht="16.2" hidden="1" customHeight="1" x14ac:dyDescent="0.4">
      <c r="A393" s="30" t="str">
        <f t="shared" si="8"/>
        <v>modesg_out_empr_info_nfinorigem_scp3_emss</v>
      </c>
      <c r="B393" s="142" t="s">
        <v>26</v>
      </c>
      <c r="C393" s="138" t="s">
        <v>311</v>
      </c>
      <c r="D393" s="134" t="s">
        <v>40</v>
      </c>
      <c r="E393" s="135" t="s">
        <v>326</v>
      </c>
      <c r="F393" s="134" t="s">
        <v>322</v>
      </c>
      <c r="G393" s="136" t="str">
        <f>VLOOKUP(A393,Plano_V3!$A$26:$G$592,7,0)</f>
        <v>2.1 Em Teste</v>
      </c>
      <c r="H393" s="136" t="s">
        <v>619</v>
      </c>
      <c r="I393" s="154" t="s">
        <v>662</v>
      </c>
      <c r="J393" s="153">
        <f>IF(VLOOKUP(A393,'Aux - pivots1'!$A:$E,3,0)=0, "",VLOOKUP(A393,'Aux - pivots1'!$A:$E,3,0))</f>
        <v>45569</v>
      </c>
      <c r="K393" s="153">
        <f>IF(VLOOKUP(A393,'Aux - pivots1'!$A:$E,4,0)=0, "",VLOOKUP(A393,'Aux - pivots1'!$A:$E,4,0))</f>
        <v>45621</v>
      </c>
      <c r="L393" s="153">
        <f>IF(VLOOKUP(A393,'Aux - pivots1'!$A:$E,5,0)=0, "",VLOOKUP(A393,'Aux - pivots1'!$A:$E,5,0))</f>
        <v>45622</v>
      </c>
      <c r="M393" s="209"/>
      <c r="N393" s="209"/>
    </row>
    <row r="394" spans="1:14" ht="16.2" hidden="1" customHeight="1" x14ac:dyDescent="0.4">
      <c r="A394" s="30" t="str">
        <f t="shared" si="8"/>
        <v>modesg_out_empr_info_nfinref_date</v>
      </c>
      <c r="B394" s="142" t="s">
        <v>26</v>
      </c>
      <c r="C394" s="138" t="s">
        <v>311</v>
      </c>
      <c r="D394" s="134" t="s">
        <v>40</v>
      </c>
      <c r="E394" s="135" t="s">
        <v>326</v>
      </c>
      <c r="F394" s="134" t="s">
        <v>208</v>
      </c>
      <c r="G394" s="136" t="str">
        <f>VLOOKUP(A394,Plano_V3!$A$26:$G$592,7,0)</f>
        <v>1. Concluído</v>
      </c>
      <c r="H394" s="136" t="s">
        <v>614</v>
      </c>
      <c r="I394" s="154"/>
      <c r="J394" s="153" t="str">
        <f>IF(VLOOKUP(A394,'Aux - pivots1'!$A:$E,3,0)=0, "",VLOOKUP(A394,'Aux - pivots1'!$A:$E,3,0))</f>
        <v/>
      </c>
      <c r="K394" s="153" t="str">
        <f>IF(VLOOKUP(A394,'Aux - pivots1'!$A:$E,4,0)=0, "",VLOOKUP(A394,'Aux - pivots1'!$A:$E,4,0))</f>
        <v/>
      </c>
      <c r="L394" s="153" t="str">
        <f>IF(VLOOKUP(A394,'Aux - pivots1'!$A:$E,5,0)=0, "",VLOOKUP(A394,'Aux - pivots1'!$A:$E,5,0))</f>
        <v/>
      </c>
      <c r="M394" s="209"/>
      <c r="N394" s="209"/>
    </row>
    <row r="395" spans="1:14" ht="16.2" hidden="1" customHeight="1" x14ac:dyDescent="0.4">
      <c r="A395" s="30" t="str">
        <f t="shared" si="8"/>
        <v>modesg_out_empr_info_nfinscp1_emss</v>
      </c>
      <c r="B395" s="142" t="s">
        <v>26</v>
      </c>
      <c r="C395" s="138" t="s">
        <v>311</v>
      </c>
      <c r="D395" s="134" t="s">
        <v>40</v>
      </c>
      <c r="E395" s="135" t="s">
        <v>326</v>
      </c>
      <c r="F395" s="134" t="s">
        <v>286</v>
      </c>
      <c r="G395" s="136" t="str">
        <f>VLOOKUP(A395,Plano_V3!$A$26:$G$592,7,0)</f>
        <v>2.1 Em Teste</v>
      </c>
      <c r="H395" s="136" t="s">
        <v>619</v>
      </c>
      <c r="I395" s="154" t="s">
        <v>662</v>
      </c>
      <c r="J395" s="153">
        <f>IF(VLOOKUP(A395,'Aux - pivots1'!$A:$E,3,0)=0, "",VLOOKUP(A395,'Aux - pivots1'!$A:$E,3,0))</f>
        <v>45569</v>
      </c>
      <c r="K395" s="153">
        <f>IF(VLOOKUP(A395,'Aux - pivots1'!$A:$E,4,0)=0, "",VLOOKUP(A395,'Aux - pivots1'!$A:$E,4,0))</f>
        <v>45621</v>
      </c>
      <c r="L395" s="153">
        <f>IF(VLOOKUP(A395,'Aux - pivots1'!$A:$E,5,0)=0, "",VLOOKUP(A395,'Aux - pivots1'!$A:$E,5,0))</f>
        <v>45622</v>
      </c>
      <c r="M395" s="209"/>
      <c r="N395" s="209"/>
    </row>
    <row r="396" spans="1:14" ht="16.2" hidden="1" customHeight="1" x14ac:dyDescent="0.4">
      <c r="A396" s="30" t="str">
        <f t="shared" si="8"/>
        <v>modesg_out_empr_info_nfinscp2_emss</v>
      </c>
      <c r="B396" s="142" t="s">
        <v>26</v>
      </c>
      <c r="C396" s="138" t="s">
        <v>311</v>
      </c>
      <c r="D396" s="134" t="s">
        <v>40</v>
      </c>
      <c r="E396" s="135" t="s">
        <v>326</v>
      </c>
      <c r="F396" s="134" t="s">
        <v>287</v>
      </c>
      <c r="G396" s="136" t="str">
        <f>VLOOKUP(A396,Plano_V3!$A$26:$G$592,7,0)</f>
        <v>2.1 Em Teste</v>
      </c>
      <c r="H396" s="136" t="s">
        <v>619</v>
      </c>
      <c r="I396" s="154" t="s">
        <v>662</v>
      </c>
      <c r="J396" s="153">
        <f>IF(VLOOKUP(A396,'Aux - pivots1'!$A:$E,3,0)=0, "",VLOOKUP(A396,'Aux - pivots1'!$A:$E,3,0))</f>
        <v>45569</v>
      </c>
      <c r="K396" s="153">
        <f>IF(VLOOKUP(A396,'Aux - pivots1'!$A:$E,4,0)=0, "",VLOOKUP(A396,'Aux - pivots1'!$A:$E,4,0))</f>
        <v>45621</v>
      </c>
      <c r="L396" s="153">
        <f>IF(VLOOKUP(A396,'Aux - pivots1'!$A:$E,5,0)=0, "",VLOOKUP(A396,'Aux - pivots1'!$A:$E,5,0))</f>
        <v>45622</v>
      </c>
      <c r="M396" s="209"/>
      <c r="N396" s="209"/>
    </row>
    <row r="397" spans="1:14" ht="16.2" hidden="1" customHeight="1" x14ac:dyDescent="0.4">
      <c r="A397" s="30" t="str">
        <f t="shared" si="8"/>
        <v>modesg_out_empr_info_nfinscp3_emss</v>
      </c>
      <c r="B397" s="142" t="s">
        <v>26</v>
      </c>
      <c r="C397" s="138" t="s">
        <v>311</v>
      </c>
      <c r="D397" s="134" t="s">
        <v>40</v>
      </c>
      <c r="E397" s="135" t="s">
        <v>326</v>
      </c>
      <c r="F397" s="134" t="s">
        <v>288</v>
      </c>
      <c r="G397" s="136" t="str">
        <f>VLOOKUP(A397,Plano_V3!$A$26:$G$592,7,0)</f>
        <v>2.1 Em Teste</v>
      </c>
      <c r="H397" s="136" t="s">
        <v>619</v>
      </c>
      <c r="I397" s="154" t="s">
        <v>662</v>
      </c>
      <c r="J397" s="153">
        <f>IF(VLOOKUP(A397,'Aux - pivots1'!$A:$E,3,0)=0, "",VLOOKUP(A397,'Aux - pivots1'!$A:$E,3,0))</f>
        <v>45569</v>
      </c>
      <c r="K397" s="153">
        <f>IF(VLOOKUP(A397,'Aux - pivots1'!$A:$E,4,0)=0, "",VLOOKUP(A397,'Aux - pivots1'!$A:$E,4,0))</f>
        <v>45621</v>
      </c>
      <c r="L397" s="153">
        <f>IF(VLOOKUP(A397,'Aux - pivots1'!$A:$E,5,0)=0, "",VLOOKUP(A397,'Aux - pivots1'!$A:$E,5,0))</f>
        <v>45622</v>
      </c>
      <c r="M397" s="209"/>
      <c r="N397" s="209"/>
    </row>
    <row r="398" spans="1:14" ht="16.2" hidden="1" customHeight="1" x14ac:dyDescent="0.4">
      <c r="A398" s="30" t="str">
        <f t="shared" si="8"/>
        <v>modesg_out_empr_info_nfinzcliente</v>
      </c>
      <c r="B398" s="142" t="s">
        <v>26</v>
      </c>
      <c r="C398" s="138" t="s">
        <v>311</v>
      </c>
      <c r="D398" s="134" t="s">
        <v>40</v>
      </c>
      <c r="E398" s="135" t="s">
        <v>326</v>
      </c>
      <c r="F398" s="134" t="s">
        <v>209</v>
      </c>
      <c r="G398" s="136" t="str">
        <f>VLOOKUP(A398,Plano_V3!$A$26:$G$592,7,0)</f>
        <v>1. Concluído</v>
      </c>
      <c r="H398" s="136" t="s">
        <v>614</v>
      </c>
      <c r="I398" s="154"/>
      <c r="J398" s="153" t="str">
        <f>IF(VLOOKUP(A398,'Aux - pivots1'!$A:$E,3,0)=0, "",VLOOKUP(A398,'Aux - pivots1'!$A:$E,3,0))</f>
        <v/>
      </c>
      <c r="K398" s="153" t="str">
        <f>IF(VLOOKUP(A398,'Aux - pivots1'!$A:$E,4,0)=0, "",VLOOKUP(A398,'Aux - pivots1'!$A:$E,4,0))</f>
        <v/>
      </c>
      <c r="L398" s="153" t="str">
        <f>IF(VLOOKUP(A398,'Aux - pivots1'!$A:$E,5,0)=0, "",VLOOKUP(A398,'Aux - pivots1'!$A:$E,5,0))</f>
        <v/>
      </c>
      <c r="M398" s="209"/>
      <c r="N398" s="209"/>
    </row>
    <row r="399" spans="1:14" ht="16.2" hidden="1" customHeight="1" x14ac:dyDescent="0.4">
      <c r="A399" s="30" t="str">
        <f t="shared" si="8"/>
        <v>modesg_out_emss_vclsn.a.</v>
      </c>
      <c r="B399" s="142" t="s">
        <v>26</v>
      </c>
      <c r="C399" s="138" t="s">
        <v>311</v>
      </c>
      <c r="D399" s="134" t="s">
        <v>36</v>
      </c>
      <c r="E399" s="135" t="s">
        <v>332</v>
      </c>
      <c r="F399" s="134" t="s">
        <v>38</v>
      </c>
      <c r="G399" s="136" t="str">
        <f>VLOOKUP(A399,Plano_V3!$A$26:$G$592,7,0)</f>
        <v>2.1 Em Teste</v>
      </c>
      <c r="H399" s="136" t="s">
        <v>1927</v>
      </c>
      <c r="I399" s="143" t="s">
        <v>663</v>
      </c>
      <c r="J399" s="153">
        <f>IF(VLOOKUP(A399,'Aux - pivots1'!$A:$E,3,0)=0, "",VLOOKUP(A399,'Aux - pivots1'!$A:$E,3,0))</f>
        <v>45560</v>
      </c>
      <c r="K399" s="153">
        <f>IF(VLOOKUP(A399,'Aux - pivots1'!$A:$E,4,0)=0, "",VLOOKUP(A399,'Aux - pivots1'!$A:$E,4,0))</f>
        <v>45607</v>
      </c>
      <c r="L399" s="153">
        <f>IF(VLOOKUP(A399,'Aux - pivots1'!$A:$E,5,0)=0, "",VLOOKUP(A399,'Aux - pivots1'!$A:$E,5,0))</f>
        <v>45608</v>
      </c>
      <c r="M399" s="209"/>
      <c r="N399" s="209"/>
    </row>
    <row r="400" spans="1:14" ht="16.2" hidden="1" customHeight="1" x14ac:dyDescent="0.4">
      <c r="A400" s="30" t="str">
        <f t="shared" si="8"/>
        <v>modesg_out_emss_vclscempbem</v>
      </c>
      <c r="B400" s="142" t="s">
        <v>26</v>
      </c>
      <c r="C400" s="138" t="s">
        <v>311</v>
      </c>
      <c r="D400" s="134" t="s">
        <v>40</v>
      </c>
      <c r="E400" s="135" t="s">
        <v>332</v>
      </c>
      <c r="F400" s="134" t="s">
        <v>314</v>
      </c>
      <c r="G400" s="136" t="str">
        <f>VLOOKUP(A400,Plano_V3!$A$26:$G$592,7,0)</f>
        <v>1. Concluído</v>
      </c>
      <c r="H400" s="136" t="s">
        <v>614</v>
      </c>
      <c r="I400" s="154"/>
      <c r="J400" s="153" t="str">
        <f>IF(VLOOKUP(A400,'Aux - pivots1'!$A:$E,3,0)=0, "",VLOOKUP(A400,'Aux - pivots1'!$A:$E,3,0))</f>
        <v/>
      </c>
      <c r="K400" s="153" t="str">
        <f>IF(VLOOKUP(A400,'Aux - pivots1'!$A:$E,4,0)=0, "",VLOOKUP(A400,'Aux - pivots1'!$A:$E,4,0))</f>
        <v/>
      </c>
      <c r="L400" s="153" t="str">
        <f>IF(VLOOKUP(A400,'Aux - pivots1'!$A:$E,5,0)=0, "",VLOOKUP(A400,'Aux - pivots1'!$A:$E,5,0))</f>
        <v/>
      </c>
      <c r="M400" s="209"/>
      <c r="N400" s="209"/>
    </row>
    <row r="401" spans="1:14" ht="16.2" hidden="1" customHeight="1" x14ac:dyDescent="0.4">
      <c r="A401" s="30" t="str">
        <f t="shared" si="8"/>
        <v>modesg_out_emss_vclsckbalbem</v>
      </c>
      <c r="B401" s="142" t="s">
        <v>26</v>
      </c>
      <c r="C401" s="138" t="s">
        <v>311</v>
      </c>
      <c r="D401" s="134" t="s">
        <v>40</v>
      </c>
      <c r="E401" s="135" t="s">
        <v>332</v>
      </c>
      <c r="F401" s="134" t="s">
        <v>315</v>
      </c>
      <c r="G401" s="136" t="str">
        <f>VLOOKUP(A401,Plano_V3!$A$26:$G$592,7,0)</f>
        <v>1. Concluído</v>
      </c>
      <c r="H401" s="136" t="s">
        <v>614</v>
      </c>
      <c r="I401" s="154"/>
      <c r="J401" s="153" t="str">
        <f>IF(VLOOKUP(A401,'Aux - pivots1'!$A:$E,3,0)=0, "",VLOOKUP(A401,'Aux - pivots1'!$A:$E,3,0))</f>
        <v/>
      </c>
      <c r="K401" s="153" t="str">
        <f>IF(VLOOKUP(A401,'Aux - pivots1'!$A:$E,4,0)=0, "",VLOOKUP(A401,'Aux - pivots1'!$A:$E,4,0))</f>
        <v/>
      </c>
      <c r="L401" s="153" t="str">
        <f>IF(VLOOKUP(A401,'Aux - pivots1'!$A:$E,5,0)=0, "",VLOOKUP(A401,'Aux - pivots1'!$A:$E,5,0))</f>
        <v/>
      </c>
      <c r="M401" s="209"/>
      <c r="N401" s="209"/>
    </row>
    <row r="402" spans="1:14" ht="16.2" hidden="1" customHeight="1" x14ac:dyDescent="0.4">
      <c r="A402" s="30" t="str">
        <f t="shared" si="8"/>
        <v>modesg_out_emss_vclsckctabem</v>
      </c>
      <c r="B402" s="142" t="s">
        <v>26</v>
      </c>
      <c r="C402" s="138" t="s">
        <v>311</v>
      </c>
      <c r="D402" s="134" t="s">
        <v>40</v>
      </c>
      <c r="E402" s="135" t="s">
        <v>332</v>
      </c>
      <c r="F402" s="134" t="s">
        <v>316</v>
      </c>
      <c r="G402" s="136" t="str">
        <f>VLOOKUP(A402,Plano_V3!$A$26:$G$592,7,0)</f>
        <v>1. Concluído</v>
      </c>
      <c r="H402" s="136" t="s">
        <v>614</v>
      </c>
      <c r="I402" s="154"/>
      <c r="J402" s="153" t="str">
        <f>IF(VLOOKUP(A402,'Aux - pivots1'!$A:$E,3,0)=0, "",VLOOKUP(A402,'Aux - pivots1'!$A:$E,3,0))</f>
        <v/>
      </c>
      <c r="K402" s="153" t="str">
        <f>IF(VLOOKUP(A402,'Aux - pivots1'!$A:$E,4,0)=0, "",VLOOKUP(A402,'Aux - pivots1'!$A:$E,4,0))</f>
        <v/>
      </c>
      <c r="L402" s="153" t="str">
        <f>IF(VLOOKUP(A402,'Aux - pivots1'!$A:$E,5,0)=0, "",VLOOKUP(A402,'Aux - pivots1'!$A:$E,5,0))</f>
        <v/>
      </c>
      <c r="M402" s="209"/>
      <c r="N402" s="209"/>
    </row>
    <row r="403" spans="1:14" ht="16.2" hidden="1" customHeight="1" x14ac:dyDescent="0.4">
      <c r="A403" s="30" t="str">
        <f t="shared" ref="A403:A466" si="9">E403&amp;F403</f>
        <v>modesg_out_emss_vclsckrefbem</v>
      </c>
      <c r="B403" s="142" t="s">
        <v>26</v>
      </c>
      <c r="C403" s="138" t="s">
        <v>311</v>
      </c>
      <c r="D403" s="134" t="s">
        <v>40</v>
      </c>
      <c r="E403" s="135" t="s">
        <v>332</v>
      </c>
      <c r="F403" s="134" t="s">
        <v>317</v>
      </c>
      <c r="G403" s="136" t="str">
        <f>VLOOKUP(A403,Plano_V3!$A$26:$G$592,7,0)</f>
        <v>1. Concluído</v>
      </c>
      <c r="H403" s="136" t="s">
        <v>614</v>
      </c>
      <c r="I403" s="154"/>
      <c r="J403" s="153" t="str">
        <f>IF(VLOOKUP(A403,'Aux - pivots1'!$A:$E,3,0)=0, "",VLOOKUP(A403,'Aux - pivots1'!$A:$E,3,0))</f>
        <v/>
      </c>
      <c r="K403" s="153" t="str">
        <f>IF(VLOOKUP(A403,'Aux - pivots1'!$A:$E,4,0)=0, "",VLOOKUP(A403,'Aux - pivots1'!$A:$E,4,0))</f>
        <v/>
      </c>
      <c r="L403" s="153" t="str">
        <f>IF(VLOOKUP(A403,'Aux - pivots1'!$A:$E,5,0)=0, "",VLOOKUP(A403,'Aux - pivots1'!$A:$E,5,0))</f>
        <v/>
      </c>
      <c r="M403" s="209"/>
      <c r="N403" s="209"/>
    </row>
    <row r="404" spans="1:14" ht="16.2" hidden="1" customHeight="1" x14ac:dyDescent="0.4">
      <c r="A404" s="30" t="str">
        <f t="shared" si="9"/>
        <v>modesg_out_emss_vclscnsm_co2</v>
      </c>
      <c r="B404" s="142" t="s">
        <v>26</v>
      </c>
      <c r="C404" s="138" t="s">
        <v>311</v>
      </c>
      <c r="D404" s="134" t="s">
        <v>40</v>
      </c>
      <c r="E404" s="135" t="s">
        <v>332</v>
      </c>
      <c r="F404" s="134" t="s">
        <v>188</v>
      </c>
      <c r="G404" s="136" t="str">
        <f>VLOOKUP(A404,Plano_V3!$A$26:$G$592,7,0)</f>
        <v>1. Concluído</v>
      </c>
      <c r="H404" s="136" t="s">
        <v>614</v>
      </c>
      <c r="I404" s="143" t="s">
        <v>663</v>
      </c>
      <c r="J404" s="153">
        <f>IF(VLOOKUP(A404,'Aux - pivots1'!$A:$E,3,0)=0, "",VLOOKUP(A404,'Aux - pivots1'!$A:$E,3,0))</f>
        <v>45559</v>
      </c>
      <c r="K404" s="153">
        <f>IF(VLOOKUP(A404,'Aux - pivots1'!$A:$E,4,0)=0, "",VLOOKUP(A404,'Aux - pivots1'!$A:$E,4,0))</f>
        <v>45607</v>
      </c>
      <c r="L404" s="153">
        <f>IF(VLOOKUP(A404,'Aux - pivots1'!$A:$E,5,0)=0, "",VLOOKUP(A404,'Aux - pivots1'!$A:$E,5,0))</f>
        <v>45608</v>
      </c>
      <c r="M404" s="209"/>
      <c r="N404" s="209"/>
    </row>
    <row r="405" spans="1:14" ht="16.2" hidden="1" customHeight="1" x14ac:dyDescent="0.4">
      <c r="A405" s="30" t="str">
        <f t="shared" si="9"/>
        <v>modesg_out_emss_vclsorigem_scp1_emss</v>
      </c>
      <c r="B405" s="142" t="s">
        <v>26</v>
      </c>
      <c r="C405" s="138" t="s">
        <v>311</v>
      </c>
      <c r="D405" s="134" t="s">
        <v>40</v>
      </c>
      <c r="E405" s="135" t="s">
        <v>332</v>
      </c>
      <c r="F405" s="134" t="s">
        <v>320</v>
      </c>
      <c r="G405" s="136" t="str">
        <f>VLOOKUP(A405,Plano_V3!$A$26:$G$592,7,0)</f>
        <v>5. Em Correção</v>
      </c>
      <c r="H405" s="136" t="s">
        <v>1927</v>
      </c>
      <c r="I405" s="143" t="s">
        <v>663</v>
      </c>
      <c r="J405" s="153">
        <f>IF(VLOOKUP(A405,'Aux - pivots1'!$A:$E,3,0)=0, "",VLOOKUP(A405,'Aux - pivots1'!$A:$E,3,0))</f>
        <v>45621</v>
      </c>
      <c r="K405" s="153">
        <f>IF(VLOOKUP(A405,'Aux - pivots1'!$A:$E,4,0)=0, "",VLOOKUP(A405,'Aux - pivots1'!$A:$E,4,0))</f>
        <v>45607</v>
      </c>
      <c r="L405" s="153">
        <f>IF(VLOOKUP(A405,'Aux - pivots1'!$A:$E,5,0)=0, "",VLOOKUP(A405,'Aux - pivots1'!$A:$E,5,0))</f>
        <v>45608</v>
      </c>
      <c r="M405" s="209"/>
      <c r="N405" s="209"/>
    </row>
    <row r="406" spans="1:14" ht="16.2" hidden="1" customHeight="1" x14ac:dyDescent="0.4">
      <c r="A406" s="30" t="str">
        <f t="shared" si="9"/>
        <v>modesg_out_emss_vclsorigem_scp2_emss</v>
      </c>
      <c r="B406" s="142" t="s">
        <v>26</v>
      </c>
      <c r="C406" s="138" t="s">
        <v>311</v>
      </c>
      <c r="D406" s="134" t="s">
        <v>40</v>
      </c>
      <c r="E406" s="135" t="s">
        <v>332</v>
      </c>
      <c r="F406" s="134" t="s">
        <v>321</v>
      </c>
      <c r="G406" s="136" t="str">
        <f>VLOOKUP(A406,Plano_V3!$A$26:$G$592,7,0)</f>
        <v>5. Em Correção</v>
      </c>
      <c r="H406" s="136" t="s">
        <v>1927</v>
      </c>
      <c r="I406" s="143" t="s">
        <v>663</v>
      </c>
      <c r="J406" s="153">
        <f>IF(VLOOKUP(A406,'Aux - pivots1'!$A:$E,3,0)=0, "",VLOOKUP(A406,'Aux - pivots1'!$A:$E,3,0))</f>
        <v>45621</v>
      </c>
      <c r="K406" s="153">
        <f>IF(VLOOKUP(A406,'Aux - pivots1'!$A:$E,4,0)=0, "",VLOOKUP(A406,'Aux - pivots1'!$A:$E,4,0))</f>
        <v>45607</v>
      </c>
      <c r="L406" s="153">
        <f>IF(VLOOKUP(A406,'Aux - pivots1'!$A:$E,5,0)=0, "",VLOOKUP(A406,'Aux - pivots1'!$A:$E,5,0))</f>
        <v>45608</v>
      </c>
      <c r="M406" s="209"/>
      <c r="N406" s="209"/>
    </row>
    <row r="407" spans="1:14" ht="16.2" hidden="1" customHeight="1" x14ac:dyDescent="0.4">
      <c r="A407" s="30" t="str">
        <f t="shared" si="9"/>
        <v>modesg_out_emss_vclsorigem_scp3_emss</v>
      </c>
      <c r="B407" s="142" t="s">
        <v>26</v>
      </c>
      <c r="C407" s="138" t="s">
        <v>311</v>
      </c>
      <c r="D407" s="134" t="s">
        <v>40</v>
      </c>
      <c r="E407" s="135" t="s">
        <v>332</v>
      </c>
      <c r="F407" s="134" t="s">
        <v>322</v>
      </c>
      <c r="G407" s="136" t="str">
        <f>VLOOKUP(A407,Plano_V3!$A$26:$G$592,7,0)</f>
        <v>1. Concluído</v>
      </c>
      <c r="H407" s="136" t="s">
        <v>614</v>
      </c>
      <c r="I407" s="143" t="s">
        <v>663</v>
      </c>
      <c r="J407" s="153">
        <f>IF(VLOOKUP(A407,'Aux - pivots1'!$A:$E,3,0)=0, "",VLOOKUP(A407,'Aux - pivots1'!$A:$E,3,0))</f>
        <v>45569</v>
      </c>
      <c r="K407" s="153">
        <f>IF(VLOOKUP(A407,'Aux - pivots1'!$A:$E,4,0)=0, "",VLOOKUP(A407,'Aux - pivots1'!$A:$E,4,0))</f>
        <v>45607</v>
      </c>
      <c r="L407" s="153">
        <f>IF(VLOOKUP(A407,'Aux - pivots1'!$A:$E,5,0)=0, "",VLOOKUP(A407,'Aux - pivots1'!$A:$E,5,0))</f>
        <v>45608</v>
      </c>
      <c r="M407" s="209"/>
      <c r="N407" s="209"/>
    </row>
    <row r="408" spans="1:14" ht="16.2" hidden="1" customHeight="1" x14ac:dyDescent="0.4">
      <c r="A408" s="30" t="str">
        <f t="shared" si="9"/>
        <v>modesg_out_emss_vclsref_date</v>
      </c>
      <c r="B408" s="142" t="s">
        <v>26</v>
      </c>
      <c r="C408" s="138" t="s">
        <v>311</v>
      </c>
      <c r="D408" s="134" t="s">
        <v>40</v>
      </c>
      <c r="E408" s="135" t="s">
        <v>332</v>
      </c>
      <c r="F408" s="134" t="s">
        <v>208</v>
      </c>
      <c r="G408" s="136" t="str">
        <f>VLOOKUP(A408,Plano_V3!$A$26:$G$592,7,0)</f>
        <v>1. Concluído</v>
      </c>
      <c r="H408" s="136" t="s">
        <v>614</v>
      </c>
      <c r="I408" s="154"/>
      <c r="J408" s="153" t="str">
        <f>IF(VLOOKUP(A408,'Aux - pivots1'!$A:$E,3,0)=0, "",VLOOKUP(A408,'Aux - pivots1'!$A:$E,3,0))</f>
        <v/>
      </c>
      <c r="K408" s="153" t="str">
        <f>IF(VLOOKUP(A408,'Aux - pivots1'!$A:$E,4,0)=0, "",VLOOKUP(A408,'Aux - pivots1'!$A:$E,4,0))</f>
        <v/>
      </c>
      <c r="L408" s="153" t="str">
        <f>IF(VLOOKUP(A408,'Aux - pivots1'!$A:$E,5,0)=0, "",VLOOKUP(A408,'Aux - pivots1'!$A:$E,5,0))</f>
        <v/>
      </c>
      <c r="M408" s="209"/>
      <c r="N408" s="209"/>
    </row>
    <row r="409" spans="1:14" ht="16.2" hidden="1" customHeight="1" x14ac:dyDescent="0.4">
      <c r="A409" s="30" t="str">
        <f t="shared" si="9"/>
        <v>modesg_out_emss_vclsscp1_emss</v>
      </c>
      <c r="B409" s="142" t="s">
        <v>26</v>
      </c>
      <c r="C409" s="138" t="s">
        <v>311</v>
      </c>
      <c r="D409" s="134" t="s">
        <v>40</v>
      </c>
      <c r="E409" s="135" t="s">
        <v>332</v>
      </c>
      <c r="F409" s="134" t="s">
        <v>286</v>
      </c>
      <c r="G409" s="136" t="str">
        <f>VLOOKUP(A409,Plano_V3!$A$26:$G$592,7,0)</f>
        <v>5. Em Correção</v>
      </c>
      <c r="H409" s="136" t="s">
        <v>1927</v>
      </c>
      <c r="I409" s="143" t="s">
        <v>663</v>
      </c>
      <c r="J409" s="153">
        <f>IF(VLOOKUP(A409,'Aux - pivots1'!$A:$E,3,0)=0, "",VLOOKUP(A409,'Aux - pivots1'!$A:$E,3,0))</f>
        <v>45621</v>
      </c>
      <c r="K409" s="153">
        <f>IF(VLOOKUP(A409,'Aux - pivots1'!$A:$E,4,0)=0, "",VLOOKUP(A409,'Aux - pivots1'!$A:$E,4,0))</f>
        <v>45607</v>
      </c>
      <c r="L409" s="153">
        <f>IF(VLOOKUP(A409,'Aux - pivots1'!$A:$E,5,0)=0, "",VLOOKUP(A409,'Aux - pivots1'!$A:$E,5,0))</f>
        <v>45608</v>
      </c>
      <c r="M409" s="209"/>
      <c r="N409" s="209"/>
    </row>
    <row r="410" spans="1:14" ht="16.2" hidden="1" customHeight="1" x14ac:dyDescent="0.4">
      <c r="A410" s="30" t="str">
        <f t="shared" si="9"/>
        <v>modesg_out_emss_vclsscp2_emss</v>
      </c>
      <c r="B410" s="142" t="s">
        <v>26</v>
      </c>
      <c r="C410" s="138" t="s">
        <v>311</v>
      </c>
      <c r="D410" s="134" t="s">
        <v>40</v>
      </c>
      <c r="E410" s="135" t="s">
        <v>332</v>
      </c>
      <c r="F410" s="134" t="s">
        <v>287</v>
      </c>
      <c r="G410" s="136" t="str">
        <f>VLOOKUP(A410,Plano_V3!$A$26:$G$592,7,0)</f>
        <v>5. Em Correção</v>
      </c>
      <c r="H410" s="136" t="s">
        <v>1927</v>
      </c>
      <c r="I410" s="143" t="s">
        <v>663</v>
      </c>
      <c r="J410" s="153">
        <f>IF(VLOOKUP(A410,'Aux - pivots1'!$A:$E,3,0)=0, "",VLOOKUP(A410,'Aux - pivots1'!$A:$E,3,0))</f>
        <v>45621</v>
      </c>
      <c r="K410" s="153">
        <f>IF(VLOOKUP(A410,'Aux - pivots1'!$A:$E,4,0)=0, "",VLOOKUP(A410,'Aux - pivots1'!$A:$E,4,0))</f>
        <v>45607</v>
      </c>
      <c r="L410" s="153">
        <f>IF(VLOOKUP(A410,'Aux - pivots1'!$A:$E,5,0)=0, "",VLOOKUP(A410,'Aux - pivots1'!$A:$E,5,0))</f>
        <v>45608</v>
      </c>
      <c r="M410" s="209"/>
      <c r="N410" s="209"/>
    </row>
    <row r="411" spans="1:14" ht="16.2" hidden="1" customHeight="1" x14ac:dyDescent="0.4">
      <c r="A411" s="30" t="str">
        <f t="shared" si="9"/>
        <v>modesg_out_emss_vclsscp3_emss</v>
      </c>
      <c r="B411" s="142" t="s">
        <v>26</v>
      </c>
      <c r="C411" s="138" t="s">
        <v>311</v>
      </c>
      <c r="D411" s="134" t="s">
        <v>40</v>
      </c>
      <c r="E411" s="135" t="s">
        <v>332</v>
      </c>
      <c r="F411" s="134" t="s">
        <v>288</v>
      </c>
      <c r="G411" s="136" t="str">
        <f>VLOOKUP(A411,Plano_V3!$A$26:$G$592,7,0)</f>
        <v>1. Concluído</v>
      </c>
      <c r="H411" s="136" t="s">
        <v>614</v>
      </c>
      <c r="I411" s="143" t="s">
        <v>663</v>
      </c>
      <c r="J411" s="153">
        <f>IF(VLOOKUP(A411,'Aux - pivots1'!$A:$E,3,0)=0, "",VLOOKUP(A411,'Aux - pivots1'!$A:$E,3,0))</f>
        <v>45569</v>
      </c>
      <c r="K411" s="153">
        <f>IF(VLOOKUP(A411,'Aux - pivots1'!$A:$E,4,0)=0, "",VLOOKUP(A411,'Aux - pivots1'!$A:$E,4,0))</f>
        <v>45607</v>
      </c>
      <c r="L411" s="153">
        <f>IF(VLOOKUP(A411,'Aux - pivots1'!$A:$E,5,0)=0, "",VLOOKUP(A411,'Aux - pivots1'!$A:$E,5,0))</f>
        <v>45608</v>
      </c>
      <c r="M411" s="209"/>
      <c r="N411" s="209"/>
    </row>
    <row r="412" spans="1:14" ht="16.2" hidden="1" customHeight="1" x14ac:dyDescent="0.4">
      <c r="A412" s="30" t="str">
        <f t="shared" si="9"/>
        <v>modesg_out_emss_vclsunidade_funcional_scp1_emss</v>
      </c>
      <c r="B412" s="142" t="s">
        <v>26</v>
      </c>
      <c r="C412" s="138" t="s">
        <v>311</v>
      </c>
      <c r="D412" s="134" t="s">
        <v>40</v>
      </c>
      <c r="E412" s="135" t="s">
        <v>332</v>
      </c>
      <c r="F412" s="134" t="s">
        <v>323</v>
      </c>
      <c r="G412" s="136" t="str">
        <f>VLOOKUP(A412,Plano_V3!$A$26:$G$592,7,0)</f>
        <v>1. Concluído</v>
      </c>
      <c r="H412" s="136" t="s">
        <v>614</v>
      </c>
      <c r="I412" s="154"/>
      <c r="J412" s="153" t="str">
        <f>IF(VLOOKUP(A412,'Aux - pivots1'!$A:$E,3,0)=0, "",VLOOKUP(A412,'Aux - pivots1'!$A:$E,3,0))</f>
        <v/>
      </c>
      <c r="K412" s="153" t="str">
        <f>IF(VLOOKUP(A412,'Aux - pivots1'!$A:$E,4,0)=0, "",VLOOKUP(A412,'Aux - pivots1'!$A:$E,4,0))</f>
        <v/>
      </c>
      <c r="L412" s="153" t="str">
        <f>IF(VLOOKUP(A412,'Aux - pivots1'!$A:$E,5,0)=0, "",VLOOKUP(A412,'Aux - pivots1'!$A:$E,5,0))</f>
        <v/>
      </c>
      <c r="M412" s="209"/>
      <c r="N412" s="209"/>
    </row>
    <row r="413" spans="1:14" ht="16.2" hidden="1" customHeight="1" x14ac:dyDescent="0.4">
      <c r="A413" s="30" t="str">
        <f t="shared" si="9"/>
        <v>modesg_out_emss_vclsunidade_funcional_scp2_emss</v>
      </c>
      <c r="B413" s="142" t="s">
        <v>26</v>
      </c>
      <c r="C413" s="138" t="s">
        <v>311</v>
      </c>
      <c r="D413" s="134" t="s">
        <v>40</v>
      </c>
      <c r="E413" s="135" t="s">
        <v>332</v>
      </c>
      <c r="F413" s="134" t="s">
        <v>324</v>
      </c>
      <c r="G413" s="136" t="str">
        <f>VLOOKUP(A413,Plano_V3!$A$26:$G$592,7,0)</f>
        <v>1. Concluído</v>
      </c>
      <c r="H413" s="136" t="s">
        <v>614</v>
      </c>
      <c r="I413" s="154"/>
      <c r="J413" s="153" t="str">
        <f>IF(VLOOKUP(A413,'Aux - pivots1'!$A:$E,3,0)=0, "",VLOOKUP(A413,'Aux - pivots1'!$A:$E,3,0))</f>
        <v/>
      </c>
      <c r="K413" s="153" t="str">
        <f>IF(VLOOKUP(A413,'Aux - pivots1'!$A:$E,4,0)=0, "",VLOOKUP(A413,'Aux - pivots1'!$A:$E,4,0))</f>
        <v/>
      </c>
      <c r="L413" s="153" t="str">
        <f>IF(VLOOKUP(A413,'Aux - pivots1'!$A:$E,5,0)=0, "",VLOOKUP(A413,'Aux - pivots1'!$A:$E,5,0))</f>
        <v/>
      </c>
      <c r="M413" s="209"/>
      <c r="N413" s="209"/>
    </row>
    <row r="414" spans="1:14" ht="16.2" hidden="1" customHeight="1" x14ac:dyDescent="0.4">
      <c r="A414" s="30" t="str">
        <f t="shared" si="9"/>
        <v>modesg_out_emss_vclsunidade_funcional_scp3_emss</v>
      </c>
      <c r="B414" s="142" t="s">
        <v>26</v>
      </c>
      <c r="C414" s="138" t="s">
        <v>311</v>
      </c>
      <c r="D414" s="134" t="s">
        <v>40</v>
      </c>
      <c r="E414" s="135" t="s">
        <v>332</v>
      </c>
      <c r="F414" s="134" t="s">
        <v>325</v>
      </c>
      <c r="G414" s="136" t="str">
        <f>VLOOKUP(A414,Plano_V3!$A$26:$G$592,7,0)</f>
        <v>1. Concluído</v>
      </c>
      <c r="H414" s="136" t="s">
        <v>614</v>
      </c>
      <c r="I414" s="154"/>
      <c r="J414" s="153" t="str">
        <f>IF(VLOOKUP(A414,'Aux - pivots1'!$A:$E,3,0)=0, "",VLOOKUP(A414,'Aux - pivots1'!$A:$E,3,0))</f>
        <v/>
      </c>
      <c r="K414" s="153" t="str">
        <f>IF(VLOOKUP(A414,'Aux - pivots1'!$A:$E,4,0)=0, "",VLOOKUP(A414,'Aux - pivots1'!$A:$E,4,0))</f>
        <v/>
      </c>
      <c r="L414" s="153" t="str">
        <f>IF(VLOOKUP(A414,'Aux - pivots1'!$A:$E,5,0)=0, "",VLOOKUP(A414,'Aux - pivots1'!$A:$E,5,0))</f>
        <v/>
      </c>
      <c r="M414" s="209"/>
      <c r="N414" s="209"/>
    </row>
    <row r="415" spans="1:14" ht="16.2" hidden="1" customHeight="1" x14ac:dyDescent="0.4">
      <c r="A415" s="30" t="str">
        <f t="shared" si="9"/>
        <v>modesg_out_sfcs_taxon_europeian.a.</v>
      </c>
      <c r="B415" s="142" t="s">
        <v>26</v>
      </c>
      <c r="C415" s="138" t="s">
        <v>311</v>
      </c>
      <c r="D415" s="134" t="s">
        <v>36</v>
      </c>
      <c r="E415" s="135" t="s">
        <v>334</v>
      </c>
      <c r="F415" s="134" t="s">
        <v>38</v>
      </c>
      <c r="G415" s="136" t="str">
        <f>VLOOKUP(A415,Plano_V3!$A$26:$G$592,7,0)</f>
        <v>6. Em implementação (re-especificação)</v>
      </c>
      <c r="H415" s="136" t="s">
        <v>619</v>
      </c>
      <c r="I415" s="143" t="s">
        <v>661</v>
      </c>
      <c r="J415" s="153">
        <f>IF(VLOOKUP(A415,'Aux - pivots1'!$A:$E,3,0)=0, "",VLOOKUP(A415,'Aux - pivots1'!$A:$E,3,0))</f>
        <v>45563</v>
      </c>
      <c r="K415" s="153">
        <f>IF(VLOOKUP(A415,'Aux - pivots1'!$A:$E,4,0)=0, "",VLOOKUP(A415,'Aux - pivots1'!$A:$E,4,0))</f>
        <v>45624</v>
      </c>
      <c r="L415" s="153" t="str">
        <f>IF(VLOOKUP(A415,'Aux - pivots1'!$A:$E,5,0)=0, "",VLOOKUP(A415,'Aux - pivots1'!$A:$E,5,0))</f>
        <v/>
      </c>
      <c r="M415" s="209"/>
      <c r="N415" s="209"/>
    </row>
    <row r="416" spans="1:14" ht="16.2" hidden="1" customHeight="1" x14ac:dyDescent="0.4">
      <c r="A416" s="30" t="str">
        <f t="shared" si="9"/>
        <v>modesg_out_sfcs_taxon_europeiacbalcao</v>
      </c>
      <c r="B416" s="142" t="s">
        <v>26</v>
      </c>
      <c r="C416" s="138" t="s">
        <v>311</v>
      </c>
      <c r="D416" s="134" t="s">
        <v>40</v>
      </c>
      <c r="E416" s="135" t="s">
        <v>334</v>
      </c>
      <c r="F416" s="134" t="s">
        <v>183</v>
      </c>
      <c r="G416" s="136" t="str">
        <f>VLOOKUP(A416,Plano_V3!$A$26:$G$592,7,0)</f>
        <v>6. Em implementação (re-especificação)</v>
      </c>
      <c r="H416" s="136" t="s">
        <v>619</v>
      </c>
      <c r="I416" s="143" t="s">
        <v>661</v>
      </c>
      <c r="J416" s="153">
        <f>IF(VLOOKUP(A416,'Aux - pivots1'!$A:$E,3,0)=0, "",VLOOKUP(A416,'Aux - pivots1'!$A:$E,3,0))</f>
        <v>45563</v>
      </c>
      <c r="K416" s="153">
        <f>IF(VLOOKUP(A416,'Aux - pivots1'!$A:$E,4,0)=0, "",VLOOKUP(A416,'Aux - pivots1'!$A:$E,4,0))</f>
        <v>45624</v>
      </c>
      <c r="L416" s="153" t="str">
        <f>IF(VLOOKUP(A416,'Aux - pivots1'!$A:$E,5,0)=0, "",VLOOKUP(A416,'Aux - pivots1'!$A:$E,5,0))</f>
        <v/>
      </c>
      <c r="M416" s="209"/>
      <c r="N416" s="209"/>
    </row>
    <row r="417" spans="1:14" ht="16.2" hidden="1" customHeight="1" x14ac:dyDescent="0.4">
      <c r="A417" s="30" t="str">
        <f t="shared" si="9"/>
        <v>modesg_out_sfcs_taxon_europeiacempresa</v>
      </c>
      <c r="B417" s="142" t="s">
        <v>26</v>
      </c>
      <c r="C417" s="138" t="s">
        <v>311</v>
      </c>
      <c r="D417" s="134" t="s">
        <v>40</v>
      </c>
      <c r="E417" s="135" t="s">
        <v>334</v>
      </c>
      <c r="F417" s="134" t="s">
        <v>184</v>
      </c>
      <c r="G417" s="136" t="str">
        <f>VLOOKUP(A417,Plano_V3!$A$26:$G$592,7,0)</f>
        <v>6. Em implementação (re-especificação)</v>
      </c>
      <c r="H417" s="136" t="s">
        <v>619</v>
      </c>
      <c r="I417" s="143" t="s">
        <v>661</v>
      </c>
      <c r="J417" s="153">
        <f>IF(VLOOKUP(A417,'Aux - pivots1'!$A:$E,3,0)=0, "",VLOOKUP(A417,'Aux - pivots1'!$A:$E,3,0))</f>
        <v>45563</v>
      </c>
      <c r="K417" s="153">
        <f>IF(VLOOKUP(A417,'Aux - pivots1'!$A:$E,4,0)=0, "",VLOOKUP(A417,'Aux - pivots1'!$A:$E,4,0))</f>
        <v>45624</v>
      </c>
      <c r="L417" s="153" t="str">
        <f>IF(VLOOKUP(A417,'Aux - pivots1'!$A:$E,5,0)=0, "",VLOOKUP(A417,'Aux - pivots1'!$A:$E,5,0))</f>
        <v/>
      </c>
      <c r="M417" s="209"/>
      <c r="N417" s="209"/>
    </row>
    <row r="418" spans="1:14" ht="16.2" hidden="1" customHeight="1" x14ac:dyDescent="0.4">
      <c r="A418" s="30" t="str">
        <f t="shared" si="9"/>
        <v>modesg_out_sfcs_taxon_europeiacnumecta</v>
      </c>
      <c r="B418" s="142" t="s">
        <v>26</v>
      </c>
      <c r="C418" s="138" t="s">
        <v>311</v>
      </c>
      <c r="D418" s="134" t="s">
        <v>40</v>
      </c>
      <c r="E418" s="135" t="s">
        <v>334</v>
      </c>
      <c r="F418" s="134" t="s">
        <v>189</v>
      </c>
      <c r="G418" s="136" t="str">
        <f>VLOOKUP(A418,Plano_V3!$A$26:$G$592,7,0)</f>
        <v>6. Em implementação (re-especificação)</v>
      </c>
      <c r="H418" s="136" t="s">
        <v>619</v>
      </c>
      <c r="I418" s="143" t="s">
        <v>661</v>
      </c>
      <c r="J418" s="153">
        <f>IF(VLOOKUP(A418,'Aux - pivots1'!$A:$E,3,0)=0, "",VLOOKUP(A418,'Aux - pivots1'!$A:$E,3,0))</f>
        <v>45563</v>
      </c>
      <c r="K418" s="153">
        <f>IF(VLOOKUP(A418,'Aux - pivots1'!$A:$E,4,0)=0, "",VLOOKUP(A418,'Aux - pivots1'!$A:$E,4,0))</f>
        <v>45624</v>
      </c>
      <c r="L418" s="153" t="str">
        <f>IF(VLOOKUP(A418,'Aux - pivots1'!$A:$E,5,0)=0, "",VLOOKUP(A418,'Aux - pivots1'!$A:$E,5,0))</f>
        <v/>
      </c>
      <c r="M418" s="209"/>
      <c r="N418" s="209"/>
    </row>
    <row r="419" spans="1:14" ht="16.2" hidden="1" customHeight="1" x14ac:dyDescent="0.4">
      <c r="A419" s="30" t="str">
        <f t="shared" si="9"/>
        <v>modesg_out_sfcs_taxon_europeiacod_regra</v>
      </c>
      <c r="B419" s="142" t="s">
        <v>26</v>
      </c>
      <c r="C419" s="138" t="s">
        <v>311</v>
      </c>
      <c r="D419" s="134" t="s">
        <v>40</v>
      </c>
      <c r="E419" s="135" t="s">
        <v>334</v>
      </c>
      <c r="F419" s="134" t="s">
        <v>191</v>
      </c>
      <c r="G419" s="136" t="str">
        <f>VLOOKUP(A419,Plano_V3!$A$26:$G$592,7,0)</f>
        <v>6. Em implementação (re-especificação)</v>
      </c>
      <c r="H419" s="136" t="s">
        <v>619</v>
      </c>
      <c r="I419" s="143" t="s">
        <v>661</v>
      </c>
      <c r="J419" s="153">
        <f>IF(VLOOKUP(A419,'Aux - pivots1'!$A:$E,3,0)=0, "",VLOOKUP(A419,'Aux - pivots1'!$A:$E,3,0))</f>
        <v>45563</v>
      </c>
      <c r="K419" s="153">
        <f>IF(VLOOKUP(A419,'Aux - pivots1'!$A:$E,4,0)=0, "",VLOOKUP(A419,'Aux - pivots1'!$A:$E,4,0))</f>
        <v>45624</v>
      </c>
      <c r="L419" s="153" t="str">
        <f>IF(VLOOKUP(A419,'Aux - pivots1'!$A:$E,5,0)=0, "",VLOOKUP(A419,'Aux - pivots1'!$A:$E,5,0))</f>
        <v/>
      </c>
      <c r="M419" s="209"/>
      <c r="N419" s="209"/>
    </row>
    <row r="420" spans="1:14" ht="16.2" hidden="1" customHeight="1" x14ac:dyDescent="0.4">
      <c r="A420" s="30" t="str">
        <f t="shared" si="9"/>
        <v>modesg_out_sfcs_taxon_europeiaordem</v>
      </c>
      <c r="B420" s="142" t="s">
        <v>26</v>
      </c>
      <c r="C420" s="138" t="s">
        <v>311</v>
      </c>
      <c r="D420" s="134" t="s">
        <v>40</v>
      </c>
      <c r="E420" s="135" t="s">
        <v>334</v>
      </c>
      <c r="F420" s="134" t="s">
        <v>211</v>
      </c>
      <c r="G420" s="136" t="str">
        <f>VLOOKUP(A420,Plano_V3!$A$26:$G$592,7,0)</f>
        <v>0. Cancelado</v>
      </c>
      <c r="H420" s="136" t="s">
        <v>613</v>
      </c>
      <c r="I420" s="145" t="s">
        <v>660</v>
      </c>
      <c r="J420" s="153">
        <f>IF(VLOOKUP(A420,'Aux - pivots1'!$A:$E,3,0)=0, "",VLOOKUP(A420,'Aux - pivots1'!$A:$E,3,0))</f>
        <v>45562</v>
      </c>
      <c r="K420" s="153" t="str">
        <f>IF(VLOOKUP(A420,'Aux - pivots1'!$A:$E,4,0)=0, "",VLOOKUP(A420,'Aux - pivots1'!$A:$E,4,0))</f>
        <v/>
      </c>
      <c r="L420" s="153" t="str">
        <f>IF(VLOOKUP(A420,'Aux - pivots1'!$A:$E,5,0)=0, "",VLOOKUP(A420,'Aux - pivots1'!$A:$E,5,0))</f>
        <v/>
      </c>
      <c r="M420" s="209"/>
      <c r="N420" s="209"/>
    </row>
    <row r="421" spans="1:14" ht="16.2" hidden="1" customHeight="1" x14ac:dyDescent="0.4">
      <c r="A421" s="30" t="str">
        <f t="shared" si="9"/>
        <v>modesg_out_sfcs_taxon_europeiamontante_pndrc</v>
      </c>
      <c r="B421" s="142" t="s">
        <v>26</v>
      </c>
      <c r="C421" s="138" t="s">
        <v>311</v>
      </c>
      <c r="D421" s="134" t="s">
        <v>40</v>
      </c>
      <c r="E421" s="135" t="s">
        <v>334</v>
      </c>
      <c r="F421" s="134" t="s">
        <v>202</v>
      </c>
      <c r="G421" s="136" t="str">
        <f>VLOOKUP(A421,Plano_V3!$A$26:$G$592,7,0)</f>
        <v>6. Em implementação (re-especificação)</v>
      </c>
      <c r="H421" s="136" t="s">
        <v>619</v>
      </c>
      <c r="I421" s="143" t="s">
        <v>661</v>
      </c>
      <c r="J421" s="153">
        <f>IF(VLOOKUP(A421,'Aux - pivots1'!$A:$E,3,0)=0, "",VLOOKUP(A421,'Aux - pivots1'!$A:$E,3,0))</f>
        <v>45563</v>
      </c>
      <c r="K421" s="153">
        <f>IF(VLOOKUP(A421,'Aux - pivots1'!$A:$E,4,0)=0, "",VLOOKUP(A421,'Aux - pivots1'!$A:$E,4,0))</f>
        <v>45624</v>
      </c>
      <c r="L421" s="153" t="str">
        <f>IF(VLOOKUP(A421,'Aux - pivots1'!$A:$E,5,0)=0, "",VLOOKUP(A421,'Aux - pivots1'!$A:$E,5,0))</f>
        <v/>
      </c>
      <c r="M421" s="209"/>
      <c r="N421" s="209"/>
    </row>
    <row r="422" spans="1:14" ht="16.2" hidden="1" customHeight="1" x14ac:dyDescent="0.4">
      <c r="A422" s="30" t="str">
        <f t="shared" si="9"/>
        <v>modesg_out_sfcs_taxon_europeianome_ctgr_sfcs</v>
      </c>
      <c r="B422" s="142" t="s">
        <v>26</v>
      </c>
      <c r="C422" s="138" t="s">
        <v>311</v>
      </c>
      <c r="D422" s="134" t="s">
        <v>40</v>
      </c>
      <c r="E422" s="135" t="s">
        <v>334</v>
      </c>
      <c r="F422" s="134" t="s">
        <v>203</v>
      </c>
      <c r="G422" s="136" t="str">
        <f>VLOOKUP(A422,Plano_V3!$A$26:$G$592,7,0)</f>
        <v>6. Em implementação (re-especificação)</v>
      </c>
      <c r="H422" s="136" t="s">
        <v>619</v>
      </c>
      <c r="I422" s="143" t="s">
        <v>661</v>
      </c>
      <c r="J422" s="153">
        <f>IF(VLOOKUP(A422,'Aux - pivots1'!$A:$E,3,0)=0, "",VLOOKUP(A422,'Aux - pivots1'!$A:$E,3,0))</f>
        <v>45562</v>
      </c>
      <c r="K422" s="153">
        <f>IF(VLOOKUP(A422,'Aux - pivots1'!$A:$E,4,0)=0, "",VLOOKUP(A422,'Aux - pivots1'!$A:$E,4,0))</f>
        <v>45624</v>
      </c>
      <c r="L422" s="153" t="str">
        <f>IF(VLOOKUP(A422,'Aux - pivots1'!$A:$E,5,0)=0, "",VLOOKUP(A422,'Aux - pivots1'!$A:$E,5,0))</f>
        <v/>
      </c>
      <c r="M422" s="209"/>
      <c r="N422" s="209"/>
    </row>
    <row r="423" spans="1:14" ht="16.2" hidden="1" customHeight="1" x14ac:dyDescent="0.4">
      <c r="A423" s="30" t="str">
        <f t="shared" si="9"/>
        <v>modesg_out_sfcs_taxon_europeianome_general_specific_purpose</v>
      </c>
      <c r="B423" s="142" t="s">
        <v>26</v>
      </c>
      <c r="C423" s="138" t="s">
        <v>311</v>
      </c>
      <c r="D423" s="134" t="s">
        <v>40</v>
      </c>
      <c r="E423" s="135" t="s">
        <v>334</v>
      </c>
      <c r="F423" s="134" t="s">
        <v>204</v>
      </c>
      <c r="G423" s="136" t="str">
        <f>VLOOKUP(A423,Plano_V3!$A$26:$G$592,7,0)</f>
        <v>6. Em implementação (re-especificação)</v>
      </c>
      <c r="H423" s="136" t="s">
        <v>619</v>
      </c>
      <c r="I423" s="143" t="s">
        <v>661</v>
      </c>
      <c r="J423" s="153">
        <f>IF(VLOOKUP(A423,'Aux - pivots1'!$A:$E,3,0)=0, "",VLOOKUP(A423,'Aux - pivots1'!$A:$E,3,0))</f>
        <v>45563</v>
      </c>
      <c r="K423" s="153">
        <f>IF(VLOOKUP(A423,'Aux - pivots1'!$A:$E,4,0)=0, "",VLOOKUP(A423,'Aux - pivots1'!$A:$E,4,0))</f>
        <v>45624</v>
      </c>
      <c r="L423" s="153" t="str">
        <f>IF(VLOOKUP(A423,'Aux - pivots1'!$A:$E,5,0)=0, "",VLOOKUP(A423,'Aux - pivots1'!$A:$E,5,0))</f>
        <v/>
      </c>
      <c r="M423" s="209"/>
      <c r="N423" s="209"/>
    </row>
    <row r="424" spans="1:14" ht="16.2" hidden="1" customHeight="1" x14ac:dyDescent="0.4">
      <c r="A424" s="30" t="str">
        <f t="shared" si="9"/>
        <v>modesg_out_sfcs_taxon_europeianome_purpose_esg</v>
      </c>
      <c r="B424" s="142" t="s">
        <v>26</v>
      </c>
      <c r="C424" s="138" t="s">
        <v>311</v>
      </c>
      <c r="D424" s="134" t="s">
        <v>40</v>
      </c>
      <c r="E424" s="135" t="s">
        <v>334</v>
      </c>
      <c r="F424" s="134" t="s">
        <v>205</v>
      </c>
      <c r="G424" s="136" t="str">
        <f>VLOOKUP(A424,Plano_V3!$A$26:$G$592,7,0)</f>
        <v>6. Em implementação (re-especificação)</v>
      </c>
      <c r="H424" s="136" t="s">
        <v>619</v>
      </c>
      <c r="I424" s="143" t="s">
        <v>661</v>
      </c>
      <c r="J424" s="153">
        <f>IF(VLOOKUP(A424,'Aux - pivots1'!$A:$E,3,0)=0, "",VLOOKUP(A424,'Aux - pivots1'!$A:$E,3,0))</f>
        <v>45563</v>
      </c>
      <c r="K424" s="153">
        <f>IF(VLOOKUP(A424,'Aux - pivots1'!$A:$E,4,0)=0, "",VLOOKUP(A424,'Aux - pivots1'!$A:$E,4,0))</f>
        <v>45624</v>
      </c>
      <c r="L424" s="153" t="str">
        <f>IF(VLOOKUP(A424,'Aux - pivots1'!$A:$E,5,0)=0, "",VLOOKUP(A424,'Aux - pivots1'!$A:$E,5,0))</f>
        <v/>
      </c>
      <c r="M424" s="209"/>
      <c r="N424" s="209"/>
    </row>
    <row r="425" spans="1:14" ht="16.2" hidden="1" customHeight="1" x14ac:dyDescent="0.4">
      <c r="A425" s="30" t="str">
        <f t="shared" si="9"/>
        <v>modesg_out_sfcs_taxon_europeianome_specific_eligible</v>
      </c>
      <c r="B425" s="142" t="s">
        <v>26</v>
      </c>
      <c r="C425" s="138" t="s">
        <v>311</v>
      </c>
      <c r="D425" s="134" t="s">
        <v>40</v>
      </c>
      <c r="E425" s="135" t="s">
        <v>334</v>
      </c>
      <c r="F425" s="134" t="s">
        <v>206</v>
      </c>
      <c r="G425" s="136" t="str">
        <f>VLOOKUP(A425,Plano_V3!$A$26:$G$592,7,0)</f>
        <v>6. Em implementação (re-especificação)</v>
      </c>
      <c r="H425" s="136" t="s">
        <v>619</v>
      </c>
      <c r="I425" s="143" t="s">
        <v>661</v>
      </c>
      <c r="J425" s="153">
        <f>IF(VLOOKUP(A425,'Aux - pivots1'!$A:$E,3,0)=0, "",VLOOKUP(A425,'Aux - pivots1'!$A:$E,3,0))</f>
        <v>45563</v>
      </c>
      <c r="K425" s="153">
        <f>IF(VLOOKUP(A425,'Aux - pivots1'!$A:$E,4,0)=0, "",VLOOKUP(A425,'Aux - pivots1'!$A:$E,4,0))</f>
        <v>45624</v>
      </c>
      <c r="L425" s="153" t="str">
        <f>IF(VLOOKUP(A425,'Aux - pivots1'!$A:$E,5,0)=0, "",VLOOKUP(A425,'Aux - pivots1'!$A:$E,5,0))</f>
        <v/>
      </c>
      <c r="M425" s="209"/>
      <c r="N425" s="209"/>
    </row>
    <row r="426" spans="1:14" ht="16.2" hidden="1" customHeight="1" x14ac:dyDescent="0.4">
      <c r="A426" s="30" t="str">
        <f t="shared" si="9"/>
        <v>modesg_out_sfcs_taxon_europeianome_specific_sustainable</v>
      </c>
      <c r="B426" s="142" t="s">
        <v>26</v>
      </c>
      <c r="C426" s="138" t="s">
        <v>311</v>
      </c>
      <c r="D426" s="134" t="s">
        <v>40</v>
      </c>
      <c r="E426" s="135" t="s">
        <v>334</v>
      </c>
      <c r="F426" s="134" t="s">
        <v>207</v>
      </c>
      <c r="G426" s="136" t="str">
        <f>VLOOKUP(A426,Plano_V3!$A$26:$G$592,7,0)</f>
        <v>6. Em implementação (re-especificação)</v>
      </c>
      <c r="H426" s="136" t="s">
        <v>619</v>
      </c>
      <c r="I426" s="143" t="s">
        <v>661</v>
      </c>
      <c r="J426" s="153">
        <f>IF(VLOOKUP(A426,'Aux - pivots1'!$A:$E,3,0)=0, "",VLOOKUP(A426,'Aux - pivots1'!$A:$E,3,0))</f>
        <v>45563</v>
      </c>
      <c r="K426" s="153">
        <f>IF(VLOOKUP(A426,'Aux - pivots1'!$A:$E,4,0)=0, "",VLOOKUP(A426,'Aux - pivots1'!$A:$E,4,0))</f>
        <v>45624</v>
      </c>
      <c r="L426" s="153" t="str">
        <f>IF(VLOOKUP(A426,'Aux - pivots1'!$A:$E,5,0)=0, "",VLOOKUP(A426,'Aux - pivots1'!$A:$E,5,0))</f>
        <v/>
      </c>
      <c r="M426" s="209"/>
      <c r="N426" s="209"/>
    </row>
    <row r="427" spans="1:14" ht="16.2" hidden="1" customHeight="1" x14ac:dyDescent="0.4">
      <c r="A427" s="30" t="str">
        <f t="shared" si="9"/>
        <v>modesg_out_sfcs_taxon_europeiaorigem</v>
      </c>
      <c r="B427" s="142" t="s">
        <v>26</v>
      </c>
      <c r="C427" s="138" t="s">
        <v>311</v>
      </c>
      <c r="D427" s="134" t="s">
        <v>40</v>
      </c>
      <c r="E427" s="135" t="s">
        <v>334</v>
      </c>
      <c r="F427" s="134" t="s">
        <v>72</v>
      </c>
      <c r="G427" s="136" t="str">
        <f>VLOOKUP(A427,Plano_V3!$A$26:$G$592,7,0)</f>
        <v>1. Concluído</v>
      </c>
      <c r="H427" s="136" t="s">
        <v>614</v>
      </c>
      <c r="I427" s="143"/>
      <c r="J427" s="153" t="str">
        <f>IF(VLOOKUP(A427,'Aux - pivots1'!$A:$E,3,0)=0, "",VLOOKUP(A427,'Aux - pivots1'!$A:$E,3,0))</f>
        <v/>
      </c>
      <c r="K427" s="153" t="str">
        <f>IF(VLOOKUP(A427,'Aux - pivots1'!$A:$E,4,0)=0, "",VLOOKUP(A427,'Aux - pivots1'!$A:$E,4,0))</f>
        <v/>
      </c>
      <c r="L427" s="153" t="str">
        <f>IF(VLOOKUP(A427,'Aux - pivots1'!$A:$E,5,0)=0, "",VLOOKUP(A427,'Aux - pivots1'!$A:$E,5,0))</f>
        <v/>
      </c>
      <c r="M427" s="209"/>
      <c r="N427" s="209"/>
    </row>
    <row r="428" spans="1:14" ht="16.2" hidden="1" customHeight="1" x14ac:dyDescent="0.4">
      <c r="A428" s="30" t="str">
        <f t="shared" si="9"/>
        <v>modesg_out_sfcs_taxon_europeiaref_date</v>
      </c>
      <c r="B428" s="142" t="s">
        <v>26</v>
      </c>
      <c r="C428" s="138" t="s">
        <v>311</v>
      </c>
      <c r="D428" s="134" t="s">
        <v>40</v>
      </c>
      <c r="E428" s="135" t="s">
        <v>334</v>
      </c>
      <c r="F428" s="134" t="s">
        <v>208</v>
      </c>
      <c r="G428" s="136" t="str">
        <f>VLOOKUP(A428,Plano_V3!$A$26:$G$592,7,0)</f>
        <v>6. Em implementação (re-especificação)</v>
      </c>
      <c r="H428" s="136" t="s">
        <v>619</v>
      </c>
      <c r="I428" s="143" t="s">
        <v>661</v>
      </c>
      <c r="J428" s="153">
        <f>IF(VLOOKUP(A428,'Aux - pivots1'!$A:$E,3,0)=0, "",VLOOKUP(A428,'Aux - pivots1'!$A:$E,3,0))</f>
        <v>45561</v>
      </c>
      <c r="K428" s="153">
        <f>IF(VLOOKUP(A428,'Aux - pivots1'!$A:$E,4,0)=0, "",VLOOKUP(A428,'Aux - pivots1'!$A:$E,4,0))</f>
        <v>45624</v>
      </c>
      <c r="L428" s="153" t="str">
        <f>IF(VLOOKUP(A428,'Aux - pivots1'!$A:$E,5,0)=0, "",VLOOKUP(A428,'Aux - pivots1'!$A:$E,5,0))</f>
        <v/>
      </c>
      <c r="M428" s="209"/>
      <c r="N428" s="209"/>
    </row>
    <row r="429" spans="1:14" ht="16.2" hidden="1" customHeight="1" x14ac:dyDescent="0.4">
      <c r="A429" s="30" t="str">
        <f t="shared" si="9"/>
        <v>modesg_out_sfcs_taxon_europeiazdeposit</v>
      </c>
      <c r="B429" s="142" t="s">
        <v>26</v>
      </c>
      <c r="C429" s="138" t="s">
        <v>311</v>
      </c>
      <c r="D429" s="134" t="s">
        <v>40</v>
      </c>
      <c r="E429" s="135" t="s">
        <v>334</v>
      </c>
      <c r="F429" s="134" t="s">
        <v>210</v>
      </c>
      <c r="G429" s="136" t="str">
        <f>VLOOKUP(A429,Plano_V3!$A$26:$G$592,7,0)</f>
        <v>6. Em implementação (re-especificação)</v>
      </c>
      <c r="H429" s="136" t="s">
        <v>619</v>
      </c>
      <c r="I429" s="143" t="s">
        <v>661</v>
      </c>
      <c r="J429" s="153">
        <f>IF(VLOOKUP(A429,'Aux - pivots1'!$A:$E,3,0)=0, "",VLOOKUP(A429,'Aux - pivots1'!$A:$E,3,0))</f>
        <v>45561</v>
      </c>
      <c r="K429" s="153">
        <f>IF(VLOOKUP(A429,'Aux - pivots1'!$A:$E,4,0)=0, "",VLOOKUP(A429,'Aux - pivots1'!$A:$E,4,0))</f>
        <v>45624</v>
      </c>
      <c r="L429" s="153" t="str">
        <f>IF(VLOOKUP(A429,'Aux - pivots1'!$A:$E,5,0)=0, "",VLOOKUP(A429,'Aux - pivots1'!$A:$E,5,0))</f>
        <v/>
      </c>
      <c r="M429" s="209"/>
      <c r="N429" s="209"/>
    </row>
    <row r="430" spans="1:14" ht="16.2" hidden="1" customHeight="1" x14ac:dyDescent="0.4">
      <c r="A430" s="30" t="str">
        <f t="shared" si="9"/>
        <v>lt003_entitynace_esg</v>
      </c>
      <c r="B430" s="142" t="s">
        <v>26</v>
      </c>
      <c r="C430" s="138" t="s">
        <v>26</v>
      </c>
      <c r="D430" s="134" t="s">
        <v>40</v>
      </c>
      <c r="E430" s="137" t="s">
        <v>336</v>
      </c>
      <c r="F430" s="137" t="s">
        <v>337</v>
      </c>
      <c r="G430" s="136" t="str">
        <f>VLOOKUP(A430,Plano_V3!$A$26:$G$592,7,0)</f>
        <v>2.1 Em Teste</v>
      </c>
      <c r="H430" s="136" t="s">
        <v>1927</v>
      </c>
      <c r="I430" s="143"/>
      <c r="J430" s="153">
        <f>IF(VLOOKUP(A430,'Aux - pivots1'!$A:$E,3,0)=0, "",VLOOKUP(A430,'Aux - pivots1'!$A:$E,3,0))</f>
        <v>45583</v>
      </c>
      <c r="K430" s="153" t="str">
        <f>IF(VLOOKUP(A430,'Aux - pivots1'!$A:$E,4,0)=0, "",VLOOKUP(A430,'Aux - pivots1'!$A:$E,4,0))</f>
        <v/>
      </c>
      <c r="L430" s="153">
        <f>IF(VLOOKUP(A430,'Aux - pivots1'!$A:$E,5,0)=0, "",VLOOKUP(A430,'Aux - pivots1'!$A:$E,5,0))</f>
        <v>45596</v>
      </c>
      <c r="M430" s="209"/>
      <c r="N430" s="209"/>
    </row>
    <row r="431" spans="1:14" ht="16.2" hidden="1" customHeight="1" x14ac:dyDescent="0.4">
      <c r="A431" s="30" t="str">
        <f t="shared" si="9"/>
        <v>lt003_entitytxnmy_elgbl_capex_ccm</v>
      </c>
      <c r="B431" s="142" t="s">
        <v>26</v>
      </c>
      <c r="C431" s="138" t="s">
        <v>26</v>
      </c>
      <c r="D431" s="134" t="s">
        <v>40</v>
      </c>
      <c r="E431" s="137" t="s">
        <v>336</v>
      </c>
      <c r="F431" s="137" t="s">
        <v>339</v>
      </c>
      <c r="G431" s="136" t="str">
        <f>VLOOKUP(A431,Plano_V3!$A$26:$G$592,7,0)</f>
        <v>2.1 Em Teste</v>
      </c>
      <c r="H431" s="136" t="s">
        <v>1927</v>
      </c>
      <c r="I431" s="143"/>
      <c r="J431" s="153">
        <f>IF(VLOOKUP(A431,'Aux - pivots1'!$A:$E,3,0)=0, "",VLOOKUP(A431,'Aux - pivots1'!$A:$E,3,0))</f>
        <v>45583</v>
      </c>
      <c r="K431" s="153">
        <f>IF(VLOOKUP(A431,'Aux - pivots1'!$A:$E,4,0)=0, "",VLOOKUP(A431,'Aux - pivots1'!$A:$E,4,0))</f>
        <v>45614</v>
      </c>
      <c r="L431" s="153">
        <f>IF(VLOOKUP(A431,'Aux - pivots1'!$A:$E,5,0)=0, "",VLOOKUP(A431,'Aux - pivots1'!$A:$E,5,0))</f>
        <v>45596</v>
      </c>
      <c r="M431" s="209"/>
      <c r="N431" s="209"/>
    </row>
    <row r="432" spans="1:14" ht="16.2" hidden="1" customHeight="1" x14ac:dyDescent="0.4">
      <c r="A432" s="30" t="str">
        <f t="shared" si="9"/>
        <v>lt003_entitytxnmy_elgbl_trnvr_ccm</v>
      </c>
      <c r="B432" s="142" t="s">
        <v>26</v>
      </c>
      <c r="C432" s="138" t="s">
        <v>26</v>
      </c>
      <c r="D432" s="134" t="s">
        <v>40</v>
      </c>
      <c r="E432" s="137" t="s">
        <v>336</v>
      </c>
      <c r="F432" s="137" t="s">
        <v>340</v>
      </c>
      <c r="G432" s="136" t="str">
        <f>VLOOKUP(A432,Plano_V3!$A$26:$G$592,7,0)</f>
        <v>2.1 Em Teste</v>
      </c>
      <c r="H432" s="136" t="s">
        <v>1927</v>
      </c>
      <c r="I432" s="143"/>
      <c r="J432" s="153" t="str">
        <f>IF(VLOOKUP(A432,'Aux - pivots1'!$A:$E,3,0)=0, "",VLOOKUP(A432,'Aux - pivots1'!$A:$E,3,0))</f>
        <v/>
      </c>
      <c r="K432" s="153">
        <f>IF(VLOOKUP(A432,'Aux - pivots1'!$A:$E,4,0)=0, "",VLOOKUP(A432,'Aux - pivots1'!$A:$E,4,0))</f>
        <v>45614</v>
      </c>
      <c r="L432" s="153">
        <f>IF(VLOOKUP(A432,'Aux - pivots1'!$A:$E,5,0)=0, "",VLOOKUP(A432,'Aux - pivots1'!$A:$E,5,0))</f>
        <v>45596</v>
      </c>
      <c r="M432" s="209"/>
      <c r="N432" s="209"/>
    </row>
    <row r="433" spans="1:14" ht="16.2" hidden="1" customHeight="1" x14ac:dyDescent="0.4">
      <c r="A433" s="30" t="str">
        <f t="shared" si="9"/>
        <v>lt003_entitytxnmy_elgbl_capex_cca</v>
      </c>
      <c r="B433" s="142" t="s">
        <v>26</v>
      </c>
      <c r="C433" s="138" t="s">
        <v>26</v>
      </c>
      <c r="D433" s="134" t="s">
        <v>40</v>
      </c>
      <c r="E433" s="137" t="s">
        <v>336</v>
      </c>
      <c r="F433" s="137" t="s">
        <v>341</v>
      </c>
      <c r="G433" s="136" t="str">
        <f>VLOOKUP(A433,Plano_V3!$A$26:$G$592,7,0)</f>
        <v>2.1 Em Teste</v>
      </c>
      <c r="H433" s="136" t="s">
        <v>1927</v>
      </c>
      <c r="I433" s="143"/>
      <c r="J433" s="153" t="str">
        <f>IF(VLOOKUP(A433,'Aux - pivots1'!$A:$E,3,0)=0, "",VLOOKUP(A433,'Aux - pivots1'!$A:$E,3,0))</f>
        <v/>
      </c>
      <c r="K433" s="153">
        <f>IF(VLOOKUP(A433,'Aux - pivots1'!$A:$E,4,0)=0, "",VLOOKUP(A433,'Aux - pivots1'!$A:$E,4,0))</f>
        <v>45614</v>
      </c>
      <c r="L433" s="153">
        <f>IF(VLOOKUP(A433,'Aux - pivots1'!$A:$E,5,0)=0, "",VLOOKUP(A433,'Aux - pivots1'!$A:$E,5,0))</f>
        <v>45596</v>
      </c>
      <c r="M433" s="209"/>
      <c r="N433" s="209"/>
    </row>
    <row r="434" spans="1:14" ht="16.2" hidden="1" customHeight="1" x14ac:dyDescent="0.4">
      <c r="A434" s="30" t="str">
        <f t="shared" si="9"/>
        <v>lt003_entitytxnmy_elgbl_trnvr_cca</v>
      </c>
      <c r="B434" s="142" t="s">
        <v>26</v>
      </c>
      <c r="C434" s="138" t="s">
        <v>26</v>
      </c>
      <c r="D434" s="134" t="s">
        <v>40</v>
      </c>
      <c r="E434" s="137" t="s">
        <v>336</v>
      </c>
      <c r="F434" s="137" t="s">
        <v>342</v>
      </c>
      <c r="G434" s="136" t="str">
        <f>VLOOKUP(A434,Plano_V3!$A$26:$G$592,7,0)</f>
        <v>2.1 Em Teste</v>
      </c>
      <c r="H434" s="136" t="s">
        <v>1927</v>
      </c>
      <c r="I434" s="143"/>
      <c r="J434" s="153" t="str">
        <f>IF(VLOOKUP(A434,'Aux - pivots1'!$A:$E,3,0)=0, "",VLOOKUP(A434,'Aux - pivots1'!$A:$E,3,0))</f>
        <v/>
      </c>
      <c r="K434" s="153">
        <f>IF(VLOOKUP(A434,'Aux - pivots1'!$A:$E,4,0)=0, "",VLOOKUP(A434,'Aux - pivots1'!$A:$E,4,0))</f>
        <v>45614</v>
      </c>
      <c r="L434" s="153">
        <f>IF(VLOOKUP(A434,'Aux - pivots1'!$A:$E,5,0)=0, "",VLOOKUP(A434,'Aux - pivots1'!$A:$E,5,0))</f>
        <v>45596</v>
      </c>
      <c r="M434" s="209"/>
      <c r="N434" s="209"/>
    </row>
    <row r="435" spans="1:14" ht="16.2" hidden="1" customHeight="1" x14ac:dyDescent="0.4">
      <c r="A435" s="30" t="str">
        <f t="shared" si="9"/>
        <v>lt003_entityenblng_capex_ccm</v>
      </c>
      <c r="B435" s="142" t="s">
        <v>26</v>
      </c>
      <c r="C435" s="138" t="s">
        <v>26</v>
      </c>
      <c r="D435" s="134" t="s">
        <v>40</v>
      </c>
      <c r="E435" s="137" t="s">
        <v>336</v>
      </c>
      <c r="F435" s="137" t="s">
        <v>343</v>
      </c>
      <c r="G435" s="136" t="str">
        <f>VLOOKUP(A435,Plano_V3!$A$26:$G$592,7,0)</f>
        <v>2.1 Em Teste</v>
      </c>
      <c r="H435" s="136" t="s">
        <v>1927</v>
      </c>
      <c r="I435" s="143"/>
      <c r="J435" s="153" t="str">
        <f>IF(VLOOKUP(A435,'Aux - pivots1'!$A:$E,3,0)=0, "",VLOOKUP(A435,'Aux - pivots1'!$A:$E,3,0))</f>
        <v/>
      </c>
      <c r="K435" s="153">
        <f>IF(VLOOKUP(A435,'Aux - pivots1'!$A:$E,4,0)=0, "",VLOOKUP(A435,'Aux - pivots1'!$A:$E,4,0))</f>
        <v>45614</v>
      </c>
      <c r="L435" s="153">
        <f>IF(VLOOKUP(A435,'Aux - pivots1'!$A:$E,5,0)=0, "",VLOOKUP(A435,'Aux - pivots1'!$A:$E,5,0))</f>
        <v>45596</v>
      </c>
      <c r="M435" s="209"/>
      <c r="N435" s="209"/>
    </row>
    <row r="436" spans="1:14" ht="16.2" hidden="1" customHeight="1" x14ac:dyDescent="0.4">
      <c r="A436" s="30" t="str">
        <f t="shared" si="9"/>
        <v>lt003_entityenblng_capex_cca</v>
      </c>
      <c r="B436" s="142" t="s">
        <v>26</v>
      </c>
      <c r="C436" s="138" t="s">
        <v>26</v>
      </c>
      <c r="D436" s="134" t="s">
        <v>40</v>
      </c>
      <c r="E436" s="137" t="s">
        <v>336</v>
      </c>
      <c r="F436" s="137" t="s">
        <v>344</v>
      </c>
      <c r="G436" s="136" t="str">
        <f>VLOOKUP(A436,Plano_V3!$A$26:$G$592,7,0)</f>
        <v>2.1 Em Teste</v>
      </c>
      <c r="H436" s="136" t="s">
        <v>1927</v>
      </c>
      <c r="I436" s="143"/>
      <c r="J436" s="153" t="str">
        <f>IF(VLOOKUP(A436,'Aux - pivots1'!$A:$E,3,0)=0, "",VLOOKUP(A436,'Aux - pivots1'!$A:$E,3,0))</f>
        <v/>
      </c>
      <c r="K436" s="153">
        <f>IF(VLOOKUP(A436,'Aux - pivots1'!$A:$E,4,0)=0, "",VLOOKUP(A436,'Aux - pivots1'!$A:$E,4,0))</f>
        <v>45614</v>
      </c>
      <c r="L436" s="153">
        <f>IF(VLOOKUP(A436,'Aux - pivots1'!$A:$E,5,0)=0, "",VLOOKUP(A436,'Aux - pivots1'!$A:$E,5,0))</f>
        <v>45596</v>
      </c>
      <c r="M436" s="209"/>
      <c r="N436" s="209"/>
    </row>
    <row r="437" spans="1:14" ht="16.2" hidden="1" customHeight="1" x14ac:dyDescent="0.4">
      <c r="A437" s="30" t="str">
        <f t="shared" si="9"/>
        <v>lt003_entitytrnstnl_capex</v>
      </c>
      <c r="B437" s="142" t="s">
        <v>26</v>
      </c>
      <c r="C437" s="138" t="s">
        <v>26</v>
      </c>
      <c r="D437" s="134" t="s">
        <v>40</v>
      </c>
      <c r="E437" s="137" t="s">
        <v>336</v>
      </c>
      <c r="F437" s="137" t="s">
        <v>345</v>
      </c>
      <c r="G437" s="136" t="str">
        <f>VLOOKUP(A437,Plano_V3!$A$26:$G$592,7,0)</f>
        <v>2.1 Em Teste</v>
      </c>
      <c r="H437" s="136" t="s">
        <v>1927</v>
      </c>
      <c r="I437" s="143"/>
      <c r="J437" s="153" t="str">
        <f>IF(VLOOKUP(A437,'Aux - pivots1'!$A:$E,3,0)=0, "",VLOOKUP(A437,'Aux - pivots1'!$A:$E,3,0))</f>
        <v/>
      </c>
      <c r="K437" s="153">
        <f>IF(VLOOKUP(A437,'Aux - pivots1'!$A:$E,4,0)=0, "",VLOOKUP(A437,'Aux - pivots1'!$A:$E,4,0))</f>
        <v>45614</v>
      </c>
      <c r="L437" s="153">
        <f>IF(VLOOKUP(A437,'Aux - pivots1'!$A:$E,5,0)=0, "",VLOOKUP(A437,'Aux - pivots1'!$A:$E,5,0))</f>
        <v>45596</v>
      </c>
      <c r="M437" s="209"/>
      <c r="N437" s="209"/>
    </row>
    <row r="438" spans="1:14" ht="16.2" hidden="1" customHeight="1" x14ac:dyDescent="0.4">
      <c r="A438" s="30" t="str">
        <f t="shared" si="9"/>
        <v>lt003_entitypure_capex_ccm</v>
      </c>
      <c r="B438" s="142" t="s">
        <v>26</v>
      </c>
      <c r="C438" s="138" t="s">
        <v>26</v>
      </c>
      <c r="D438" s="134" t="s">
        <v>40</v>
      </c>
      <c r="E438" s="137" t="s">
        <v>336</v>
      </c>
      <c r="F438" s="137" t="s">
        <v>346</v>
      </c>
      <c r="G438" s="136" t="str">
        <f>VLOOKUP(A438,Plano_V3!$A$26:$G$592,7,0)</f>
        <v>2.1 Em Teste</v>
      </c>
      <c r="H438" s="136" t="s">
        <v>1927</v>
      </c>
      <c r="I438" s="143"/>
      <c r="J438" s="153" t="str">
        <f>IF(VLOOKUP(A438,'Aux - pivots1'!$A:$E,3,0)=0, "",VLOOKUP(A438,'Aux - pivots1'!$A:$E,3,0))</f>
        <v/>
      </c>
      <c r="K438" s="153">
        <f>IF(VLOOKUP(A438,'Aux - pivots1'!$A:$E,4,0)=0, "",VLOOKUP(A438,'Aux - pivots1'!$A:$E,4,0))</f>
        <v>45614</v>
      </c>
      <c r="L438" s="153">
        <f>IF(VLOOKUP(A438,'Aux - pivots1'!$A:$E,5,0)=0, "",VLOOKUP(A438,'Aux - pivots1'!$A:$E,5,0))</f>
        <v>45596</v>
      </c>
      <c r="M438" s="209"/>
      <c r="N438" s="209"/>
    </row>
    <row r="439" spans="1:14" ht="16.2" hidden="1" customHeight="1" x14ac:dyDescent="0.4">
      <c r="A439" s="30" t="str">
        <f t="shared" si="9"/>
        <v>lt003_entitypure_capex_cca</v>
      </c>
      <c r="B439" s="142" t="s">
        <v>26</v>
      </c>
      <c r="C439" s="138" t="s">
        <v>26</v>
      </c>
      <c r="D439" s="134" t="s">
        <v>40</v>
      </c>
      <c r="E439" s="137" t="s">
        <v>336</v>
      </c>
      <c r="F439" s="137" t="s">
        <v>347</v>
      </c>
      <c r="G439" s="136" t="str">
        <f>VLOOKUP(A439,Plano_V3!$A$26:$G$592,7,0)</f>
        <v>2.1 Em Teste</v>
      </c>
      <c r="H439" s="136" t="s">
        <v>1927</v>
      </c>
      <c r="I439" s="143"/>
      <c r="J439" s="153" t="str">
        <f>IF(VLOOKUP(A439,'Aux - pivots1'!$A:$E,3,0)=0, "",VLOOKUP(A439,'Aux - pivots1'!$A:$E,3,0))</f>
        <v/>
      </c>
      <c r="K439" s="153">
        <f>IF(VLOOKUP(A439,'Aux - pivots1'!$A:$E,4,0)=0, "",VLOOKUP(A439,'Aux - pivots1'!$A:$E,4,0))</f>
        <v>45611</v>
      </c>
      <c r="L439" s="153">
        <f>IF(VLOOKUP(A439,'Aux - pivots1'!$A:$E,5,0)=0, "",VLOOKUP(A439,'Aux - pivots1'!$A:$E,5,0))</f>
        <v>45611</v>
      </c>
      <c r="M439" s="209"/>
      <c r="N439" s="209"/>
    </row>
    <row r="440" spans="1:14" ht="16.2" hidden="1" customHeight="1" x14ac:dyDescent="0.4">
      <c r="A440" s="30" t="str">
        <f t="shared" si="9"/>
        <v>lt003_entityenblng_trnvr_ccm</v>
      </c>
      <c r="B440" s="142" t="s">
        <v>26</v>
      </c>
      <c r="C440" s="138" t="s">
        <v>26</v>
      </c>
      <c r="D440" s="134" t="s">
        <v>40</v>
      </c>
      <c r="E440" s="137" t="s">
        <v>336</v>
      </c>
      <c r="F440" s="137" t="s">
        <v>348</v>
      </c>
      <c r="G440" s="136" t="str">
        <f>VLOOKUP(A440,Plano_V3!$A$26:$G$592,7,0)</f>
        <v>2.1 Em Teste</v>
      </c>
      <c r="H440" s="136" t="s">
        <v>1927</v>
      </c>
      <c r="I440" s="143"/>
      <c r="J440" s="153" t="str">
        <f>IF(VLOOKUP(A440,'Aux - pivots1'!$A:$E,3,0)=0, "",VLOOKUP(A440,'Aux - pivots1'!$A:$E,3,0))</f>
        <v/>
      </c>
      <c r="K440" s="153">
        <f>IF(VLOOKUP(A440,'Aux - pivots1'!$A:$E,4,0)=0, "",VLOOKUP(A440,'Aux - pivots1'!$A:$E,4,0))</f>
        <v>45614</v>
      </c>
      <c r="L440" s="153">
        <f>IF(VLOOKUP(A440,'Aux - pivots1'!$A:$E,5,0)=0, "",VLOOKUP(A440,'Aux - pivots1'!$A:$E,5,0))</f>
        <v>45596</v>
      </c>
      <c r="M440" s="209"/>
      <c r="N440" s="209"/>
    </row>
    <row r="441" spans="1:14" ht="16.2" hidden="1" customHeight="1" x14ac:dyDescent="0.4">
      <c r="A441" s="30" t="str">
        <f t="shared" si="9"/>
        <v>lt003_entityenblng_trnvr_cca</v>
      </c>
      <c r="B441" s="142" t="s">
        <v>26</v>
      </c>
      <c r="C441" s="138" t="s">
        <v>26</v>
      </c>
      <c r="D441" s="134" t="s">
        <v>40</v>
      </c>
      <c r="E441" s="137" t="s">
        <v>336</v>
      </c>
      <c r="F441" s="137" t="s">
        <v>349</v>
      </c>
      <c r="G441" s="136" t="str">
        <f>VLOOKUP(A441,Plano_V3!$A$26:$G$592,7,0)</f>
        <v>2.1 Em Teste</v>
      </c>
      <c r="H441" s="136" t="s">
        <v>1927</v>
      </c>
      <c r="I441" s="143"/>
      <c r="J441" s="153" t="str">
        <f>IF(VLOOKUP(A441,'Aux - pivots1'!$A:$E,3,0)=0, "",VLOOKUP(A441,'Aux - pivots1'!$A:$E,3,0))</f>
        <v/>
      </c>
      <c r="K441" s="153">
        <f>IF(VLOOKUP(A441,'Aux - pivots1'!$A:$E,4,0)=0, "",VLOOKUP(A441,'Aux - pivots1'!$A:$E,4,0))</f>
        <v>45614</v>
      </c>
      <c r="L441" s="153">
        <f>IF(VLOOKUP(A441,'Aux - pivots1'!$A:$E,5,0)=0, "",VLOOKUP(A441,'Aux - pivots1'!$A:$E,5,0))</f>
        <v>45596</v>
      </c>
      <c r="M441" s="209"/>
      <c r="N441" s="209"/>
    </row>
    <row r="442" spans="1:14" ht="16.2" hidden="1" customHeight="1" x14ac:dyDescent="0.4">
      <c r="A442" s="30" t="str">
        <f t="shared" si="9"/>
        <v>lt003_entitytrnstnl_trnvr</v>
      </c>
      <c r="B442" s="142" t="s">
        <v>26</v>
      </c>
      <c r="C442" s="138" t="s">
        <v>26</v>
      </c>
      <c r="D442" s="134" t="s">
        <v>40</v>
      </c>
      <c r="E442" s="137" t="s">
        <v>336</v>
      </c>
      <c r="F442" s="137" t="s">
        <v>350</v>
      </c>
      <c r="G442" s="136" t="str">
        <f>VLOOKUP(A442,Plano_V3!$A$26:$G$592,7,0)</f>
        <v>2.1 Em Teste</v>
      </c>
      <c r="H442" s="136" t="s">
        <v>1927</v>
      </c>
      <c r="I442" s="143"/>
      <c r="J442" s="153" t="str">
        <f>IF(VLOOKUP(A442,'Aux - pivots1'!$A:$E,3,0)=0, "",VLOOKUP(A442,'Aux - pivots1'!$A:$E,3,0))</f>
        <v/>
      </c>
      <c r="K442" s="153">
        <f>IF(VLOOKUP(A442,'Aux - pivots1'!$A:$E,4,0)=0, "",VLOOKUP(A442,'Aux - pivots1'!$A:$E,4,0))</f>
        <v>45614</v>
      </c>
      <c r="L442" s="153">
        <f>IF(VLOOKUP(A442,'Aux - pivots1'!$A:$E,5,0)=0, "",VLOOKUP(A442,'Aux - pivots1'!$A:$E,5,0))</f>
        <v>45596</v>
      </c>
      <c r="M442" s="209"/>
      <c r="N442" s="209"/>
    </row>
    <row r="443" spans="1:14" ht="16.2" hidden="1" customHeight="1" x14ac:dyDescent="0.4">
      <c r="A443" s="30" t="str">
        <f t="shared" si="9"/>
        <v>lt003_entitypure_trnvr_ccm</v>
      </c>
      <c r="B443" s="142" t="s">
        <v>26</v>
      </c>
      <c r="C443" s="138" t="s">
        <v>26</v>
      </c>
      <c r="D443" s="134" t="s">
        <v>40</v>
      </c>
      <c r="E443" s="137" t="s">
        <v>336</v>
      </c>
      <c r="F443" s="137" t="s">
        <v>351</v>
      </c>
      <c r="G443" s="136" t="str">
        <f>VLOOKUP(A443,Plano_V3!$A$26:$G$592,7,0)</f>
        <v>2.1 Em Teste</v>
      </c>
      <c r="H443" s="136" t="s">
        <v>1927</v>
      </c>
      <c r="I443" s="143"/>
      <c r="J443" s="153" t="str">
        <f>IF(VLOOKUP(A443,'Aux - pivots1'!$A:$E,3,0)=0, "",VLOOKUP(A443,'Aux - pivots1'!$A:$E,3,0))</f>
        <v/>
      </c>
      <c r="K443" s="153">
        <f>IF(VLOOKUP(A443,'Aux - pivots1'!$A:$E,4,0)=0, "",VLOOKUP(A443,'Aux - pivots1'!$A:$E,4,0))</f>
        <v>45614</v>
      </c>
      <c r="L443" s="153">
        <f>IF(VLOOKUP(A443,'Aux - pivots1'!$A:$E,5,0)=0, "",VLOOKUP(A443,'Aux - pivots1'!$A:$E,5,0))</f>
        <v>45596</v>
      </c>
      <c r="M443" s="209"/>
      <c r="N443" s="209"/>
    </row>
    <row r="444" spans="1:14" ht="16.2" hidden="1" customHeight="1" x14ac:dyDescent="0.4">
      <c r="A444" s="30" t="str">
        <f t="shared" si="9"/>
        <v>lt003_entitypure_trnvr_cca</v>
      </c>
      <c r="B444" s="142" t="s">
        <v>26</v>
      </c>
      <c r="C444" s="138" t="s">
        <v>26</v>
      </c>
      <c r="D444" s="134" t="s">
        <v>40</v>
      </c>
      <c r="E444" s="137" t="s">
        <v>336</v>
      </c>
      <c r="F444" s="137" t="s">
        <v>352</v>
      </c>
      <c r="G444" s="136" t="str">
        <f>VLOOKUP(A444,Plano_V3!$A$26:$G$592,7,0)</f>
        <v>2.1 Em Teste</v>
      </c>
      <c r="H444" s="136" t="s">
        <v>1927</v>
      </c>
      <c r="I444" s="143"/>
      <c r="J444" s="153" t="str">
        <f>IF(VLOOKUP(A444,'Aux - pivots1'!$A:$E,3,0)=0, "",VLOOKUP(A444,'Aux - pivots1'!$A:$E,3,0))</f>
        <v/>
      </c>
      <c r="K444" s="153">
        <f>IF(VLOOKUP(A444,'Aux - pivots1'!$A:$E,4,0)=0, "",VLOOKUP(A444,'Aux - pivots1'!$A:$E,4,0))</f>
        <v>45614</v>
      </c>
      <c r="L444" s="153">
        <f>IF(VLOOKUP(A444,'Aux - pivots1'!$A:$E,5,0)=0, "",VLOOKUP(A444,'Aux - pivots1'!$A:$E,5,0))</f>
        <v>45596</v>
      </c>
      <c r="M444" s="209"/>
      <c r="N444" s="209"/>
    </row>
    <row r="445" spans="1:14" ht="16.2" hidden="1" customHeight="1" x14ac:dyDescent="0.4">
      <c r="A445" s="30" t="str">
        <f t="shared" si="9"/>
        <v>lt003_entityflg_nfrd_applcblty</v>
      </c>
      <c r="B445" s="142" t="s">
        <v>26</v>
      </c>
      <c r="C445" s="138" t="s">
        <v>26</v>
      </c>
      <c r="D445" s="134" t="s">
        <v>40</v>
      </c>
      <c r="E445" s="137" t="s">
        <v>336</v>
      </c>
      <c r="F445" s="137" t="s">
        <v>353</v>
      </c>
      <c r="G445" s="136" t="str">
        <f>VLOOKUP(A445,Plano_V3!$A$26:$G$592,7,0)</f>
        <v>2.1 Em Teste</v>
      </c>
      <c r="H445" s="136" t="s">
        <v>1927</v>
      </c>
      <c r="I445" s="143"/>
      <c r="J445" s="153">
        <f>IF(VLOOKUP(A445,'Aux - pivots1'!$A:$E,3,0)=0, "",VLOOKUP(A445,'Aux - pivots1'!$A:$E,3,0))</f>
        <v>45589</v>
      </c>
      <c r="K445" s="153">
        <f>IF(VLOOKUP(A445,'Aux - pivots1'!$A:$E,4,0)=0, "",VLOOKUP(A445,'Aux - pivots1'!$A:$E,4,0))</f>
        <v>45611</v>
      </c>
      <c r="L445" s="153">
        <f>IF(VLOOKUP(A445,'Aux - pivots1'!$A:$E,5,0)=0, "",VLOOKUP(A445,'Aux - pivots1'!$A:$E,5,0))</f>
        <v>45611</v>
      </c>
      <c r="M445" s="209"/>
      <c r="N445" s="209"/>
    </row>
    <row r="446" spans="1:14" ht="16.2" hidden="1" customHeight="1" x14ac:dyDescent="0.4">
      <c r="A446" s="30" t="str">
        <f t="shared" si="9"/>
        <v>lt003_entitycntrprty_emssns_scp1</v>
      </c>
      <c r="B446" s="142" t="s">
        <v>26</v>
      </c>
      <c r="C446" s="138" t="s">
        <v>26</v>
      </c>
      <c r="D446" s="134" t="s">
        <v>40</v>
      </c>
      <c r="E446" s="137" t="s">
        <v>336</v>
      </c>
      <c r="F446" s="137" t="s">
        <v>354</v>
      </c>
      <c r="G446" s="136" t="str">
        <f>VLOOKUP(A446,Plano_V3!$A$26:$G$592,7,0)</f>
        <v>2.1 Em Teste</v>
      </c>
      <c r="H446" s="136" t="s">
        <v>1927</v>
      </c>
      <c r="I446" s="143"/>
      <c r="J446" s="153" t="str">
        <f>IF(VLOOKUP(A446,'Aux - pivots1'!$A:$E,3,0)=0, "",VLOOKUP(A446,'Aux - pivots1'!$A:$E,3,0))</f>
        <v/>
      </c>
      <c r="K446" s="153">
        <f>IF(VLOOKUP(A446,'Aux - pivots1'!$A:$E,4,0)=0, "",VLOOKUP(A446,'Aux - pivots1'!$A:$E,4,0))</f>
        <v>45621</v>
      </c>
      <c r="L446" s="153">
        <f>IF(VLOOKUP(A446,'Aux - pivots1'!$A:$E,5,0)=0, "",VLOOKUP(A446,'Aux - pivots1'!$A:$E,5,0))</f>
        <v>45596</v>
      </c>
      <c r="M446" s="209"/>
      <c r="N446" s="209"/>
    </row>
    <row r="447" spans="1:14" ht="16.2" hidden="1" customHeight="1" x14ac:dyDescent="0.4">
      <c r="A447" s="30" t="str">
        <f t="shared" si="9"/>
        <v>lt003_entitycntrprty_emssns_scp2</v>
      </c>
      <c r="B447" s="142" t="s">
        <v>26</v>
      </c>
      <c r="C447" s="138" t="s">
        <v>26</v>
      </c>
      <c r="D447" s="134" t="s">
        <v>40</v>
      </c>
      <c r="E447" s="137" t="s">
        <v>336</v>
      </c>
      <c r="F447" s="137" t="s">
        <v>355</v>
      </c>
      <c r="G447" s="136" t="str">
        <f>VLOOKUP(A447,Plano_V3!$A$26:$G$592,7,0)</f>
        <v>2.1 Em Teste</v>
      </c>
      <c r="H447" s="136" t="s">
        <v>1927</v>
      </c>
      <c r="I447" s="143"/>
      <c r="J447" s="153" t="str">
        <f>IF(VLOOKUP(A447,'Aux - pivots1'!$A:$E,3,0)=0, "",VLOOKUP(A447,'Aux - pivots1'!$A:$E,3,0))</f>
        <v/>
      </c>
      <c r="K447" s="153">
        <f>IF(VLOOKUP(A447,'Aux - pivots1'!$A:$E,4,0)=0, "",VLOOKUP(A447,'Aux - pivots1'!$A:$E,4,0))</f>
        <v>45621</v>
      </c>
      <c r="L447" s="153">
        <f>IF(VLOOKUP(A447,'Aux - pivots1'!$A:$E,5,0)=0, "",VLOOKUP(A447,'Aux - pivots1'!$A:$E,5,0))</f>
        <v>45596</v>
      </c>
      <c r="M447" s="209"/>
      <c r="N447" s="209"/>
    </row>
    <row r="448" spans="1:14" ht="16.2" hidden="1" customHeight="1" x14ac:dyDescent="0.4">
      <c r="A448" s="30" t="str">
        <f t="shared" si="9"/>
        <v>lt003_entitycntrprty_emssns_scp3</v>
      </c>
      <c r="B448" s="142" t="s">
        <v>26</v>
      </c>
      <c r="C448" s="138" t="s">
        <v>26</v>
      </c>
      <c r="D448" s="134" t="s">
        <v>40</v>
      </c>
      <c r="E448" s="137" t="s">
        <v>336</v>
      </c>
      <c r="F448" s="137" t="s">
        <v>356</v>
      </c>
      <c r="G448" s="136" t="str">
        <f>VLOOKUP(A448,Plano_V3!$A$26:$G$592,7,0)</f>
        <v>2.1 Em Teste</v>
      </c>
      <c r="H448" s="136" t="s">
        <v>1927</v>
      </c>
      <c r="I448" s="143"/>
      <c r="J448" s="153" t="str">
        <f>IF(VLOOKUP(A448,'Aux - pivots1'!$A:$E,3,0)=0, "",VLOOKUP(A448,'Aux - pivots1'!$A:$E,3,0))</f>
        <v/>
      </c>
      <c r="K448" s="153">
        <f>IF(VLOOKUP(A448,'Aux - pivots1'!$A:$E,4,0)=0, "",VLOOKUP(A448,'Aux - pivots1'!$A:$E,4,0))</f>
        <v>45621</v>
      </c>
      <c r="L448" s="153">
        <f>IF(VLOOKUP(A448,'Aux - pivots1'!$A:$E,5,0)=0, "",VLOOKUP(A448,'Aux - pivots1'!$A:$E,5,0))</f>
        <v>45596</v>
      </c>
      <c r="M448" s="209"/>
      <c r="N448" s="209"/>
    </row>
    <row r="449" spans="1:14" ht="16.2" hidden="1" customHeight="1" x14ac:dyDescent="0.4">
      <c r="A449" s="30" t="str">
        <f t="shared" si="9"/>
        <v>lt003_entityflg_excldd_eu_prs_algnd_bnchmrk</v>
      </c>
      <c r="B449" s="142" t="s">
        <v>26</v>
      </c>
      <c r="C449" s="138" t="s">
        <v>26</v>
      </c>
      <c r="D449" s="134" t="s">
        <v>40</v>
      </c>
      <c r="E449" s="137" t="s">
        <v>336</v>
      </c>
      <c r="F449" s="137" t="s">
        <v>357</v>
      </c>
      <c r="G449" s="136" t="str">
        <f>VLOOKUP(A449,Plano_V3!$A$26:$G$592,7,0)</f>
        <v>2.1 Em Teste</v>
      </c>
      <c r="H449" s="136" t="s">
        <v>1927</v>
      </c>
      <c r="I449" s="143"/>
      <c r="J449" s="153" t="str">
        <f>IF(VLOOKUP(A449,'Aux - pivots1'!$A:$E,3,0)=0, "",VLOOKUP(A449,'Aux - pivots1'!$A:$E,3,0))</f>
        <v/>
      </c>
      <c r="K449" s="153">
        <f>IF(VLOOKUP(A449,'Aux - pivots1'!$A:$E,4,0)=0, "",VLOOKUP(A449,'Aux - pivots1'!$A:$E,4,0))</f>
        <v>45614</v>
      </c>
      <c r="L449" s="153">
        <f>IF(VLOOKUP(A449,'Aux - pivots1'!$A:$E,5,0)=0, "",VLOOKUP(A449,'Aux - pivots1'!$A:$E,5,0))</f>
        <v>45596</v>
      </c>
      <c r="M449" s="209"/>
      <c r="N449" s="209"/>
    </row>
    <row r="450" spans="1:14" ht="16.2" hidden="1" customHeight="1" x14ac:dyDescent="0.4">
      <c r="A450" s="30" t="str">
        <f t="shared" si="9"/>
        <v>lt003_entityflg_act_physcl_rsk</v>
      </c>
      <c r="B450" s="142" t="s">
        <v>26</v>
      </c>
      <c r="C450" s="138" t="s">
        <v>26</v>
      </c>
      <c r="D450" s="134" t="s">
        <v>40</v>
      </c>
      <c r="E450" s="137" t="s">
        <v>336</v>
      </c>
      <c r="F450" s="137" t="s">
        <v>358</v>
      </c>
      <c r="G450" s="136" t="str">
        <f>VLOOKUP(A450,Plano_V3!$A$26:$G$592,7,0)</f>
        <v>3. Pendente de outros desenvolvimentos</v>
      </c>
      <c r="H450" s="136" t="s">
        <v>615</v>
      </c>
      <c r="I450" s="143"/>
      <c r="J450" s="153">
        <f>IF(VLOOKUP(A450,'Aux - pivots1'!$A:$E,3,0)=0, "",VLOOKUP(A450,'Aux - pivots1'!$A:$E,3,0))</f>
        <v>45589</v>
      </c>
      <c r="K450" s="153" t="str">
        <f>IF(VLOOKUP(A450,'Aux - pivots1'!$A:$E,4,0)=0, "",VLOOKUP(A450,'Aux - pivots1'!$A:$E,4,0))</f>
        <v/>
      </c>
      <c r="L450" s="153">
        <f>IF(VLOOKUP(A450,'Aux - pivots1'!$A:$E,5,0)=0, "",VLOOKUP(A450,'Aux - pivots1'!$A:$E,5,0))</f>
        <v>45596</v>
      </c>
      <c r="M450" s="209"/>
      <c r="N450" s="209"/>
    </row>
    <row r="451" spans="1:14" ht="16.2" hidden="1" customHeight="1" x14ac:dyDescent="0.4">
      <c r="A451" s="30" t="str">
        <f t="shared" si="9"/>
        <v>lt003_entityflg_chrnc_physcl_rsk</v>
      </c>
      <c r="B451" s="142" t="s">
        <v>26</v>
      </c>
      <c r="C451" s="138" t="s">
        <v>26</v>
      </c>
      <c r="D451" s="134" t="s">
        <v>40</v>
      </c>
      <c r="E451" s="137" t="s">
        <v>336</v>
      </c>
      <c r="F451" s="137" t="s">
        <v>359</v>
      </c>
      <c r="G451" s="136" t="str">
        <f>VLOOKUP(A451,Plano_V3!$A$26:$G$592,7,0)</f>
        <v>3. Pendente de outros desenvolvimentos</v>
      </c>
      <c r="H451" s="136" t="s">
        <v>615</v>
      </c>
      <c r="I451" s="143"/>
      <c r="J451" s="153">
        <f>IF(VLOOKUP(A451,'Aux - pivots1'!$A:$E,3,0)=0, "",VLOOKUP(A451,'Aux - pivots1'!$A:$E,3,0))</f>
        <v>45589</v>
      </c>
      <c r="K451" s="153" t="str">
        <f>IF(VLOOKUP(A451,'Aux - pivots1'!$A:$E,4,0)=0, "",VLOOKUP(A451,'Aux - pivots1'!$A:$E,4,0))</f>
        <v/>
      </c>
      <c r="L451" s="153">
        <f>IF(VLOOKUP(A451,'Aux - pivots1'!$A:$E,5,0)=0, "",VLOOKUP(A451,'Aux - pivots1'!$A:$E,5,0))</f>
        <v>45596</v>
      </c>
      <c r="M451" s="209"/>
      <c r="N451" s="209"/>
    </row>
    <row r="452" spans="1:14" ht="16.2" hidden="1" customHeight="1" x14ac:dyDescent="0.4">
      <c r="A452" s="30" t="str">
        <f t="shared" si="9"/>
        <v>lt003_entitypst_cd</v>
      </c>
      <c r="B452" s="142" t="s">
        <v>26</v>
      </c>
      <c r="C452" s="138" t="s">
        <v>26</v>
      </c>
      <c r="D452" s="134" t="s">
        <v>40</v>
      </c>
      <c r="E452" s="137" t="s">
        <v>336</v>
      </c>
      <c r="F452" s="137" t="s">
        <v>360</v>
      </c>
      <c r="G452" s="136" t="str">
        <f>VLOOKUP(A452,Plano_V3!$A$26:$G$592,7,0)</f>
        <v>1. Concluído</v>
      </c>
      <c r="H452" s="136" t="s">
        <v>614</v>
      </c>
      <c r="I452" s="143"/>
      <c r="J452" s="153">
        <f>IF(VLOOKUP(A452,'Aux - pivots1'!$A:$E,3,0)=0, "",VLOOKUP(A452,'Aux - pivots1'!$A:$E,3,0))</f>
        <v>45589</v>
      </c>
      <c r="K452" s="153">
        <f>IF(VLOOKUP(A452,'Aux - pivots1'!$A:$E,4,0)=0, "",VLOOKUP(A452,'Aux - pivots1'!$A:$E,4,0))</f>
        <v>45596</v>
      </c>
      <c r="L452" s="153">
        <f>IF(VLOOKUP(A452,'Aux - pivots1'!$A:$E,5,0)=0, "",VLOOKUP(A452,'Aux - pivots1'!$A:$E,5,0))</f>
        <v>45596</v>
      </c>
      <c r="M452" s="209"/>
      <c r="N452" s="209"/>
    </row>
    <row r="453" spans="1:14" ht="16.2" hidden="1" customHeight="1" x14ac:dyDescent="0.4">
      <c r="A453" s="30" t="str">
        <f t="shared" si="9"/>
        <v>lt003_entityesg_sbsctr</v>
      </c>
      <c r="B453" s="142" t="s">
        <v>26</v>
      </c>
      <c r="C453" s="138" t="s">
        <v>26</v>
      </c>
      <c r="D453" s="134" t="s">
        <v>40</v>
      </c>
      <c r="E453" s="137" t="s">
        <v>336</v>
      </c>
      <c r="F453" s="137" t="s">
        <v>361</v>
      </c>
      <c r="G453" s="136" t="str">
        <f>VLOOKUP(A453,Plano_V3!$A$26:$G$592,7,0)</f>
        <v>2.1 Em Teste</v>
      </c>
      <c r="H453" s="136" t="s">
        <v>1927</v>
      </c>
      <c r="I453" s="143"/>
      <c r="J453" s="153">
        <f>IF(VLOOKUP(A453,'Aux - pivots1'!$A:$E,3,0)=0, "",VLOOKUP(A453,'Aux - pivots1'!$A:$E,3,0))</f>
        <v>45583</v>
      </c>
      <c r="K453" s="153">
        <f>IF(VLOOKUP(A453,'Aux - pivots1'!$A:$E,4,0)=0, "",VLOOKUP(A453,'Aux - pivots1'!$A:$E,4,0))</f>
        <v>45611</v>
      </c>
      <c r="L453" s="153">
        <f>IF(VLOOKUP(A453,'Aux - pivots1'!$A:$E,5,0)=0, "",VLOOKUP(A453,'Aux - pivots1'!$A:$E,5,0))</f>
        <v>45611</v>
      </c>
      <c r="M453" s="209"/>
      <c r="N453" s="209"/>
    </row>
    <row r="454" spans="1:14" ht="16.2" hidden="1" customHeight="1" x14ac:dyDescent="0.4">
      <c r="A454" s="30" t="str">
        <f t="shared" si="9"/>
        <v>lt003_entityttl_lblty</v>
      </c>
      <c r="B454" s="142" t="s">
        <v>26</v>
      </c>
      <c r="C454" s="138" t="s">
        <v>26</v>
      </c>
      <c r="D454" s="134" t="s">
        <v>40</v>
      </c>
      <c r="E454" s="137" t="s">
        <v>336</v>
      </c>
      <c r="F454" s="137" t="s">
        <v>362</v>
      </c>
      <c r="G454" s="136" t="str">
        <f>VLOOKUP(A454,Plano_V3!$A$26:$G$592,7,0)</f>
        <v>6. Em implementação (re-especificação)</v>
      </c>
      <c r="H454" s="136" t="s">
        <v>619</v>
      </c>
      <c r="I454" s="143"/>
      <c r="J454" s="153">
        <f>IF(VLOOKUP(A454,'Aux - pivots1'!$A:$E,3,0)=0, "",VLOOKUP(A454,'Aux - pivots1'!$A:$E,3,0))</f>
        <v>45593</v>
      </c>
      <c r="K454" s="153">
        <f>IF(VLOOKUP(A454,'Aux - pivots1'!$A:$E,4,0)=0, "",VLOOKUP(A454,'Aux - pivots1'!$A:$E,4,0))</f>
        <v>45624</v>
      </c>
      <c r="L454" s="153" t="str">
        <f>IF(VLOOKUP(A454,'Aux - pivots1'!$A:$E,5,0)=0, "",VLOOKUP(A454,'Aux - pivots1'!$A:$E,5,0))</f>
        <v/>
      </c>
      <c r="M454" s="209">
        <v>45593</v>
      </c>
      <c r="N454" s="209"/>
    </row>
    <row r="455" spans="1:14" ht="16.2" hidden="1" customHeight="1" x14ac:dyDescent="0.4">
      <c r="A455" s="30" t="str">
        <f t="shared" si="9"/>
        <v>lt003_entityisin</v>
      </c>
      <c r="B455" s="142" t="s">
        <v>26</v>
      </c>
      <c r="C455" s="138" t="s">
        <v>26</v>
      </c>
      <c r="D455" s="134" t="s">
        <v>40</v>
      </c>
      <c r="E455" s="137" t="s">
        <v>336</v>
      </c>
      <c r="F455" s="137" t="s">
        <v>239</v>
      </c>
      <c r="G455" s="136" t="str">
        <f>VLOOKUP(A455,Plano_V3!$A$26:$G$592,7,0)</f>
        <v>2.1 Em Teste</v>
      </c>
      <c r="H455" s="136" t="s">
        <v>1927</v>
      </c>
      <c r="I455" s="143"/>
      <c r="J455" s="153">
        <f>IF(VLOOKUP(A455,'Aux - pivots1'!$A:$E,3,0)=0, "",VLOOKUP(A455,'Aux - pivots1'!$A:$E,3,0))</f>
        <v>45589</v>
      </c>
      <c r="K455" s="153" t="str">
        <f>IF(VLOOKUP(A455,'Aux - pivots1'!$A:$E,4,0)=0, "",VLOOKUP(A455,'Aux - pivots1'!$A:$E,4,0))</f>
        <v/>
      </c>
      <c r="L455" s="153">
        <f>IF(VLOOKUP(A455,'Aux - pivots1'!$A:$E,5,0)=0, "",VLOOKUP(A455,'Aux - pivots1'!$A:$E,5,0))</f>
        <v>45611</v>
      </c>
      <c r="M455" s="209">
        <v>45588</v>
      </c>
      <c r="N455" s="209"/>
    </row>
    <row r="456" spans="1:14" ht="16.2" hidden="1" customHeight="1" x14ac:dyDescent="0.4">
      <c r="A456" s="30" t="str">
        <f t="shared" si="9"/>
        <v>lt003_entitygrp_annl_trnvr_le</v>
      </c>
      <c r="B456" s="142" t="s">
        <v>26</v>
      </c>
      <c r="C456" s="138" t="s">
        <v>26</v>
      </c>
      <c r="D456" s="134" t="s">
        <v>40</v>
      </c>
      <c r="E456" s="137" t="s">
        <v>336</v>
      </c>
      <c r="F456" s="137" t="s">
        <v>363</v>
      </c>
      <c r="G456" s="136" t="str">
        <f>VLOOKUP(A456,Plano_V3!$A$26:$G$592,7,0)</f>
        <v>2.1 Em Teste</v>
      </c>
      <c r="H456" s="136" t="s">
        <v>1927</v>
      </c>
      <c r="I456" s="143"/>
      <c r="J456" s="153">
        <f>IF(VLOOKUP(A456,'Aux - pivots1'!$A:$E,3,0)=0, "",VLOOKUP(A456,'Aux - pivots1'!$A:$E,3,0))</f>
        <v>45593</v>
      </c>
      <c r="K456" s="153">
        <f>IF(VLOOKUP(A456,'Aux - pivots1'!$A:$E,4,0)=0, "",VLOOKUP(A456,'Aux - pivots1'!$A:$E,4,0))</f>
        <v>45611</v>
      </c>
      <c r="L456" s="153">
        <f>IF(VLOOKUP(A456,'Aux - pivots1'!$A:$E,5,0)=0, "",VLOOKUP(A456,'Aux - pivots1'!$A:$E,5,0))</f>
        <v>45611</v>
      </c>
      <c r="M456" s="209">
        <v>45593</v>
      </c>
      <c r="N456" s="209"/>
    </row>
    <row r="457" spans="1:14" ht="16.2" hidden="1" customHeight="1" x14ac:dyDescent="0.4">
      <c r="A457" s="30" t="str">
        <f t="shared" si="9"/>
        <v>lt003_entitygrp_ttl_lblty</v>
      </c>
      <c r="B457" s="142" t="s">
        <v>26</v>
      </c>
      <c r="C457" s="138" t="s">
        <v>26</v>
      </c>
      <c r="D457" s="134" t="s">
        <v>40</v>
      </c>
      <c r="E457" s="137" t="s">
        <v>336</v>
      </c>
      <c r="F457" s="137" t="s">
        <v>364</v>
      </c>
      <c r="G457" s="136" t="str">
        <f>VLOOKUP(A457,Plano_V3!$A$26:$G$592,7,0)</f>
        <v>2.1 Em Teste</v>
      </c>
      <c r="H457" s="136" t="s">
        <v>1927</v>
      </c>
      <c r="I457" s="143"/>
      <c r="J457" s="153">
        <f>IF(VLOOKUP(A457,'Aux - pivots1'!$A:$E,3,0)=0, "",VLOOKUP(A457,'Aux - pivots1'!$A:$E,3,0))</f>
        <v>45593</v>
      </c>
      <c r="K457" s="153">
        <f>IF(VLOOKUP(A457,'Aux - pivots1'!$A:$E,4,0)=0, "",VLOOKUP(A457,'Aux - pivots1'!$A:$E,4,0))</f>
        <v>45611</v>
      </c>
      <c r="L457" s="153">
        <f>IF(VLOOKUP(A457,'Aux - pivots1'!$A:$E,5,0)=0, "",VLOOKUP(A457,'Aux - pivots1'!$A:$E,5,0))</f>
        <v>45611</v>
      </c>
      <c r="M457" s="209">
        <v>45593</v>
      </c>
      <c r="N457" s="209"/>
    </row>
    <row r="458" spans="1:14" ht="16.2" hidden="1" customHeight="1" x14ac:dyDescent="0.4">
      <c r="A458" s="30" t="str">
        <f t="shared" si="9"/>
        <v>lt003_entityflg_grp_nfrd_applcblty</v>
      </c>
      <c r="B458" s="142" t="s">
        <v>26</v>
      </c>
      <c r="C458" s="138" t="s">
        <v>26</v>
      </c>
      <c r="D458" s="134" t="s">
        <v>40</v>
      </c>
      <c r="E458" s="137" t="s">
        <v>336</v>
      </c>
      <c r="F458" s="137" t="s">
        <v>365</v>
      </c>
      <c r="G458" s="136" t="str">
        <f>VLOOKUP(A458,Plano_V3!$A$26:$G$592,7,0)</f>
        <v>2.1 Em Teste</v>
      </c>
      <c r="H458" s="136" t="s">
        <v>1927</v>
      </c>
      <c r="I458" s="143"/>
      <c r="J458" s="153">
        <f>IF(VLOOKUP(A458,'Aux - pivots1'!$A:$E,3,0)=0, "",VLOOKUP(A458,'Aux - pivots1'!$A:$E,3,0))</f>
        <v>45589</v>
      </c>
      <c r="K458" s="153" t="str">
        <f>IF(VLOOKUP(A458,'Aux - pivots1'!$A:$E,4,0)=0, "",VLOOKUP(A458,'Aux - pivots1'!$A:$E,4,0))</f>
        <v/>
      </c>
      <c r="L458" s="153">
        <f>IF(VLOOKUP(A458,'Aux - pivots1'!$A:$E,5,0)=0, "",VLOOKUP(A458,'Aux - pivots1'!$A:$E,5,0))</f>
        <v>45596</v>
      </c>
      <c r="M458" s="209">
        <v>45588</v>
      </c>
      <c r="N458" s="209"/>
    </row>
    <row r="459" spans="1:14" ht="16.2" hidden="1" customHeight="1" x14ac:dyDescent="0.4">
      <c r="A459" s="30" t="str">
        <f t="shared" si="9"/>
        <v>lt003_entitygrp_emssns_scp1</v>
      </c>
      <c r="B459" s="142" t="s">
        <v>26</v>
      </c>
      <c r="C459" s="138" t="s">
        <v>26</v>
      </c>
      <c r="D459" s="134" t="s">
        <v>40</v>
      </c>
      <c r="E459" s="137" t="s">
        <v>336</v>
      </c>
      <c r="F459" s="137" t="s">
        <v>366</v>
      </c>
      <c r="G459" s="136" t="str">
        <f>VLOOKUP(A459,Plano_V3!$A$26:$G$592,7,0)</f>
        <v>2.1 Em Teste</v>
      </c>
      <c r="H459" s="136" t="s">
        <v>615</v>
      </c>
      <c r="I459" s="143"/>
      <c r="J459" s="153">
        <f>IF(VLOOKUP(A459,'Aux - pivots1'!$A:$E,3,0)=0, "",VLOOKUP(A459,'Aux - pivots1'!$A:$E,3,0))</f>
        <v>45589</v>
      </c>
      <c r="K459" s="153" t="str">
        <f>IF(VLOOKUP(A459,'Aux - pivots1'!$A:$E,4,0)=0, "",VLOOKUP(A459,'Aux - pivots1'!$A:$E,4,0))</f>
        <v/>
      </c>
      <c r="L459" s="153">
        <f>IF(VLOOKUP(A459,'Aux - pivots1'!$A:$E,5,0)=0, "",VLOOKUP(A459,'Aux - pivots1'!$A:$E,5,0))</f>
        <v>45596</v>
      </c>
      <c r="M459" s="209">
        <v>45588</v>
      </c>
      <c r="N459" s="209"/>
    </row>
    <row r="460" spans="1:14" ht="16.2" hidden="1" customHeight="1" x14ac:dyDescent="0.4">
      <c r="A460" s="30" t="str">
        <f t="shared" si="9"/>
        <v>lt003_entitygrp_emssns_scp2</v>
      </c>
      <c r="B460" s="142" t="s">
        <v>26</v>
      </c>
      <c r="C460" s="138" t="s">
        <v>26</v>
      </c>
      <c r="D460" s="134" t="s">
        <v>40</v>
      </c>
      <c r="E460" s="137" t="s">
        <v>336</v>
      </c>
      <c r="F460" s="137" t="s">
        <v>367</v>
      </c>
      <c r="G460" s="136" t="str">
        <f>VLOOKUP(A460,Plano_V3!$A$26:$G$592,7,0)</f>
        <v>2.1 Em Teste</v>
      </c>
      <c r="H460" s="136" t="s">
        <v>615</v>
      </c>
      <c r="I460" s="143"/>
      <c r="J460" s="153">
        <f>IF(VLOOKUP(A460,'Aux - pivots1'!$A:$E,3,0)=0, "",VLOOKUP(A460,'Aux - pivots1'!$A:$E,3,0))</f>
        <v>45589</v>
      </c>
      <c r="K460" s="153" t="str">
        <f>IF(VLOOKUP(A460,'Aux - pivots1'!$A:$E,4,0)=0, "",VLOOKUP(A460,'Aux - pivots1'!$A:$E,4,0))</f>
        <v/>
      </c>
      <c r="L460" s="153">
        <f>IF(VLOOKUP(A460,'Aux - pivots1'!$A:$E,5,0)=0, "",VLOOKUP(A460,'Aux - pivots1'!$A:$E,5,0))</f>
        <v>45596</v>
      </c>
      <c r="M460" s="209">
        <v>45588</v>
      </c>
      <c r="N460" s="209"/>
    </row>
    <row r="461" spans="1:14" ht="16.2" hidden="1" customHeight="1" x14ac:dyDescent="0.4">
      <c r="A461" s="30" t="str">
        <f t="shared" si="9"/>
        <v>lt003_entitygrp_emssns_scp3</v>
      </c>
      <c r="B461" s="142" t="s">
        <v>26</v>
      </c>
      <c r="C461" s="138" t="s">
        <v>26</v>
      </c>
      <c r="D461" s="134" t="s">
        <v>40</v>
      </c>
      <c r="E461" s="137" t="s">
        <v>336</v>
      </c>
      <c r="F461" s="137" t="s">
        <v>368</v>
      </c>
      <c r="G461" s="136" t="str">
        <f>VLOOKUP(A461,Plano_V3!$A$26:$G$592,7,0)</f>
        <v>2.1 Em Teste</v>
      </c>
      <c r="H461" s="136" t="s">
        <v>615</v>
      </c>
      <c r="I461" s="143"/>
      <c r="J461" s="153">
        <f>IF(VLOOKUP(A461,'Aux - pivots1'!$A:$E,3,0)=0, "",VLOOKUP(A461,'Aux - pivots1'!$A:$E,3,0))</f>
        <v>45589</v>
      </c>
      <c r="K461" s="153" t="str">
        <f>IF(VLOOKUP(A461,'Aux - pivots1'!$A:$E,4,0)=0, "",VLOOKUP(A461,'Aux - pivots1'!$A:$E,4,0))</f>
        <v/>
      </c>
      <c r="L461" s="153">
        <f>IF(VLOOKUP(A461,'Aux - pivots1'!$A:$E,5,0)=0, "",VLOOKUP(A461,'Aux - pivots1'!$A:$E,5,0))</f>
        <v>45596</v>
      </c>
      <c r="M461" s="209">
        <v>45588</v>
      </c>
      <c r="N461" s="209"/>
    </row>
    <row r="462" spans="1:14" ht="16.2" hidden="1" customHeight="1" x14ac:dyDescent="0.4">
      <c r="A462" s="30" t="str">
        <f t="shared" si="9"/>
        <v>lt004_protectiontyp_ep_scr</v>
      </c>
      <c r="B462" s="142" t="s">
        <v>26</v>
      </c>
      <c r="C462" s="138" t="s">
        <v>26</v>
      </c>
      <c r="D462" s="134" t="s">
        <v>40</v>
      </c>
      <c r="E462" s="137" t="s">
        <v>369</v>
      </c>
      <c r="F462" s="325" t="s">
        <v>370</v>
      </c>
      <c r="G462" s="136" t="str">
        <f>VLOOKUP(A462,Plano_V3!$A$26:$G$592,7,0)</f>
        <v>2.1 Em Teste</v>
      </c>
      <c r="H462" s="136" t="s">
        <v>1927</v>
      </c>
      <c r="I462" s="143"/>
      <c r="J462" s="153">
        <f>IF(VLOOKUP(A462,'Aux - pivots1'!$A:$E,3,0)=0, "",VLOOKUP(A462,'Aux - pivots1'!$A:$E,3,0))</f>
        <v>45583</v>
      </c>
      <c r="K462" s="153">
        <f>IF(VLOOKUP(A462,'Aux - pivots1'!$A:$E,4,0)=0, "",VLOOKUP(A462,'Aux - pivots1'!$A:$E,4,0))</f>
        <v>45611</v>
      </c>
      <c r="L462" s="153">
        <f>IF(VLOOKUP(A462,'Aux - pivots1'!$A:$E,5,0)=0, "",VLOOKUP(A462,'Aux - pivots1'!$A:$E,5,0))</f>
        <v>45611</v>
      </c>
      <c r="M462" s="209"/>
      <c r="N462" s="209"/>
    </row>
    <row r="463" spans="1:14" ht="16.2" hidden="1" customHeight="1" x14ac:dyDescent="0.4">
      <c r="A463" s="30" t="str">
        <f t="shared" si="9"/>
        <v>lt004_protectionep_scr</v>
      </c>
      <c r="B463" s="142" t="s">
        <v>26</v>
      </c>
      <c r="C463" s="138" t="s">
        <v>26</v>
      </c>
      <c r="D463" s="134" t="s">
        <v>40</v>
      </c>
      <c r="E463" s="137" t="s">
        <v>369</v>
      </c>
      <c r="F463" s="325" t="s">
        <v>371</v>
      </c>
      <c r="G463" s="136" t="str">
        <f>VLOOKUP(A463,Plano_V3!$A$26:$G$592,7,0)</f>
        <v>2.1 Em Teste</v>
      </c>
      <c r="H463" s="136" t="s">
        <v>1927</v>
      </c>
      <c r="I463" s="143"/>
      <c r="J463" s="153">
        <f>IF(VLOOKUP(A463,'Aux - pivots1'!$A:$E,3,0)=0, "",VLOOKUP(A463,'Aux - pivots1'!$A:$E,3,0))</f>
        <v>45583</v>
      </c>
      <c r="K463" s="153">
        <f>IF(VLOOKUP(A463,'Aux - pivots1'!$A:$E,4,0)=0, "",VLOOKUP(A463,'Aux - pivots1'!$A:$E,4,0))</f>
        <v>45596</v>
      </c>
      <c r="L463" s="153">
        <f>IF(VLOOKUP(A463,'Aux - pivots1'!$A:$E,5,0)=0, "",VLOOKUP(A463,'Aux - pivots1'!$A:$E,5,0))</f>
        <v>45596</v>
      </c>
      <c r="M463" s="209"/>
      <c r="N463" s="209"/>
    </row>
    <row r="464" spans="1:14" ht="16.2" hidden="1" customHeight="1" x14ac:dyDescent="0.4">
      <c r="A464" s="30" t="str">
        <f t="shared" si="9"/>
        <v>lt004_protectiontyp_epc_lbl</v>
      </c>
      <c r="B464" s="142" t="s">
        <v>26</v>
      </c>
      <c r="C464" s="138" t="s">
        <v>26</v>
      </c>
      <c r="D464" s="134" t="s">
        <v>40</v>
      </c>
      <c r="E464" s="137" t="s">
        <v>369</v>
      </c>
      <c r="F464" s="325" t="s">
        <v>372</v>
      </c>
      <c r="G464" s="136" t="str">
        <f>VLOOKUP(A464,Plano_V3!$A$26:$G$592,7,0)</f>
        <v>2.1 Em Teste</v>
      </c>
      <c r="H464" s="136" t="s">
        <v>1927</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9"/>
      <c r="N464" s="209"/>
    </row>
    <row r="465" spans="1:14" ht="16.2" hidden="1" customHeight="1" x14ac:dyDescent="0.4">
      <c r="A465" s="30" t="str">
        <f t="shared" si="9"/>
        <v>lt004_protectionepc_lbl</v>
      </c>
      <c r="B465" s="142" t="s">
        <v>26</v>
      </c>
      <c r="C465" s="138" t="s">
        <v>26</v>
      </c>
      <c r="D465" s="134" t="s">
        <v>40</v>
      </c>
      <c r="E465" s="137" t="s">
        <v>369</v>
      </c>
      <c r="F465" s="325" t="s">
        <v>373</v>
      </c>
      <c r="G465" s="136" t="str">
        <f>VLOOKUP(A465,Plano_V3!$A$26:$G$592,7,0)</f>
        <v>2.1 Em Teste</v>
      </c>
      <c r="H465" s="136" t="s">
        <v>1927</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9"/>
      <c r="N465" s="209"/>
    </row>
    <row r="466" spans="1:14" ht="16.2" hidden="1" customHeight="1" x14ac:dyDescent="0.4">
      <c r="A466" s="30" t="str">
        <f t="shared" si="9"/>
        <v>lt004_protectionemssns_scp1_prtctn</v>
      </c>
      <c r="B466" s="142" t="s">
        <v>26</v>
      </c>
      <c r="C466" s="138" t="s">
        <v>26</v>
      </c>
      <c r="D466" s="134" t="s">
        <v>40</v>
      </c>
      <c r="E466" s="137" t="s">
        <v>369</v>
      </c>
      <c r="F466" s="325" t="s">
        <v>374</v>
      </c>
      <c r="G466" s="326" t="str">
        <f>VLOOKUP(A466,Plano_V3!$A$26:$G$592,7,0)</f>
        <v>6. Em implementação (re-especificação)</v>
      </c>
      <c r="H466" s="136" t="s">
        <v>1927</v>
      </c>
      <c r="I466" s="143"/>
      <c r="J466" s="153" t="str">
        <f>IF(VLOOKUP(A466,'Aux - pivots1'!$A:$E,3,0)=0, "",VLOOKUP(A466,'Aux - pivots1'!$A:$E,3,0))</f>
        <v/>
      </c>
      <c r="K466" s="153" t="str">
        <f>IF(VLOOKUP(A466,'Aux - pivots1'!$A:$E,4,0)=0, "",VLOOKUP(A466,'Aux - pivots1'!$A:$E,4,0))</f>
        <v/>
      </c>
      <c r="L466" s="153" t="str">
        <f>IF(VLOOKUP(A466,'Aux - pivots1'!$A:$E,5,0)=0, "",VLOOKUP(A466,'Aux - pivots1'!$A:$E,5,0))</f>
        <v/>
      </c>
      <c r="M466" s="209"/>
      <c r="N466" s="209"/>
    </row>
    <row r="467" spans="1:14" ht="16.2" hidden="1" customHeight="1" x14ac:dyDescent="0.4">
      <c r="A467" s="30" t="str">
        <f t="shared" ref="A467:A535" si="10">E467&amp;F467</f>
        <v>lt004_protectionemssns_scp2_prtctn</v>
      </c>
      <c r="B467" s="142" t="s">
        <v>26</v>
      </c>
      <c r="C467" s="138" t="s">
        <v>26</v>
      </c>
      <c r="D467" s="134" t="s">
        <v>40</v>
      </c>
      <c r="E467" s="137" t="s">
        <v>369</v>
      </c>
      <c r="F467" s="325" t="s">
        <v>375</v>
      </c>
      <c r="G467" s="326" t="str">
        <f>VLOOKUP(A467,Plano_V3!$A$26:$G$592,7,0)</f>
        <v>6. Em implementação (re-especificação)</v>
      </c>
      <c r="H467" s="136" t="s">
        <v>1927</v>
      </c>
      <c r="I467" s="143"/>
      <c r="J467" s="153" t="str">
        <f>IF(VLOOKUP(A467,'Aux - pivots1'!$A:$E,3,0)=0, "",VLOOKUP(A467,'Aux - pivots1'!$A:$E,3,0))</f>
        <v/>
      </c>
      <c r="K467" s="153" t="str">
        <f>IF(VLOOKUP(A467,'Aux - pivots1'!$A:$E,4,0)=0, "",VLOOKUP(A467,'Aux - pivots1'!$A:$E,4,0))</f>
        <v/>
      </c>
      <c r="L467" s="153" t="str">
        <f>IF(VLOOKUP(A467,'Aux - pivots1'!$A:$E,5,0)=0, "",VLOOKUP(A467,'Aux - pivots1'!$A:$E,5,0))</f>
        <v/>
      </c>
      <c r="M467" s="209"/>
      <c r="N467" s="209"/>
    </row>
    <row r="468" spans="1:14" ht="16.2" hidden="1" customHeight="1" x14ac:dyDescent="0.4">
      <c r="A468" s="30" t="str">
        <f t="shared" si="10"/>
        <v>lt004_protectionemssns_scp3_prtctn</v>
      </c>
      <c r="B468" s="142" t="s">
        <v>26</v>
      </c>
      <c r="C468" s="138" t="s">
        <v>26</v>
      </c>
      <c r="D468" s="134" t="s">
        <v>40</v>
      </c>
      <c r="E468" s="137" t="s">
        <v>369</v>
      </c>
      <c r="F468" s="325" t="s">
        <v>376</v>
      </c>
      <c r="G468" s="326" t="str">
        <f>VLOOKUP(A468,Plano_V3!$A$26:$G$592,7,0)</f>
        <v>6. Em implementação (re-especificação)</v>
      </c>
      <c r="H468" s="136" t="s">
        <v>1927</v>
      </c>
      <c r="I468" s="143"/>
      <c r="J468" s="153" t="str">
        <f>IF(VLOOKUP(A468,'Aux - pivots1'!$A:$E,3,0)=0, "",VLOOKUP(A468,'Aux - pivots1'!$A:$E,3,0))</f>
        <v/>
      </c>
      <c r="K468" s="153" t="str">
        <f>IF(VLOOKUP(A468,'Aux - pivots1'!$A:$E,4,0)=0, "",VLOOKUP(A468,'Aux - pivots1'!$A:$E,4,0))</f>
        <v/>
      </c>
      <c r="L468" s="153" t="str">
        <f>IF(VLOOKUP(A468,'Aux - pivots1'!$A:$E,5,0)=0, "",VLOOKUP(A468,'Aux - pivots1'!$A:$E,5,0))</f>
        <v/>
      </c>
      <c r="M468" s="209"/>
      <c r="N468" s="209"/>
    </row>
    <row r="469" spans="1:14" ht="16.2" hidden="1" customHeight="1" x14ac:dyDescent="0.4">
      <c r="A469" s="30" t="str">
        <f t="shared" si="10"/>
        <v>lt004_protectionmthd_usd_prtctn_scp_1</v>
      </c>
      <c r="B469" s="142" t="s">
        <v>26</v>
      </c>
      <c r="C469" s="138" t="s">
        <v>26</v>
      </c>
      <c r="D469" s="134" t="s">
        <v>40</v>
      </c>
      <c r="E469" s="137" t="s">
        <v>369</v>
      </c>
      <c r="F469" s="325" t="s">
        <v>377</v>
      </c>
      <c r="G469" s="326" t="str">
        <f>VLOOKUP(A469,Plano_V3!$A$26:$G$592,7,0)</f>
        <v>6. Em implementação (re-especificação)</v>
      </c>
      <c r="H469" s="136" t="s">
        <v>1927</v>
      </c>
      <c r="I469" s="143"/>
      <c r="J469" s="153" t="str">
        <f>IF(VLOOKUP(A469,'Aux - pivots1'!$A:$E,3,0)=0, "",VLOOKUP(A469,'Aux - pivots1'!$A:$E,3,0))</f>
        <v/>
      </c>
      <c r="K469" s="153" t="str">
        <f>IF(VLOOKUP(A469,'Aux - pivots1'!$A:$E,4,0)=0, "",VLOOKUP(A469,'Aux - pivots1'!$A:$E,4,0))</f>
        <v/>
      </c>
      <c r="L469" s="153" t="str">
        <f>IF(VLOOKUP(A469,'Aux - pivots1'!$A:$E,5,0)=0, "",VLOOKUP(A469,'Aux - pivots1'!$A:$E,5,0))</f>
        <v/>
      </c>
      <c r="M469" s="209"/>
      <c r="N469" s="209"/>
    </row>
    <row r="470" spans="1:14" ht="16.2" hidden="1" customHeight="1" x14ac:dyDescent="0.4">
      <c r="A470" s="30" t="str">
        <f t="shared" si="10"/>
        <v>lt004_protectionmthd_usd_prtctn_scp_2</v>
      </c>
      <c r="B470" s="142" t="s">
        <v>26</v>
      </c>
      <c r="C470" s="138" t="s">
        <v>26</v>
      </c>
      <c r="D470" s="134" t="s">
        <v>40</v>
      </c>
      <c r="E470" s="137" t="s">
        <v>369</v>
      </c>
      <c r="F470" s="325" t="s">
        <v>378</v>
      </c>
      <c r="G470" s="326" t="str">
        <f>VLOOKUP(A470,Plano_V3!$A$26:$G$592,7,0)</f>
        <v>6. Em implementação (re-especificação)</v>
      </c>
      <c r="H470" s="136" t="s">
        <v>1927</v>
      </c>
      <c r="I470" s="143"/>
      <c r="J470" s="153" t="str">
        <f>IF(VLOOKUP(A470,'Aux - pivots1'!$A:$E,3,0)=0, "",VLOOKUP(A470,'Aux - pivots1'!$A:$E,3,0))</f>
        <v/>
      </c>
      <c r="K470" s="153" t="str">
        <f>IF(VLOOKUP(A470,'Aux - pivots1'!$A:$E,4,0)=0, "",VLOOKUP(A470,'Aux - pivots1'!$A:$E,4,0))</f>
        <v/>
      </c>
      <c r="L470" s="153" t="str">
        <f>IF(VLOOKUP(A470,'Aux - pivots1'!$A:$E,5,0)=0, "",VLOOKUP(A470,'Aux - pivots1'!$A:$E,5,0))</f>
        <v/>
      </c>
      <c r="M470" s="209"/>
      <c r="N470" s="209"/>
    </row>
    <row r="471" spans="1:14" ht="16.2" hidden="1" customHeight="1" x14ac:dyDescent="0.4">
      <c r="A471" s="30" t="str">
        <f t="shared" si="10"/>
        <v>lt004_protectionmthd_usd_prtctn_scp_3</v>
      </c>
      <c r="B471" s="142" t="s">
        <v>26</v>
      </c>
      <c r="C471" s="138" t="s">
        <v>26</v>
      </c>
      <c r="D471" s="134" t="s">
        <v>40</v>
      </c>
      <c r="E471" s="137" t="s">
        <v>369</v>
      </c>
      <c r="F471" s="325" t="s">
        <v>379</v>
      </c>
      <c r="G471" s="326" t="str">
        <f>VLOOKUP(A471,Plano_V3!$A$26:$G$592,7,0)</f>
        <v>6. Em implementação (re-especificação)</v>
      </c>
      <c r="H471" s="136" t="s">
        <v>1927</v>
      </c>
      <c r="I471" s="143"/>
      <c r="J471" s="153" t="str">
        <f>IF(VLOOKUP(A471,'Aux - pivots1'!$A:$E,3,0)=0, "",VLOOKUP(A471,'Aux - pivots1'!$A:$E,3,0))</f>
        <v/>
      </c>
      <c r="K471" s="153" t="str">
        <f>IF(VLOOKUP(A471,'Aux - pivots1'!$A:$E,4,0)=0, "",VLOOKUP(A471,'Aux - pivots1'!$A:$E,4,0))</f>
        <v/>
      </c>
      <c r="L471" s="153" t="str">
        <f>IF(VLOOKUP(A471,'Aux - pivots1'!$A:$E,5,0)=0, "",VLOOKUP(A471,'Aux - pivots1'!$A:$E,5,0))</f>
        <v/>
      </c>
      <c r="M471" s="209"/>
      <c r="N471" s="209"/>
    </row>
    <row r="472" spans="1:14" ht="16.2" hidden="1" customHeight="1" x14ac:dyDescent="0.4">
      <c r="A472" s="30" t="str">
        <f t="shared" si="10"/>
        <v>lt004_protectionflg_act_physcl_rsk</v>
      </c>
      <c r="B472" s="142" t="s">
        <v>26</v>
      </c>
      <c r="C472" s="138" t="s">
        <v>26</v>
      </c>
      <c r="D472" s="134" t="s">
        <v>40</v>
      </c>
      <c r="E472" s="137" t="s">
        <v>369</v>
      </c>
      <c r="F472" s="325" t="s">
        <v>358</v>
      </c>
      <c r="G472" s="326" t="str">
        <f>VLOOKUP(A472,Plano_V3!$A$26:$G$592,7,0)</f>
        <v>3. Pendente de outros desenvolvimentos</v>
      </c>
      <c r="H472" s="136" t="s">
        <v>615</v>
      </c>
      <c r="I472" s="143"/>
      <c r="J472" s="153">
        <f>IF(VLOOKUP(A472,'Aux - pivots1'!$A:$E,3,0)=0, "",VLOOKUP(A472,'Aux - pivots1'!$A:$E,3,0))</f>
        <v>45583</v>
      </c>
      <c r="K472" s="153">
        <f>IF(VLOOKUP(A472,'Aux - pivots1'!$A:$E,4,0)=0, "",VLOOKUP(A472,'Aux - pivots1'!$A:$E,4,0))</f>
        <v>45596</v>
      </c>
      <c r="L472" s="153">
        <f>IF(VLOOKUP(A472,'Aux - pivots1'!$A:$E,5,0)=0, "",VLOOKUP(A472,'Aux - pivots1'!$A:$E,5,0))</f>
        <v>45596</v>
      </c>
      <c r="M472" s="209"/>
      <c r="N472" s="209"/>
    </row>
    <row r="473" spans="1:14" ht="16.2" hidden="1" customHeight="1" x14ac:dyDescent="0.4">
      <c r="A473" s="30" t="str">
        <f t="shared" si="10"/>
        <v>lt004_protectionflg_chrnc_physcl_rsk</v>
      </c>
      <c r="B473" s="142" t="s">
        <v>26</v>
      </c>
      <c r="C473" s="138" t="s">
        <v>26</v>
      </c>
      <c r="D473" s="134" t="s">
        <v>40</v>
      </c>
      <c r="E473" s="137" t="s">
        <v>369</v>
      </c>
      <c r="F473" s="325" t="s">
        <v>359</v>
      </c>
      <c r="G473" s="326" t="str">
        <f>VLOOKUP(A473,Plano_V3!$A$26:$G$592,7,0)</f>
        <v>3. Pendente de outros desenvolvimentos</v>
      </c>
      <c r="H473" s="136" t="s">
        <v>615</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9"/>
      <c r="N473" s="209"/>
    </row>
    <row r="474" spans="1:14" ht="16.2" hidden="1" customHeight="1" x14ac:dyDescent="0.4">
      <c r="A474" s="30" t="str">
        <f t="shared" si="10"/>
        <v>lt002_instrumentrsk_mtgtd_cct</v>
      </c>
      <c r="B474" s="142" t="s">
        <v>26</v>
      </c>
      <c r="C474" s="138" t="s">
        <v>26</v>
      </c>
      <c r="D474" s="134" t="s">
        <v>40</v>
      </c>
      <c r="E474" s="137" t="s">
        <v>380</v>
      </c>
      <c r="F474" s="137" t="s">
        <v>381</v>
      </c>
      <c r="G474" s="136" t="str">
        <f>VLOOKUP(A474,Plano_V3!$A$26:$G$592,7,0)</f>
        <v>2.1 Em Teste</v>
      </c>
      <c r="H474" s="136" t="s">
        <v>1927</v>
      </c>
      <c r="I474" s="143"/>
      <c r="J474" s="153">
        <f>IF(VLOOKUP(A474,'Aux - pivots1'!$A:$E,3,0)=0, "",VLOOKUP(A474,'Aux - pivots1'!$A:$E,3,0))</f>
        <v>45595</v>
      </c>
      <c r="K474" s="153">
        <f>IF(VLOOKUP(A474,'Aux - pivots1'!$A:$E,4,0)=0, "",VLOOKUP(A474,'Aux - pivots1'!$A:$E,4,0))</f>
        <v>374329</v>
      </c>
      <c r="L474" s="153">
        <f>IF(VLOOKUP(A474,'Aux - pivots1'!$A:$E,5,0)=0, "",VLOOKUP(A474,'Aux - pivots1'!$A:$E,5,0))</f>
        <v>374329</v>
      </c>
      <c r="M474" s="209">
        <v>45595</v>
      </c>
      <c r="N474" s="209"/>
    </row>
    <row r="475" spans="1:14" ht="16.2" hidden="1" customHeight="1" x14ac:dyDescent="0.4">
      <c r="A475" s="30" t="str">
        <f t="shared" si="10"/>
        <v>lt002_instrumentrsk_mtgtd_ccp</v>
      </c>
      <c r="B475" s="142" t="s">
        <v>26</v>
      </c>
      <c r="C475" s="138" t="s">
        <v>26</v>
      </c>
      <c r="D475" s="134" t="s">
        <v>40</v>
      </c>
      <c r="E475" s="137" t="s">
        <v>380</v>
      </c>
      <c r="F475" s="137" t="s">
        <v>382</v>
      </c>
      <c r="G475" s="136" t="str">
        <f>VLOOKUP(A475,Plano_V3!$A$26:$G$592,7,0)</f>
        <v>6. Em implementação (re-especificação)</v>
      </c>
      <c r="H475" s="136" t="s">
        <v>619</v>
      </c>
      <c r="I475" s="143"/>
      <c r="J475" s="153">
        <f>IF(VLOOKUP(A475,'Aux - pivots1'!$A:$E,3,0)=0, "",VLOOKUP(A475,'Aux - pivots1'!$A:$E,3,0))</f>
        <v>45595</v>
      </c>
      <c r="K475" s="153">
        <f>IF(VLOOKUP(A475,'Aux - pivots1'!$A:$E,4,0)=0, "",VLOOKUP(A475,'Aux - pivots1'!$A:$E,4,0))</f>
        <v>374342</v>
      </c>
      <c r="L475" s="153" t="str">
        <f>IF(VLOOKUP(A475,'Aux - pivots1'!$A:$E,5,0)=0, "",VLOOKUP(A475,'Aux - pivots1'!$A:$E,5,0))</f>
        <v/>
      </c>
      <c r="M475" s="209">
        <v>45595</v>
      </c>
      <c r="N475" s="209"/>
    </row>
    <row r="476" spans="1:14" ht="16.2" hidden="1" customHeight="1" x14ac:dyDescent="0.4">
      <c r="A476" s="30" t="str">
        <f t="shared" si="10"/>
        <v>lt007_instr_activityenvrnmntl_objctv</v>
      </c>
      <c r="B476" s="142" t="s">
        <v>26</v>
      </c>
      <c r="C476" s="138" t="s">
        <v>26</v>
      </c>
      <c r="D476" s="134" t="s">
        <v>40</v>
      </c>
      <c r="E476" s="137" t="s">
        <v>1955</v>
      </c>
      <c r="F476" s="137" t="s">
        <v>383</v>
      </c>
      <c r="G476" s="136" t="str">
        <f>VLOOKUP(A476,Plano_V3!$A$26:$G$592,7,0)</f>
        <v>6. Em implementação (re-especificação)</v>
      </c>
      <c r="H476" s="136" t="s">
        <v>619</v>
      </c>
      <c r="I476" s="143"/>
      <c r="J476" s="153">
        <f>IF(VLOOKUP(A476,'Aux - pivots1'!$A:$E,3,0)=0, "",VLOOKUP(A476,'Aux - pivots1'!$A:$E,3,0))</f>
        <v>45593</v>
      </c>
      <c r="K476" s="153">
        <f>IF(VLOOKUP(A476,'Aux - pivots1'!$A:$E,4,0)=0, "",VLOOKUP(A476,'Aux - pivots1'!$A:$E,4,0))</f>
        <v>45624</v>
      </c>
      <c r="L476" s="153" t="str">
        <f>IF(VLOOKUP(A476,'Aux - pivots1'!$A:$E,5,0)=0, "",VLOOKUP(A476,'Aux - pivots1'!$A:$E,5,0))</f>
        <v/>
      </c>
      <c r="M476" s="209">
        <v>45593</v>
      </c>
      <c r="N476" s="209"/>
    </row>
    <row r="477" spans="1:14" ht="16.2" hidden="1" customHeight="1" x14ac:dyDescent="0.4">
      <c r="A477" s="30" t="str">
        <f t="shared" si="10"/>
        <v>lt007_instr_activitytyp_actvty</v>
      </c>
      <c r="B477" s="142" t="s">
        <v>26</v>
      </c>
      <c r="C477" s="138" t="s">
        <v>26</v>
      </c>
      <c r="D477" s="134" t="s">
        <v>40</v>
      </c>
      <c r="E477" s="137" t="s">
        <v>1955</v>
      </c>
      <c r="F477" s="137" t="s">
        <v>384</v>
      </c>
      <c r="G477" s="136" t="str">
        <f>VLOOKUP(A477,Plano_V3!$A$26:$G$592,7,0)</f>
        <v>6. Em implementação (re-especificação)</v>
      </c>
      <c r="H477" s="136" t="s">
        <v>619</v>
      </c>
      <c r="I477" s="143"/>
      <c r="J477" s="153">
        <f>IF(VLOOKUP(A477,'Aux - pivots1'!$A:$E,3,0)=0, "",VLOOKUP(A477,'Aux - pivots1'!$A:$E,3,0))</f>
        <v>45593</v>
      </c>
      <c r="K477" s="153">
        <f>IF(VLOOKUP(A477,'Aux - pivots1'!$A:$E,4,0)=0, "",VLOOKUP(A477,'Aux - pivots1'!$A:$E,4,0))</f>
        <v>45624</v>
      </c>
      <c r="L477" s="153" t="str">
        <f>IF(VLOOKUP(A477,'Aux - pivots1'!$A:$E,5,0)=0, "",VLOOKUP(A477,'Aux - pivots1'!$A:$E,5,0))</f>
        <v/>
      </c>
      <c r="M477" s="209">
        <v>45593</v>
      </c>
      <c r="N477" s="209"/>
    </row>
    <row r="478" spans="1:14" ht="16.2" hidden="1" customHeight="1" x14ac:dyDescent="0.4">
      <c r="A478" s="30" t="str">
        <f t="shared" si="10"/>
        <v>lt002_instrumentlns_clltrlzd_clssfctn</v>
      </c>
      <c r="B478" s="142" t="s">
        <v>26</v>
      </c>
      <c r="C478" s="138" t="s">
        <v>26</v>
      </c>
      <c r="D478" s="134" t="s">
        <v>40</v>
      </c>
      <c r="E478" s="137" t="s">
        <v>380</v>
      </c>
      <c r="F478" s="137" t="s">
        <v>385</v>
      </c>
      <c r="G478" s="136" t="str">
        <f>VLOOKUP(A478,Plano_V3!$A$26:$G$592,7,0)</f>
        <v>1. Concluído</v>
      </c>
      <c r="H478" s="136" t="s">
        <v>614</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9"/>
      <c r="N478" s="209"/>
    </row>
    <row r="479" spans="1:14" ht="16.2" hidden="1" x14ac:dyDescent="0.4">
      <c r="A479" s="30" t="str">
        <f t="shared" si="10"/>
        <v>lt002_instrumentmthd_usd_instrmnt_scp_1</v>
      </c>
      <c r="B479" s="142" t="s">
        <v>26</v>
      </c>
      <c r="C479" s="138" t="s">
        <v>26</v>
      </c>
      <c r="D479" s="134" t="s">
        <v>40</v>
      </c>
      <c r="E479" s="137" t="s">
        <v>380</v>
      </c>
      <c r="F479" s="137" t="s">
        <v>386</v>
      </c>
      <c r="G479" s="136" t="str">
        <f>VLOOKUP(A479,Plano_V3!$A$26:$G$592,7,0)</f>
        <v>6. Em implementação (re-especificação)</v>
      </c>
      <c r="H479" s="136" t="s">
        <v>1927</v>
      </c>
      <c r="I479" s="143"/>
      <c r="J479" s="153" t="str">
        <f>IF(VLOOKUP(A479,'Aux - pivots1'!$A:$E,3,0)=0, "",VLOOKUP(A479,'Aux - pivots1'!$A:$E,3,0))</f>
        <v/>
      </c>
      <c r="K479" s="153" t="str">
        <f>IF(VLOOKUP(A479,'Aux - pivots1'!$A:$E,4,0)=0, "",VLOOKUP(A479,'Aux - pivots1'!$A:$E,4,0))</f>
        <v/>
      </c>
      <c r="L479" s="153" t="str">
        <f>IF(VLOOKUP(A479,'Aux - pivots1'!$A:$E,5,0)=0, "",VLOOKUP(A479,'Aux - pivots1'!$A:$E,5,0))</f>
        <v/>
      </c>
      <c r="M479" s="209">
        <v>45593</v>
      </c>
      <c r="N479" s="209"/>
    </row>
    <row r="480" spans="1:14" ht="16.2" hidden="1" x14ac:dyDescent="0.4">
      <c r="A480" s="30" t="str">
        <f t="shared" si="10"/>
        <v>lt002_instrumentmthd_usd_instrmnt_scp_2</v>
      </c>
      <c r="B480" s="142" t="s">
        <v>26</v>
      </c>
      <c r="C480" s="138" t="s">
        <v>26</v>
      </c>
      <c r="D480" s="134" t="s">
        <v>40</v>
      </c>
      <c r="E480" s="137" t="s">
        <v>380</v>
      </c>
      <c r="F480" s="137" t="s">
        <v>387</v>
      </c>
      <c r="G480" s="136" t="str">
        <f>VLOOKUP(A480,Plano_V3!$A$26:$G$592,7,0)</f>
        <v>6. Em implementação (re-especificação)</v>
      </c>
      <c r="H480" s="136" t="s">
        <v>1927</v>
      </c>
      <c r="I480" s="143"/>
      <c r="J480" s="153" t="str">
        <f>IF(VLOOKUP(A480,'Aux - pivots1'!$A:$E,3,0)=0, "",VLOOKUP(A480,'Aux - pivots1'!$A:$E,3,0))</f>
        <v/>
      </c>
      <c r="K480" s="153" t="str">
        <f>IF(VLOOKUP(A480,'Aux - pivots1'!$A:$E,4,0)=0, "",VLOOKUP(A480,'Aux - pivots1'!$A:$E,4,0))</f>
        <v/>
      </c>
      <c r="L480" s="153" t="str">
        <f>IF(VLOOKUP(A480,'Aux - pivots1'!$A:$E,5,0)=0, "",VLOOKUP(A480,'Aux - pivots1'!$A:$E,5,0))</f>
        <v/>
      </c>
      <c r="M480" s="209">
        <v>45593</v>
      </c>
      <c r="N480" s="209"/>
    </row>
    <row r="481" spans="1:14" ht="16.2" hidden="1" x14ac:dyDescent="0.4">
      <c r="A481" s="30" t="str">
        <f t="shared" si="10"/>
        <v>lt002_instrumentmthd_usd_instrmnt_scp_3</v>
      </c>
      <c r="B481" s="142" t="s">
        <v>26</v>
      </c>
      <c r="C481" s="138" t="s">
        <v>26</v>
      </c>
      <c r="D481" s="134" t="s">
        <v>40</v>
      </c>
      <c r="E481" s="137" t="s">
        <v>380</v>
      </c>
      <c r="F481" s="137" t="s">
        <v>388</v>
      </c>
      <c r="G481" s="136" t="str">
        <f>VLOOKUP(A481,Plano_V3!$A$26:$G$592,7,0)</f>
        <v>6. Em implementação (re-especificação)</v>
      </c>
      <c r="H481" s="136" t="s">
        <v>1927</v>
      </c>
      <c r="I481" s="143"/>
      <c r="J481" s="153" t="str">
        <f>IF(VLOOKUP(A481,'Aux - pivots1'!$A:$E,3,0)=0, "",VLOOKUP(A481,'Aux - pivots1'!$A:$E,3,0))</f>
        <v/>
      </c>
      <c r="K481" s="153" t="str">
        <f>IF(VLOOKUP(A481,'Aux - pivots1'!$A:$E,4,0)=0, "",VLOOKUP(A481,'Aux - pivots1'!$A:$E,4,0))</f>
        <v/>
      </c>
      <c r="L481" s="153" t="str">
        <f>IF(VLOOKUP(A481,'Aux - pivots1'!$A:$E,5,0)=0, "",VLOOKUP(A481,'Aux - pivots1'!$A:$E,5,0))</f>
        <v/>
      </c>
      <c r="M481" s="209">
        <v>45593</v>
      </c>
      <c r="N481" s="209"/>
    </row>
    <row r="482" spans="1:14" ht="16.2" hidden="1" customHeight="1" x14ac:dyDescent="0.4">
      <c r="A482" s="30" t="str">
        <f t="shared" si="10"/>
        <v>lt002_instrumentsstnbl_ctgry_txnmy</v>
      </c>
      <c r="B482" s="142" t="s">
        <v>26</v>
      </c>
      <c r="C482" s="138" t="s">
        <v>26</v>
      </c>
      <c r="D482" s="134" t="s">
        <v>40</v>
      </c>
      <c r="E482" s="137" t="s">
        <v>380</v>
      </c>
      <c r="F482" s="137" t="s">
        <v>389</v>
      </c>
      <c r="G482" s="136" t="str">
        <f>VLOOKUP(A482,Plano_V3!$A$26:$G$592,7,0)</f>
        <v>2.1 Em Teste</v>
      </c>
      <c r="H482" s="136" t="s">
        <v>1927</v>
      </c>
      <c r="I482" s="143" t="s">
        <v>1934</v>
      </c>
      <c r="J482" s="153">
        <f>IF(VLOOKUP(A482,'Aux - pivots1'!$A:$E,3,0)=0, "",VLOOKUP(A482,'Aux - pivots1'!$A:$E,3,0))</f>
        <v>45593</v>
      </c>
      <c r="K482" s="153">
        <f>IF(VLOOKUP(A482,'Aux - pivots1'!$A:$E,4,0)=0, "",VLOOKUP(A482,'Aux - pivots1'!$A:$E,4,0))</f>
        <v>45611</v>
      </c>
      <c r="L482" s="153">
        <f>IF(VLOOKUP(A482,'Aux - pivots1'!$A:$E,5,0)=0, "",VLOOKUP(A482,'Aux - pivots1'!$A:$E,5,0))</f>
        <v>374329</v>
      </c>
      <c r="M482" s="209">
        <v>45593</v>
      </c>
      <c r="N482" s="209"/>
    </row>
    <row r="483" spans="1:14" ht="16.2" hidden="1" customHeight="1" x14ac:dyDescent="0.4">
      <c r="A483" s="30" t="str">
        <f t="shared" si="10"/>
        <v>lt827_mthd_usd_instrmntambito</v>
      </c>
      <c r="B483" s="142" t="s">
        <v>26</v>
      </c>
      <c r="C483" s="138" t="s">
        <v>26</v>
      </c>
      <c r="D483" s="134" t="s">
        <v>40</v>
      </c>
      <c r="E483" s="137" t="s">
        <v>1956</v>
      </c>
      <c r="F483" s="137" t="s">
        <v>391</v>
      </c>
      <c r="G483" s="136" t="str">
        <f>VLOOKUP(A483,Plano_V3!$A$26:$G$592,7,0)</f>
        <v>1. Concluído</v>
      </c>
      <c r="H483" s="136" t="s">
        <v>1927</v>
      </c>
      <c r="I483" s="143"/>
      <c r="J483" s="153">
        <f>IF(VLOOKUP(A483,'Aux - pivots1'!$A:$E,3,0)=0, "",VLOOKUP(A483,'Aux - pivots1'!$A:$E,3,0))</f>
        <v>45593</v>
      </c>
      <c r="K483" s="153">
        <f>IF(VLOOKUP(A483,'Aux - pivots1'!$A:$E,4,0)=0, "",VLOOKUP(A483,'Aux - pivots1'!$A:$E,4,0))</f>
        <v>45611</v>
      </c>
      <c r="L483" s="153">
        <f>IF(VLOOKUP(A483,'Aux - pivots1'!$A:$E,5,0)=0, "",VLOOKUP(A483,'Aux - pivots1'!$A:$E,5,0))</f>
        <v>45611</v>
      </c>
      <c r="M483" s="209">
        <v>45593</v>
      </c>
      <c r="N483" s="209"/>
    </row>
    <row r="484" spans="1:14" ht="16.2" hidden="1" customHeight="1" x14ac:dyDescent="0.4">
      <c r="A484" s="30" t="str">
        <f t="shared" si="10"/>
        <v>lt827_mthd_usd_instrmntref_date</v>
      </c>
      <c r="B484" s="142" t="s">
        <v>26</v>
      </c>
      <c r="C484" s="138" t="s">
        <v>26</v>
      </c>
      <c r="D484" s="134" t="s">
        <v>40</v>
      </c>
      <c r="E484" s="137" t="s">
        <v>1956</v>
      </c>
      <c r="F484" s="137" t="s">
        <v>208</v>
      </c>
      <c r="G484" s="136" t="str">
        <f>VLOOKUP(A484,Plano_V3!$A$26:$G$592,7,0)</f>
        <v>1. Concluído</v>
      </c>
      <c r="H484" s="136" t="s">
        <v>1927</v>
      </c>
      <c r="I484" s="143"/>
      <c r="J484" s="153">
        <f>IF(VLOOKUP(A484,'Aux - pivots1'!$A:$E,3,0)=0, "",VLOOKUP(A484,'Aux - pivots1'!$A:$E,3,0))</f>
        <v>45593</v>
      </c>
      <c r="K484" s="153">
        <f>IF(VLOOKUP(A484,'Aux - pivots1'!$A:$E,4,0)=0, "",VLOOKUP(A484,'Aux - pivots1'!$A:$E,4,0))</f>
        <v>45611</v>
      </c>
      <c r="L484" s="153">
        <f>IF(VLOOKUP(A484,'Aux - pivots1'!$A:$E,5,0)=0, "",VLOOKUP(A484,'Aux - pivots1'!$A:$E,5,0))</f>
        <v>45611</v>
      </c>
      <c r="M484" s="209">
        <v>45593</v>
      </c>
      <c r="N484" s="209"/>
    </row>
    <row r="485" spans="1:14" ht="16.2" hidden="1" customHeight="1" x14ac:dyDescent="0.4">
      <c r="A485" s="30" t="str">
        <f t="shared" si="10"/>
        <v>lt827_mthd_usd_instrmntordem</v>
      </c>
      <c r="B485" s="142" t="s">
        <v>26</v>
      </c>
      <c r="C485" s="138" t="s">
        <v>26</v>
      </c>
      <c r="D485" s="134" t="s">
        <v>40</v>
      </c>
      <c r="E485" s="137" t="s">
        <v>1956</v>
      </c>
      <c r="F485" s="137" t="s">
        <v>211</v>
      </c>
      <c r="G485" s="136" t="str">
        <f>VLOOKUP(A485,Plano_V3!$A$26:$G$592,7,0)</f>
        <v>1. Concluído</v>
      </c>
      <c r="H485" s="136" t="s">
        <v>1927</v>
      </c>
      <c r="I485" s="143"/>
      <c r="J485" s="153">
        <f>IF(VLOOKUP(A485,'Aux - pivots1'!$A:$E,3,0)=0, "",VLOOKUP(A485,'Aux - pivots1'!$A:$E,3,0))</f>
        <v>45593</v>
      </c>
      <c r="K485" s="153">
        <f>IF(VLOOKUP(A485,'Aux - pivots1'!$A:$E,4,0)=0, "",VLOOKUP(A485,'Aux - pivots1'!$A:$E,4,0))</f>
        <v>45611</v>
      </c>
      <c r="L485" s="153">
        <f>IF(VLOOKUP(A485,'Aux - pivots1'!$A:$E,5,0)=0, "",VLOOKUP(A485,'Aux - pivots1'!$A:$E,5,0))</f>
        <v>45611</v>
      </c>
      <c r="M485" s="209">
        <v>45593</v>
      </c>
      <c r="N485" s="209"/>
    </row>
    <row r="486" spans="1:14" ht="16.2" hidden="1" customHeight="1" x14ac:dyDescent="0.4">
      <c r="A486" s="30" t="str">
        <f t="shared" si="10"/>
        <v>lt827_mthd_usd_instrmnttabela</v>
      </c>
      <c r="B486" s="142" t="s">
        <v>26</v>
      </c>
      <c r="C486" s="138" t="s">
        <v>26</v>
      </c>
      <c r="D486" s="134" t="s">
        <v>40</v>
      </c>
      <c r="E486" s="137" t="s">
        <v>1956</v>
      </c>
      <c r="F486" s="137" t="s">
        <v>392</v>
      </c>
      <c r="G486" s="136" t="str">
        <f>VLOOKUP(A486,Plano_V3!$A$26:$G$592,7,0)</f>
        <v>1. Concluído</v>
      </c>
      <c r="H486" s="136" t="s">
        <v>1927</v>
      </c>
      <c r="I486" s="143"/>
      <c r="J486" s="153">
        <f>IF(VLOOKUP(A486,'Aux - pivots1'!$A:$E,3,0)=0, "",VLOOKUP(A486,'Aux - pivots1'!$A:$E,3,0))</f>
        <v>45593</v>
      </c>
      <c r="K486" s="153">
        <f>IF(VLOOKUP(A486,'Aux - pivots1'!$A:$E,4,0)=0, "",VLOOKUP(A486,'Aux - pivots1'!$A:$E,4,0))</f>
        <v>45611</v>
      </c>
      <c r="L486" s="153">
        <f>IF(VLOOKUP(A486,'Aux - pivots1'!$A:$E,5,0)=0, "",VLOOKUP(A486,'Aux - pivots1'!$A:$E,5,0))</f>
        <v>45611</v>
      </c>
      <c r="M486" s="209">
        <v>45593</v>
      </c>
      <c r="N486" s="209"/>
    </row>
    <row r="487" spans="1:14" ht="16.2" hidden="1" x14ac:dyDescent="0.4">
      <c r="A487" s="30" t="str">
        <f t="shared" si="10"/>
        <v>lt827_mthd_usd_instrmntorigem_scp1_emss</v>
      </c>
      <c r="B487" s="142" t="s">
        <v>26</v>
      </c>
      <c r="C487" s="138" t="s">
        <v>26</v>
      </c>
      <c r="D487" s="134" t="s">
        <v>40</v>
      </c>
      <c r="E487" s="137" t="s">
        <v>1956</v>
      </c>
      <c r="F487" s="137" t="s">
        <v>320</v>
      </c>
      <c r="G487" s="136" t="str">
        <f>VLOOKUP(A487,Plano_V3!$A$26:$G$592,7,0)</f>
        <v>1. Concluído</v>
      </c>
      <c r="H487" s="136" t="s">
        <v>1927</v>
      </c>
      <c r="I487" s="143"/>
      <c r="J487" s="153">
        <f>IF(VLOOKUP(A487,'Aux - pivots1'!$A:$E,3,0)=0, "",VLOOKUP(A487,'Aux - pivots1'!$A:$E,3,0))</f>
        <v>45593</v>
      </c>
      <c r="K487" s="153">
        <f>IF(VLOOKUP(A487,'Aux - pivots1'!$A:$E,4,0)=0, "",VLOOKUP(A487,'Aux - pivots1'!$A:$E,4,0))</f>
        <v>45611</v>
      </c>
      <c r="L487" s="153">
        <f>IF(VLOOKUP(A487,'Aux - pivots1'!$A:$E,5,0)=0, "",VLOOKUP(A487,'Aux - pivots1'!$A:$E,5,0))</f>
        <v>45611</v>
      </c>
      <c r="M487" s="209">
        <v>45593</v>
      </c>
      <c r="N487" s="209"/>
    </row>
    <row r="488" spans="1:14" ht="16.2" hidden="1" x14ac:dyDescent="0.4">
      <c r="A488" s="30" t="str">
        <f t="shared" si="10"/>
        <v>lt827_mthd_usd_instrmntorigem_scp2_emss</v>
      </c>
      <c r="B488" s="142" t="s">
        <v>26</v>
      </c>
      <c r="C488" s="138" t="s">
        <v>26</v>
      </c>
      <c r="D488" s="134" t="s">
        <v>40</v>
      </c>
      <c r="E488" s="137" t="s">
        <v>1956</v>
      </c>
      <c r="F488" s="137" t="s">
        <v>321</v>
      </c>
      <c r="G488" s="136" t="str">
        <f>VLOOKUP(A488,Plano_V3!$A$26:$G$592,7,0)</f>
        <v>1. Concluído</v>
      </c>
      <c r="H488" s="136" t="s">
        <v>1927</v>
      </c>
      <c r="I488" s="143"/>
      <c r="J488" s="153">
        <f>IF(VLOOKUP(A488,'Aux - pivots1'!$A:$E,3,0)=0, "",VLOOKUP(A488,'Aux - pivots1'!$A:$E,3,0))</f>
        <v>45593</v>
      </c>
      <c r="K488" s="153">
        <f>IF(VLOOKUP(A488,'Aux - pivots1'!$A:$E,4,0)=0, "",VLOOKUP(A488,'Aux - pivots1'!$A:$E,4,0))</f>
        <v>45611</v>
      </c>
      <c r="L488" s="153">
        <f>IF(VLOOKUP(A488,'Aux - pivots1'!$A:$E,5,0)=0, "",VLOOKUP(A488,'Aux - pivots1'!$A:$E,5,0))</f>
        <v>45611</v>
      </c>
      <c r="M488" s="209">
        <v>45593</v>
      </c>
      <c r="N488" s="209"/>
    </row>
    <row r="489" spans="1:14" ht="16.2" hidden="1" x14ac:dyDescent="0.4">
      <c r="A489" s="30" t="str">
        <f t="shared" si="10"/>
        <v>lt827_mthd_usd_instrmntorigem_scp3_emss</v>
      </c>
      <c r="B489" s="142" t="s">
        <v>26</v>
      </c>
      <c r="C489" s="138" t="s">
        <v>26</v>
      </c>
      <c r="D489" s="134" t="s">
        <v>40</v>
      </c>
      <c r="E489" s="137" t="s">
        <v>1956</v>
      </c>
      <c r="F489" s="137" t="s">
        <v>322</v>
      </c>
      <c r="G489" s="136" t="str">
        <f>VLOOKUP(A489,Plano_V3!$A$26:$G$592,7,0)</f>
        <v>1. Concluído</v>
      </c>
      <c r="H489" s="136" t="s">
        <v>1927</v>
      </c>
      <c r="I489" s="143"/>
      <c r="J489" s="153">
        <f>IF(VLOOKUP(A489,'Aux - pivots1'!$A:$E,3,0)=0, "",VLOOKUP(A489,'Aux - pivots1'!$A:$E,3,0))</f>
        <v>45593</v>
      </c>
      <c r="K489" s="153">
        <f>IF(VLOOKUP(A489,'Aux - pivots1'!$A:$E,4,0)=0, "",VLOOKUP(A489,'Aux - pivots1'!$A:$E,4,0))</f>
        <v>45611</v>
      </c>
      <c r="L489" s="153">
        <f>IF(VLOOKUP(A489,'Aux - pivots1'!$A:$E,5,0)=0, "",VLOOKUP(A489,'Aux - pivots1'!$A:$E,5,0))</f>
        <v>45611</v>
      </c>
      <c r="M489" s="209">
        <v>45593</v>
      </c>
      <c r="N489" s="209"/>
    </row>
    <row r="490" spans="1:14" ht="16.2" hidden="1" x14ac:dyDescent="0.4">
      <c r="A490" s="30" t="str">
        <f t="shared" si="10"/>
        <v>lt827_mthd_usd_instrmntmthd_usd_instrmnt_scp_1</v>
      </c>
      <c r="B490" s="142" t="s">
        <v>26</v>
      </c>
      <c r="C490" s="138" t="s">
        <v>26</v>
      </c>
      <c r="D490" s="134" t="s">
        <v>40</v>
      </c>
      <c r="E490" s="137" t="s">
        <v>1956</v>
      </c>
      <c r="F490" s="137" t="s">
        <v>386</v>
      </c>
      <c r="G490" s="136" t="str">
        <f>VLOOKUP(A490,Plano_V3!$A$26:$G$592,7,0)</f>
        <v>1. Concluído</v>
      </c>
      <c r="H490" s="136" t="s">
        <v>1927</v>
      </c>
      <c r="I490" s="143"/>
      <c r="J490" s="153">
        <f>IF(VLOOKUP(A490,'Aux - pivots1'!$A:$E,3,0)=0, "",VLOOKUP(A490,'Aux - pivots1'!$A:$E,3,0))</f>
        <v>45593</v>
      </c>
      <c r="K490" s="153">
        <f>IF(VLOOKUP(A490,'Aux - pivots1'!$A:$E,4,0)=0, "",VLOOKUP(A490,'Aux - pivots1'!$A:$E,4,0))</f>
        <v>45611</v>
      </c>
      <c r="L490" s="153">
        <f>IF(VLOOKUP(A490,'Aux - pivots1'!$A:$E,5,0)=0, "",VLOOKUP(A490,'Aux - pivots1'!$A:$E,5,0))</f>
        <v>45611</v>
      </c>
      <c r="M490" s="209">
        <v>45593</v>
      </c>
      <c r="N490" s="209"/>
    </row>
    <row r="491" spans="1:14" ht="16.2" hidden="1" x14ac:dyDescent="0.4">
      <c r="A491" s="30" t="str">
        <f t="shared" si="10"/>
        <v>lt827_mthd_usd_instrmntmthd_usd_instrmnt_scp_2</v>
      </c>
      <c r="B491" s="142" t="s">
        <v>26</v>
      </c>
      <c r="C491" s="138" t="s">
        <v>26</v>
      </c>
      <c r="D491" s="134" t="s">
        <v>40</v>
      </c>
      <c r="E491" s="137" t="s">
        <v>1956</v>
      </c>
      <c r="F491" s="137" t="s">
        <v>387</v>
      </c>
      <c r="G491" s="136" t="str">
        <f>VLOOKUP(A491,Plano_V3!$A$26:$G$592,7,0)</f>
        <v>1. Concluído</v>
      </c>
      <c r="H491" s="136" t="s">
        <v>1927</v>
      </c>
      <c r="I491" s="143"/>
      <c r="J491" s="153">
        <f>IF(VLOOKUP(A491,'Aux - pivots1'!$A:$E,3,0)=0, "",VLOOKUP(A491,'Aux - pivots1'!$A:$E,3,0))</f>
        <v>45593</v>
      </c>
      <c r="K491" s="153">
        <f>IF(VLOOKUP(A491,'Aux - pivots1'!$A:$E,4,0)=0, "",VLOOKUP(A491,'Aux - pivots1'!$A:$E,4,0))</f>
        <v>45611</v>
      </c>
      <c r="L491" s="153">
        <f>IF(VLOOKUP(A491,'Aux - pivots1'!$A:$E,5,0)=0, "",VLOOKUP(A491,'Aux - pivots1'!$A:$E,5,0))</f>
        <v>45611</v>
      </c>
      <c r="M491" s="209">
        <v>45593</v>
      </c>
      <c r="N491" s="209"/>
    </row>
    <row r="492" spans="1:14" ht="16.2" hidden="1" x14ac:dyDescent="0.4">
      <c r="A492" s="30" t="str">
        <f t="shared" si="10"/>
        <v>lt827_mthd_usd_instrmntmthd_usd_instrmnt_scp_3</v>
      </c>
      <c r="B492" s="142" t="s">
        <v>26</v>
      </c>
      <c r="C492" s="138" t="s">
        <v>26</v>
      </c>
      <c r="D492" s="134" t="s">
        <v>40</v>
      </c>
      <c r="E492" s="137" t="s">
        <v>1956</v>
      </c>
      <c r="F492" s="137" t="s">
        <v>388</v>
      </c>
      <c r="G492" s="136" t="str">
        <f>VLOOKUP(A492,Plano_V3!$A$26:$G$592,7,0)</f>
        <v>1. Concluído</v>
      </c>
      <c r="H492" s="136" t="s">
        <v>1927</v>
      </c>
      <c r="I492" s="143"/>
      <c r="J492" s="153">
        <f>IF(VLOOKUP(A492,'Aux - pivots1'!$A:$E,3,0)=0, "",VLOOKUP(A492,'Aux - pivots1'!$A:$E,3,0))</f>
        <v>45593</v>
      </c>
      <c r="K492" s="153">
        <f>IF(VLOOKUP(A492,'Aux - pivots1'!$A:$E,4,0)=0, "",VLOOKUP(A492,'Aux - pivots1'!$A:$E,4,0))</f>
        <v>45611</v>
      </c>
      <c r="L492" s="153">
        <f>IF(VLOOKUP(A492,'Aux - pivots1'!$A:$E,5,0)=0, "",VLOOKUP(A492,'Aux - pivots1'!$A:$E,5,0))</f>
        <v>45611</v>
      </c>
      <c r="M492" s="209">
        <v>45593</v>
      </c>
      <c r="N492" s="209"/>
    </row>
    <row r="493" spans="1:14" ht="16.2" hidden="1" x14ac:dyDescent="0.4">
      <c r="A493" s="30" t="str">
        <f t="shared" si="10"/>
        <v>lt827_mthd_usd_instrmntpurpose_code</v>
      </c>
      <c r="B493" s="142" t="s">
        <v>26</v>
      </c>
      <c r="C493" s="138" t="s">
        <v>26</v>
      </c>
      <c r="D493" s="134" t="s">
        <v>40</v>
      </c>
      <c r="E493" s="137" t="s">
        <v>1956</v>
      </c>
      <c r="F493" s="137" t="s">
        <v>1940</v>
      </c>
      <c r="G493" s="136" t="str">
        <f>VLOOKUP(A493,Plano_V3!$A$26:$G$592,7,0)</f>
        <v>1. Concluído</v>
      </c>
      <c r="H493" s="136" t="s">
        <v>1927</v>
      </c>
      <c r="I493" s="143"/>
      <c r="J493" s="153" t="str">
        <f>IF(VLOOKUP(A493,'Aux - pivots1'!$A:$E,3,0)=0, "",VLOOKUP(A493,'Aux - pivots1'!$A:$E,3,0))</f>
        <v/>
      </c>
      <c r="K493" s="153">
        <f>IF(VLOOKUP(A493,'Aux - pivots1'!$A:$E,4,0)=0, "",VLOOKUP(A493,'Aux - pivots1'!$A:$E,4,0))</f>
        <v>45611</v>
      </c>
      <c r="L493" s="153">
        <f>IF(VLOOKUP(A493,'Aux - pivots1'!$A:$E,5,0)=0, "",VLOOKUP(A493,'Aux - pivots1'!$A:$E,5,0))</f>
        <v>45611</v>
      </c>
      <c r="M493" s="209"/>
      <c r="N493" s="209"/>
    </row>
    <row r="494" spans="1:14" ht="16.2" hidden="1" x14ac:dyDescent="0.4">
      <c r="A494" s="30" t="str">
        <f t="shared" si="10"/>
        <v>lt827_mthd_usd_instrmntflg_fin</v>
      </c>
      <c r="B494" s="142" t="s">
        <v>26</v>
      </c>
      <c r="C494" s="138" t="s">
        <v>26</v>
      </c>
      <c r="D494" s="134" t="s">
        <v>40</v>
      </c>
      <c r="E494" s="137" t="s">
        <v>1956</v>
      </c>
      <c r="F494" s="137" t="s">
        <v>481</v>
      </c>
      <c r="G494" s="136" t="str">
        <f>VLOOKUP(A494,Plano_V3!$A$26:$G$592,7,0)</f>
        <v>1. Concluído</v>
      </c>
      <c r="H494" s="136" t="s">
        <v>1927</v>
      </c>
      <c r="I494" s="143"/>
      <c r="J494" s="153" t="str">
        <f>IF(VLOOKUP(A494,'Aux - pivots1'!$A:$E,3,0)=0, "",VLOOKUP(A494,'Aux - pivots1'!$A:$E,3,0))</f>
        <v/>
      </c>
      <c r="K494" s="153">
        <f>IF(VLOOKUP(A494,'Aux - pivots1'!$A:$E,4,0)=0, "",VLOOKUP(A494,'Aux - pivots1'!$A:$E,4,0))</f>
        <v>45611</v>
      </c>
      <c r="L494" s="153">
        <f>IF(VLOOKUP(A494,'Aux - pivots1'!$A:$E,5,0)=0, "",VLOOKUP(A494,'Aux - pivots1'!$A:$E,5,0))</f>
        <v>45611</v>
      </c>
      <c r="M494" s="209"/>
      <c r="N494" s="209"/>
    </row>
    <row r="495" spans="1:14" ht="16.2" hidden="1" x14ac:dyDescent="0.4">
      <c r="A495" s="30" t="str">
        <f t="shared" si="10"/>
        <v>lt827_mthd_usd_instrmntflg_exec</v>
      </c>
      <c r="B495" s="142" t="s">
        <v>26</v>
      </c>
      <c r="C495" s="138" t="s">
        <v>26</v>
      </c>
      <c r="D495" s="134" t="s">
        <v>40</v>
      </c>
      <c r="E495" s="137" t="s">
        <v>1956</v>
      </c>
      <c r="F495" s="137" t="s">
        <v>1361</v>
      </c>
      <c r="G495" s="136" t="str">
        <f>VLOOKUP(A495,Plano_V3!$A$26:$G$592,7,0)</f>
        <v>1. Concluído</v>
      </c>
      <c r="H495" s="136" t="s">
        <v>1927</v>
      </c>
      <c r="I495" s="143"/>
      <c r="J495" s="153" t="str">
        <f>IF(VLOOKUP(A495,'Aux - pivots1'!$A:$E,3,0)=0, "",VLOOKUP(A495,'Aux - pivots1'!$A:$E,3,0))</f>
        <v/>
      </c>
      <c r="K495" s="153">
        <f>IF(VLOOKUP(A495,'Aux - pivots1'!$A:$E,4,0)=0, "",VLOOKUP(A495,'Aux - pivots1'!$A:$E,4,0))</f>
        <v>45611</v>
      </c>
      <c r="L495" s="153">
        <f>IF(VLOOKUP(A495,'Aux - pivots1'!$A:$E,5,0)=0, "",VLOOKUP(A495,'Aux - pivots1'!$A:$E,5,0))</f>
        <v>45611</v>
      </c>
      <c r="M495" s="209"/>
      <c r="N495" s="209"/>
    </row>
    <row r="496" spans="1:14" ht="16.2" hidden="1" x14ac:dyDescent="0.4">
      <c r="A496" s="30" t="str">
        <f t="shared" si="10"/>
        <v>lt827_mthd_usd_instrmntflg_col</v>
      </c>
      <c r="B496" s="142" t="s">
        <v>26</v>
      </c>
      <c r="C496" s="138" t="s">
        <v>26</v>
      </c>
      <c r="D496" s="134" t="s">
        <v>40</v>
      </c>
      <c r="E496" s="137" t="s">
        <v>1956</v>
      </c>
      <c r="F496" s="137" t="s">
        <v>480</v>
      </c>
      <c r="G496" s="136" t="str">
        <f>VLOOKUP(A496,Plano_V3!$A$26:$G$592,7,0)</f>
        <v>1. Concluído</v>
      </c>
      <c r="H496" s="136" t="s">
        <v>1927</v>
      </c>
      <c r="I496" s="143"/>
      <c r="J496" s="153" t="str">
        <f>IF(VLOOKUP(A496,'Aux - pivots1'!$A:$E,3,0)=0, "",VLOOKUP(A496,'Aux - pivots1'!$A:$E,3,0))</f>
        <v/>
      </c>
      <c r="K496" s="153">
        <f>IF(VLOOKUP(A496,'Aux - pivots1'!$A:$E,4,0)=0, "",VLOOKUP(A496,'Aux - pivots1'!$A:$E,4,0))</f>
        <v>45611</v>
      </c>
      <c r="L496" s="153">
        <f>IF(VLOOKUP(A496,'Aux - pivots1'!$A:$E,5,0)=0, "",VLOOKUP(A496,'Aux - pivots1'!$A:$E,5,0))</f>
        <v>45611</v>
      </c>
      <c r="M496" s="209"/>
      <c r="N496" s="209"/>
    </row>
    <row r="497" spans="1:14" ht="16.2" hidden="1" x14ac:dyDescent="0.4">
      <c r="A497" s="30" t="str">
        <f t="shared" si="10"/>
        <v>lt827_mthd_usd_instrmntflg_pro</v>
      </c>
      <c r="B497" s="142" t="s">
        <v>26</v>
      </c>
      <c r="C497" s="138" t="s">
        <v>26</v>
      </c>
      <c r="D497" s="134" t="s">
        <v>40</v>
      </c>
      <c r="E497" s="137" t="s">
        <v>1956</v>
      </c>
      <c r="F497" s="137" t="s">
        <v>482</v>
      </c>
      <c r="G497" s="136" t="str">
        <f>VLOOKUP(A497,Plano_V3!$A$26:$G$592,7,0)</f>
        <v>1. Concluído</v>
      </c>
      <c r="H497" s="136" t="s">
        <v>1927</v>
      </c>
      <c r="I497" s="143"/>
      <c r="J497" s="153" t="str">
        <f>IF(VLOOKUP(A497,'Aux - pivots1'!$A:$E,3,0)=0, "",VLOOKUP(A497,'Aux - pivots1'!$A:$E,3,0))</f>
        <v/>
      </c>
      <c r="K497" s="153">
        <f>IF(VLOOKUP(A497,'Aux - pivots1'!$A:$E,4,0)=0, "",VLOOKUP(A497,'Aux - pivots1'!$A:$E,4,0))</f>
        <v>45611</v>
      </c>
      <c r="L497" s="153">
        <f>IF(VLOOKUP(A497,'Aux - pivots1'!$A:$E,5,0)=0, "",VLOOKUP(A497,'Aux - pivots1'!$A:$E,5,0))</f>
        <v>45611</v>
      </c>
      <c r="M497" s="209"/>
      <c r="N497" s="209"/>
    </row>
    <row r="498" spans="1:14" ht="16.2" hidden="1" customHeight="1" x14ac:dyDescent="0.4">
      <c r="A498" s="30" t="str">
        <f t="shared" si="10"/>
        <v>lt826_esg_sbsctrambito</v>
      </c>
      <c r="B498" s="142" t="s">
        <v>26</v>
      </c>
      <c r="C498" s="138" t="s">
        <v>26</v>
      </c>
      <c r="D498" s="134" t="s">
        <v>40</v>
      </c>
      <c r="E498" s="137" t="s">
        <v>393</v>
      </c>
      <c r="F498" s="137" t="s">
        <v>391</v>
      </c>
      <c r="G498" s="136" t="str">
        <f>VLOOKUP(A498,Plano_V3!$A$26:$G$592,7,0)</f>
        <v>1. Concluído</v>
      </c>
      <c r="H498" s="136" t="s">
        <v>614</v>
      </c>
      <c r="I498" s="143"/>
      <c r="J498" s="153" t="str">
        <f>IF(VLOOKUP(A498,'Aux - pivots1'!$A:$E,3,0)=0, "",VLOOKUP(A498,'Aux - pivots1'!$A:$E,3,0))</f>
        <v/>
      </c>
      <c r="K498" s="153" t="str">
        <f>IF(VLOOKUP(A498,'Aux - pivots1'!$A:$E,4,0)=0, "",VLOOKUP(A498,'Aux - pivots1'!$A:$E,4,0))</f>
        <v/>
      </c>
      <c r="L498" s="153" t="str">
        <f>IF(VLOOKUP(A498,'Aux - pivots1'!$A:$E,5,0)=0, "",VLOOKUP(A498,'Aux - pivots1'!$A:$E,5,0))</f>
        <v/>
      </c>
      <c r="M498" s="209"/>
      <c r="N498" s="209"/>
    </row>
    <row r="499" spans="1:14" ht="16.2" hidden="1" customHeight="1" x14ac:dyDescent="0.4">
      <c r="A499" s="30" t="str">
        <f t="shared" si="10"/>
        <v>lt826_esg_sbsctrref_date</v>
      </c>
      <c r="B499" s="142" t="s">
        <v>26</v>
      </c>
      <c r="C499" s="138" t="s">
        <v>26</v>
      </c>
      <c r="D499" s="134" t="s">
        <v>40</v>
      </c>
      <c r="E499" s="137" t="s">
        <v>393</v>
      </c>
      <c r="F499" s="137" t="s">
        <v>208</v>
      </c>
      <c r="G499" s="136" t="str">
        <f>VLOOKUP(A499,Plano_V3!$A$26:$G$592,7,0)</f>
        <v>1. Concluído</v>
      </c>
      <c r="H499" s="136" t="s">
        <v>614</v>
      </c>
      <c r="I499" s="143"/>
      <c r="J499" s="153" t="str">
        <f>IF(VLOOKUP(A499,'Aux - pivots1'!$A:$E,3,0)=0, "",VLOOKUP(A499,'Aux - pivots1'!$A:$E,3,0))</f>
        <v/>
      </c>
      <c r="K499" s="153" t="str">
        <f>IF(VLOOKUP(A499,'Aux - pivots1'!$A:$E,4,0)=0, "",VLOOKUP(A499,'Aux - pivots1'!$A:$E,4,0))</f>
        <v/>
      </c>
      <c r="L499" s="153" t="str">
        <f>IF(VLOOKUP(A499,'Aux - pivots1'!$A:$E,5,0)=0, "",VLOOKUP(A499,'Aux - pivots1'!$A:$E,5,0))</f>
        <v/>
      </c>
      <c r="M499" s="209"/>
      <c r="N499" s="209"/>
    </row>
    <row r="500" spans="1:14" ht="16.2" hidden="1" customHeight="1" x14ac:dyDescent="0.4">
      <c r="A500" s="30" t="str">
        <f t="shared" si="10"/>
        <v>lt826_esg_sbsctrordem</v>
      </c>
      <c r="B500" s="142" t="s">
        <v>26</v>
      </c>
      <c r="C500" s="138" t="s">
        <v>26</v>
      </c>
      <c r="D500" s="134" t="s">
        <v>40</v>
      </c>
      <c r="E500" s="137" t="s">
        <v>393</v>
      </c>
      <c r="F500" s="137" t="s">
        <v>211</v>
      </c>
      <c r="G500" s="136" t="str">
        <f>VLOOKUP(A500,Plano_V3!$A$26:$G$592,7,0)</f>
        <v>1. Concluído</v>
      </c>
      <c r="H500" s="136" t="s">
        <v>614</v>
      </c>
      <c r="I500" s="143"/>
      <c r="J500" s="153" t="str">
        <f>IF(VLOOKUP(A500,'Aux - pivots1'!$A:$E,3,0)=0, "",VLOOKUP(A500,'Aux - pivots1'!$A:$E,3,0))</f>
        <v/>
      </c>
      <c r="K500" s="153" t="str">
        <f>IF(VLOOKUP(A500,'Aux - pivots1'!$A:$E,4,0)=0, "",VLOOKUP(A500,'Aux - pivots1'!$A:$E,4,0))</f>
        <v/>
      </c>
      <c r="L500" s="153" t="str">
        <f>IF(VLOOKUP(A500,'Aux - pivots1'!$A:$E,5,0)=0, "",VLOOKUP(A500,'Aux - pivots1'!$A:$E,5,0))</f>
        <v/>
      </c>
      <c r="M500" s="209"/>
      <c r="N500" s="209"/>
    </row>
    <row r="501" spans="1:14" ht="16.2" hidden="1" customHeight="1" x14ac:dyDescent="0.4">
      <c r="A501" s="30" t="str">
        <f t="shared" si="10"/>
        <v>lt826_esg_sbsctrnace_code</v>
      </c>
      <c r="B501" s="142" t="s">
        <v>26</v>
      </c>
      <c r="C501" s="138" t="s">
        <v>26</v>
      </c>
      <c r="D501" s="134" t="s">
        <v>40</v>
      </c>
      <c r="E501" s="137" t="s">
        <v>393</v>
      </c>
      <c r="F501" s="137" t="s">
        <v>394</v>
      </c>
      <c r="G501" s="136" t="str">
        <f>VLOOKUP(A501,Plano_V3!$A$26:$G$592,7,0)</f>
        <v>1. Concluído</v>
      </c>
      <c r="H501" s="136" t="s">
        <v>614</v>
      </c>
      <c r="I501" s="143"/>
      <c r="J501" s="153" t="str">
        <f>IF(VLOOKUP(A501,'Aux - pivots1'!$A:$E,3,0)=0, "",VLOOKUP(A501,'Aux - pivots1'!$A:$E,3,0))</f>
        <v/>
      </c>
      <c r="K501" s="153" t="str">
        <f>IF(VLOOKUP(A501,'Aux - pivots1'!$A:$E,4,0)=0, "",VLOOKUP(A501,'Aux - pivots1'!$A:$E,4,0))</f>
        <v/>
      </c>
      <c r="L501" s="153" t="str">
        <f>IF(VLOOKUP(A501,'Aux - pivots1'!$A:$E,5,0)=0, "",VLOOKUP(A501,'Aux - pivots1'!$A:$E,5,0))</f>
        <v/>
      </c>
      <c r="M501" s="209"/>
      <c r="N501" s="209"/>
    </row>
    <row r="502" spans="1:14" ht="16.2" hidden="1" customHeight="1" x14ac:dyDescent="0.4">
      <c r="A502" s="30" t="str">
        <f t="shared" si="10"/>
        <v>lt826_esg_sbsctrcontraparte</v>
      </c>
      <c r="B502" s="142" t="s">
        <v>26</v>
      </c>
      <c r="C502" s="138" t="s">
        <v>26</v>
      </c>
      <c r="D502" s="134" t="s">
        <v>40</v>
      </c>
      <c r="E502" s="137" t="s">
        <v>393</v>
      </c>
      <c r="F502" s="137" t="s">
        <v>395</v>
      </c>
      <c r="G502" s="136" t="str">
        <f>VLOOKUP(A502,Plano_V3!$A$26:$G$592,7,0)</f>
        <v>1. Concluído</v>
      </c>
      <c r="H502" s="136" t="s">
        <v>614</v>
      </c>
      <c r="I502" s="143"/>
      <c r="J502" s="153" t="str">
        <f>IF(VLOOKUP(A502,'Aux - pivots1'!$A:$E,3,0)=0, "",VLOOKUP(A502,'Aux - pivots1'!$A:$E,3,0))</f>
        <v/>
      </c>
      <c r="K502" s="153" t="str">
        <f>IF(VLOOKUP(A502,'Aux - pivots1'!$A:$E,4,0)=0, "",VLOOKUP(A502,'Aux - pivots1'!$A:$E,4,0))</f>
        <v/>
      </c>
      <c r="L502" s="153" t="str">
        <f>IF(VLOOKUP(A502,'Aux - pivots1'!$A:$E,5,0)=0, "",VLOOKUP(A502,'Aux - pivots1'!$A:$E,5,0))</f>
        <v/>
      </c>
      <c r="M502" s="209"/>
      <c r="N502" s="209"/>
    </row>
    <row r="503" spans="1:14" ht="16.2" hidden="1" customHeight="1" x14ac:dyDescent="0.4">
      <c r="A503" s="30" t="str">
        <f t="shared" si="10"/>
        <v>lt826_esg_sbsctrcnatureza_juri</v>
      </c>
      <c r="B503" s="142" t="s">
        <v>26</v>
      </c>
      <c r="C503" s="138" t="s">
        <v>26</v>
      </c>
      <c r="D503" s="134" t="s">
        <v>40</v>
      </c>
      <c r="E503" s="137" t="s">
        <v>393</v>
      </c>
      <c r="F503" s="137" t="s">
        <v>396</v>
      </c>
      <c r="G503" s="136" t="str">
        <f>VLOOKUP(A503,Plano_V3!$A$26:$G$592,7,0)</f>
        <v>1. Concluído</v>
      </c>
      <c r="H503" s="136" t="s">
        <v>614</v>
      </c>
      <c r="I503" s="143"/>
      <c r="J503" s="153" t="str">
        <f>IF(VLOOKUP(A503,'Aux - pivots1'!$A:$E,3,0)=0, "",VLOOKUP(A503,'Aux - pivots1'!$A:$E,3,0))</f>
        <v/>
      </c>
      <c r="K503" s="153" t="str">
        <f>IF(VLOOKUP(A503,'Aux - pivots1'!$A:$E,4,0)=0, "",VLOOKUP(A503,'Aux - pivots1'!$A:$E,4,0))</f>
        <v/>
      </c>
      <c r="L503" s="153" t="str">
        <f>IF(VLOOKUP(A503,'Aux - pivots1'!$A:$E,5,0)=0, "",VLOOKUP(A503,'Aux - pivots1'!$A:$E,5,0))</f>
        <v/>
      </c>
      <c r="M503" s="209"/>
      <c r="N503" s="209"/>
    </row>
    <row r="504" spans="1:14" ht="16.2" hidden="1" customHeight="1" x14ac:dyDescent="0.4">
      <c r="A504" s="30" t="str">
        <f t="shared" si="10"/>
        <v>lt826_esg_sbsctridcomb</v>
      </c>
      <c r="B504" s="142" t="s">
        <v>26</v>
      </c>
      <c r="C504" s="138" t="s">
        <v>26</v>
      </c>
      <c r="D504" s="134" t="s">
        <v>40</v>
      </c>
      <c r="E504" s="137" t="s">
        <v>393</v>
      </c>
      <c r="F504" s="137" t="s">
        <v>397</v>
      </c>
      <c r="G504" s="136" t="str">
        <f>VLOOKUP(A504,Plano_V3!$A$26:$G$592,7,0)</f>
        <v>1. Concluído</v>
      </c>
      <c r="H504" s="136" t="s">
        <v>614</v>
      </c>
      <c r="I504" s="143"/>
      <c r="J504" s="153" t="str">
        <f>IF(VLOOKUP(A504,'Aux - pivots1'!$A:$E,3,0)=0, "",VLOOKUP(A504,'Aux - pivots1'!$A:$E,3,0))</f>
        <v/>
      </c>
      <c r="K504" s="153" t="str">
        <f>IF(VLOOKUP(A504,'Aux - pivots1'!$A:$E,4,0)=0, "",VLOOKUP(A504,'Aux - pivots1'!$A:$E,4,0))</f>
        <v/>
      </c>
      <c r="L504" s="153" t="str">
        <f>IF(VLOOKUP(A504,'Aux - pivots1'!$A:$E,5,0)=0, "",VLOOKUP(A504,'Aux - pivots1'!$A:$E,5,0))</f>
        <v/>
      </c>
      <c r="M504" s="209"/>
      <c r="N504" s="209"/>
    </row>
    <row r="505" spans="1:14" ht="16.2" hidden="1" customHeight="1" x14ac:dyDescent="0.4">
      <c r="A505" s="30" t="str">
        <f t="shared" si="10"/>
        <v>lt826_esg_sbsctresg_sbsctr</v>
      </c>
      <c r="B505" s="142" t="s">
        <v>26</v>
      </c>
      <c r="C505" s="138" t="s">
        <v>26</v>
      </c>
      <c r="D505" s="134" t="s">
        <v>40</v>
      </c>
      <c r="E505" s="137" t="s">
        <v>393</v>
      </c>
      <c r="F505" s="137" t="s">
        <v>361</v>
      </c>
      <c r="G505" s="136" t="str">
        <f>VLOOKUP(A505,Plano_V3!$A$26:$G$592,7,0)</f>
        <v>1. Concluído</v>
      </c>
      <c r="H505" s="136" t="s">
        <v>614</v>
      </c>
      <c r="I505" s="143"/>
      <c r="J505" s="153" t="str">
        <f>IF(VLOOKUP(A505,'Aux - pivots1'!$A:$E,3,0)=0, "",VLOOKUP(A505,'Aux - pivots1'!$A:$E,3,0))</f>
        <v/>
      </c>
      <c r="K505" s="153" t="str">
        <f>IF(VLOOKUP(A505,'Aux - pivots1'!$A:$E,4,0)=0, "",VLOOKUP(A505,'Aux - pivots1'!$A:$E,4,0))</f>
        <v/>
      </c>
      <c r="L505" s="153" t="str">
        <f>IF(VLOOKUP(A505,'Aux - pivots1'!$A:$E,5,0)=0, "",VLOOKUP(A505,'Aux - pivots1'!$A:$E,5,0))</f>
        <v/>
      </c>
      <c r="M505" s="209"/>
      <c r="N505" s="209"/>
    </row>
    <row r="506" spans="1:14" ht="16.2" hidden="1" customHeight="1" x14ac:dyDescent="0.4">
      <c r="A506" s="30" t="str">
        <f t="shared" si="10"/>
        <v>lt826_esg_sbsctrdescrição</v>
      </c>
      <c r="B506" s="142" t="s">
        <v>26</v>
      </c>
      <c r="C506" s="138" t="s">
        <v>26</v>
      </c>
      <c r="D506" s="134" t="s">
        <v>40</v>
      </c>
      <c r="E506" s="137" t="s">
        <v>393</v>
      </c>
      <c r="F506" s="137" t="s">
        <v>398</v>
      </c>
      <c r="G506" s="136" t="str">
        <f>VLOOKUP(A506,Plano_V3!$A$26:$G$592,7,0)</f>
        <v>1. Concluído</v>
      </c>
      <c r="H506" s="136" t="s">
        <v>614</v>
      </c>
      <c r="I506" s="143"/>
      <c r="J506" s="153" t="str">
        <f>IF(VLOOKUP(A506,'Aux - pivots1'!$A:$E,3,0)=0, "",VLOOKUP(A506,'Aux - pivots1'!$A:$E,3,0))</f>
        <v/>
      </c>
      <c r="K506" s="153" t="str">
        <f>IF(VLOOKUP(A506,'Aux - pivots1'!$A:$E,4,0)=0, "",VLOOKUP(A506,'Aux - pivots1'!$A:$E,4,0))</f>
        <v/>
      </c>
      <c r="L506" s="153" t="str">
        <f>IF(VLOOKUP(A506,'Aux - pivots1'!$A:$E,5,0)=0, "",VLOOKUP(A506,'Aux - pivots1'!$A:$E,5,0))</f>
        <v/>
      </c>
      <c r="M506" s="209"/>
      <c r="N506" s="209"/>
    </row>
    <row r="507" spans="1:14" ht="16.2" hidden="1" customHeight="1" x14ac:dyDescent="0.4">
      <c r="A507" s="30" t="str">
        <f t="shared" si="10"/>
        <v>lt002_instrumentdt_rfrnc</v>
      </c>
      <c r="B507" s="142" t="s">
        <v>26</v>
      </c>
      <c r="C507" s="138" t="s">
        <v>26</v>
      </c>
      <c r="D507" s="134" t="s">
        <v>40</v>
      </c>
      <c r="E507" s="137" t="s">
        <v>380</v>
      </c>
      <c r="F507" s="137" t="s">
        <v>399</v>
      </c>
      <c r="G507" s="136" t="str">
        <f>VLOOKUP(A507,Plano_V3!$A$26:$G$592,7,0)</f>
        <v>1. Concluído</v>
      </c>
      <c r="H507" s="136" t="s">
        <v>614</v>
      </c>
      <c r="I507" s="143" t="s">
        <v>664</v>
      </c>
      <c r="J507" s="153" t="str">
        <f>IF(VLOOKUP(A507,'Aux - pivots1'!$A:$E,3,0)=0, "",VLOOKUP(A507,'Aux - pivots1'!$A:$E,3,0))</f>
        <v/>
      </c>
      <c r="K507" s="153" t="str">
        <f>IF(VLOOKUP(A507,'Aux - pivots1'!$A:$E,4,0)=0, "",VLOOKUP(A507,'Aux - pivots1'!$A:$E,4,0))</f>
        <v/>
      </c>
      <c r="L507" s="153" t="str">
        <f>IF(VLOOKUP(A507,'Aux - pivots1'!$A:$E,5,0)=0, "",VLOOKUP(A507,'Aux - pivots1'!$A:$E,5,0))</f>
        <v/>
      </c>
      <c r="M507" s="209"/>
      <c r="N507" s="209"/>
    </row>
    <row r="508" spans="1:14" ht="16.2" hidden="1" customHeight="1" x14ac:dyDescent="0.4">
      <c r="A508" s="30" t="str">
        <f t="shared" si="10"/>
        <v>lt002_instrumentinstrmnt_id</v>
      </c>
      <c r="B508" s="142" t="s">
        <v>26</v>
      </c>
      <c r="C508" s="138" t="s">
        <v>26</v>
      </c>
      <c r="D508" s="134" t="s">
        <v>40</v>
      </c>
      <c r="E508" s="137" t="s">
        <v>380</v>
      </c>
      <c r="F508" s="137" t="s">
        <v>401</v>
      </c>
      <c r="G508" s="136" t="str">
        <f>VLOOKUP(A508,Plano_V3!$A$26:$G$592,7,0)</f>
        <v>1. Concluído</v>
      </c>
      <c r="H508" s="136" t="s">
        <v>614</v>
      </c>
      <c r="I508" s="143" t="s">
        <v>664</v>
      </c>
      <c r="J508" s="153" t="str">
        <f>IF(VLOOKUP(A508,'Aux - pivots1'!$A:$E,3,0)=0, "",VLOOKUP(A508,'Aux - pivots1'!$A:$E,3,0))</f>
        <v/>
      </c>
      <c r="K508" s="153" t="str">
        <f>IF(VLOOKUP(A508,'Aux - pivots1'!$A:$E,4,0)=0, "",VLOOKUP(A508,'Aux - pivots1'!$A:$E,4,0))</f>
        <v/>
      </c>
      <c r="L508" s="153" t="str">
        <f>IF(VLOOKUP(A508,'Aux - pivots1'!$A:$E,5,0)=0, "",VLOOKUP(A508,'Aux - pivots1'!$A:$E,5,0))</f>
        <v/>
      </c>
      <c r="M508" s="209"/>
      <c r="N508" s="209"/>
    </row>
    <row r="509" spans="1:14" ht="16.2" hidden="1" customHeight="1" x14ac:dyDescent="0.4">
      <c r="A509" s="30" t="str">
        <f t="shared" si="10"/>
        <v>lt002_instrumentdt_incptn</v>
      </c>
      <c r="B509" s="142" t="s">
        <v>26</v>
      </c>
      <c r="C509" s="138" t="s">
        <v>26</v>
      </c>
      <c r="D509" s="134" t="s">
        <v>40</v>
      </c>
      <c r="E509" s="137" t="s">
        <v>380</v>
      </c>
      <c r="F509" s="137" t="s">
        <v>402</v>
      </c>
      <c r="G509" s="136" t="str">
        <f>VLOOKUP(A509,Plano_V3!$A$26:$G$592,7,0)</f>
        <v>1. Concluído</v>
      </c>
      <c r="H509" s="136" t="s">
        <v>614</v>
      </c>
      <c r="I509" s="143" t="s">
        <v>664</v>
      </c>
      <c r="J509" s="153" t="str">
        <f>IF(VLOOKUP(A509,'Aux - pivots1'!$A:$E,3,0)=0, "",VLOOKUP(A509,'Aux - pivots1'!$A:$E,3,0))</f>
        <v/>
      </c>
      <c r="K509" s="153" t="str">
        <f>IF(VLOOKUP(A509,'Aux - pivots1'!$A:$E,4,0)=0, "",VLOOKUP(A509,'Aux - pivots1'!$A:$E,4,0))</f>
        <v/>
      </c>
      <c r="L509" s="153" t="str">
        <f>IF(VLOOKUP(A509,'Aux - pivots1'!$A:$E,5,0)=0, "",VLOOKUP(A509,'Aux - pivots1'!$A:$E,5,0))</f>
        <v/>
      </c>
      <c r="M509" s="209"/>
      <c r="N509" s="209"/>
    </row>
    <row r="510" spans="1:14" ht="16.2" hidden="1" customHeight="1" x14ac:dyDescent="0.4">
      <c r="A510" s="30" t="str">
        <f t="shared" si="10"/>
        <v>lt002_instrumentdflt_stts_instrmnt</v>
      </c>
      <c r="B510" s="142" t="s">
        <v>26</v>
      </c>
      <c r="C510" s="138" t="s">
        <v>26</v>
      </c>
      <c r="D510" s="134" t="s">
        <v>40</v>
      </c>
      <c r="E510" s="137" t="s">
        <v>380</v>
      </c>
      <c r="F510" s="137" t="s">
        <v>403</v>
      </c>
      <c r="G510" s="136" t="str">
        <f>VLOOKUP(A510,Plano_V3!$A$26:$G$592,7,0)</f>
        <v>1. Concluído</v>
      </c>
      <c r="H510" s="136" t="s">
        <v>614</v>
      </c>
      <c r="I510" s="143" t="s">
        <v>664</v>
      </c>
      <c r="J510" s="153" t="str">
        <f>IF(VLOOKUP(A510,'Aux - pivots1'!$A:$E,3,0)=0, "",VLOOKUP(A510,'Aux - pivots1'!$A:$E,3,0))</f>
        <v/>
      </c>
      <c r="K510" s="153" t="str">
        <f>IF(VLOOKUP(A510,'Aux - pivots1'!$A:$E,4,0)=0, "",VLOOKUP(A510,'Aux - pivots1'!$A:$E,4,0))</f>
        <v/>
      </c>
      <c r="L510" s="153" t="str">
        <f>IF(VLOOKUP(A510,'Aux - pivots1'!$A:$E,5,0)=0, "",VLOOKUP(A510,'Aux - pivots1'!$A:$E,5,0))</f>
        <v/>
      </c>
      <c r="M510" s="209"/>
      <c r="N510" s="209"/>
    </row>
    <row r="511" spans="1:14" ht="16.2" hidden="1" customHeight="1" x14ac:dyDescent="0.4">
      <c r="A511" s="30" t="str">
        <f t="shared" si="10"/>
        <v>lt002_instrumentimprmnt_stts</v>
      </c>
      <c r="B511" s="142" t="s">
        <v>26</v>
      </c>
      <c r="C511" s="138" t="s">
        <v>26</v>
      </c>
      <c r="D511" s="134" t="s">
        <v>40</v>
      </c>
      <c r="E511" s="137" t="s">
        <v>380</v>
      </c>
      <c r="F511" s="137" t="s">
        <v>404</v>
      </c>
      <c r="G511" s="136" t="str">
        <f>VLOOKUP(A511,Plano_V3!$A$26:$G$592,7,0)</f>
        <v>1. Concluído</v>
      </c>
      <c r="H511" s="136" t="s">
        <v>614</v>
      </c>
      <c r="I511" s="143" t="s">
        <v>664</v>
      </c>
      <c r="J511" s="153" t="str">
        <f>IF(VLOOKUP(A511,'Aux - pivots1'!$A:$E,3,0)=0, "",VLOOKUP(A511,'Aux - pivots1'!$A:$E,3,0))</f>
        <v/>
      </c>
      <c r="K511" s="153" t="str">
        <f>IF(VLOOKUP(A511,'Aux - pivots1'!$A:$E,4,0)=0, "",VLOOKUP(A511,'Aux - pivots1'!$A:$E,4,0))</f>
        <v/>
      </c>
      <c r="L511" s="153" t="str">
        <f>IF(VLOOKUP(A511,'Aux - pivots1'!$A:$E,5,0)=0, "",VLOOKUP(A511,'Aux - pivots1'!$A:$E,5,0))</f>
        <v/>
      </c>
      <c r="M511" s="209"/>
      <c r="N511" s="209"/>
    </row>
    <row r="512" spans="1:14" ht="16.2" hidden="1" customHeight="1" x14ac:dyDescent="0.4">
      <c r="A512" s="30" t="str">
        <f t="shared" si="10"/>
        <v>lt002_instrumentprfrmng_stts</v>
      </c>
      <c r="B512" s="142" t="s">
        <v>26</v>
      </c>
      <c r="C512" s="138" t="s">
        <v>26</v>
      </c>
      <c r="D512" s="134" t="s">
        <v>40</v>
      </c>
      <c r="E512" s="137" t="s">
        <v>380</v>
      </c>
      <c r="F512" s="137" t="s">
        <v>405</v>
      </c>
      <c r="G512" s="136" t="str">
        <f>VLOOKUP(A512,Plano_V3!$A$26:$G$592,7,0)</f>
        <v>1. Concluído</v>
      </c>
      <c r="H512" s="136" t="s">
        <v>614</v>
      </c>
      <c r="I512" s="143" t="s">
        <v>664</v>
      </c>
      <c r="J512" s="153" t="str">
        <f>IF(VLOOKUP(A512,'Aux - pivots1'!$A:$E,3,0)=0, "",VLOOKUP(A512,'Aux - pivots1'!$A:$E,3,0))</f>
        <v/>
      </c>
      <c r="K512" s="153" t="str">
        <f>IF(VLOOKUP(A512,'Aux - pivots1'!$A:$E,4,0)=0, "",VLOOKUP(A512,'Aux - pivots1'!$A:$E,4,0))</f>
        <v/>
      </c>
      <c r="L512" s="153" t="str">
        <f>IF(VLOOKUP(A512,'Aux - pivots1'!$A:$E,5,0)=0, "",VLOOKUP(A512,'Aux - pivots1'!$A:$E,5,0))</f>
        <v/>
      </c>
      <c r="M512" s="209"/>
      <c r="N512" s="209"/>
    </row>
    <row r="513" spans="1:14" ht="16.2" hidden="1" customHeight="1" x14ac:dyDescent="0.4">
      <c r="A513" s="30" t="str">
        <f t="shared" si="10"/>
        <v>lt002_instrumentprjct_fnnc_ln</v>
      </c>
      <c r="B513" s="142" t="s">
        <v>26</v>
      </c>
      <c r="C513" s="138" t="s">
        <v>26</v>
      </c>
      <c r="D513" s="134" t="s">
        <v>40</v>
      </c>
      <c r="E513" s="137" t="s">
        <v>380</v>
      </c>
      <c r="F513" s="137" t="s">
        <v>406</v>
      </c>
      <c r="G513" s="136" t="str">
        <f>VLOOKUP(A513,Plano_V3!$A$26:$G$592,7,0)</f>
        <v>1. Concluído</v>
      </c>
      <c r="H513" s="136" t="s">
        <v>614</v>
      </c>
      <c r="I513" s="143" t="s">
        <v>664</v>
      </c>
      <c r="J513" s="153" t="str">
        <f>IF(VLOOKUP(A513,'Aux - pivots1'!$A:$E,3,0)=0, "",VLOOKUP(A513,'Aux - pivots1'!$A:$E,3,0))</f>
        <v/>
      </c>
      <c r="K513" s="153" t="str">
        <f>IF(VLOOKUP(A513,'Aux - pivots1'!$A:$E,4,0)=0, "",VLOOKUP(A513,'Aux - pivots1'!$A:$E,4,0))</f>
        <v/>
      </c>
      <c r="L513" s="153" t="str">
        <f>IF(VLOOKUP(A513,'Aux - pivots1'!$A:$E,5,0)=0, "",VLOOKUP(A513,'Aux - pivots1'!$A:$E,5,0))</f>
        <v/>
      </c>
      <c r="M513" s="209"/>
      <c r="N513" s="209"/>
    </row>
    <row r="514" spans="1:14" ht="16.2" hidden="1" customHeight="1" x14ac:dyDescent="0.4">
      <c r="A514" s="30" t="str">
        <f t="shared" si="10"/>
        <v>lt002_instrumenttyp_instrmnt</v>
      </c>
      <c r="B514" s="142" t="s">
        <v>26</v>
      </c>
      <c r="C514" s="138" t="s">
        <v>26</v>
      </c>
      <c r="D514" s="134" t="s">
        <v>40</v>
      </c>
      <c r="E514" s="137" t="s">
        <v>380</v>
      </c>
      <c r="F514" s="137" t="s">
        <v>407</v>
      </c>
      <c r="G514" s="136" t="str">
        <f>VLOOKUP(A514,Plano_V3!$A$26:$G$592,7,0)</f>
        <v>1. Concluído</v>
      </c>
      <c r="H514" s="136" t="s">
        <v>614</v>
      </c>
      <c r="I514" s="143" t="s">
        <v>664</v>
      </c>
      <c r="J514" s="153" t="str">
        <f>IF(VLOOKUP(A514,'Aux - pivots1'!$A:$E,3,0)=0, "",VLOOKUP(A514,'Aux - pivots1'!$A:$E,3,0))</f>
        <v/>
      </c>
      <c r="K514" s="153" t="str">
        <f>IF(VLOOKUP(A514,'Aux - pivots1'!$A:$E,4,0)=0, "",VLOOKUP(A514,'Aux - pivots1'!$A:$E,4,0))</f>
        <v/>
      </c>
      <c r="L514" s="153" t="str">
        <f>IF(VLOOKUP(A514,'Aux - pivots1'!$A:$E,5,0)=0, "",VLOOKUP(A514,'Aux - pivots1'!$A:$E,5,0))</f>
        <v/>
      </c>
      <c r="M514" s="209"/>
      <c r="N514" s="209"/>
    </row>
    <row r="515" spans="1:14" ht="16.2" hidden="1" customHeight="1" x14ac:dyDescent="0.4">
      <c r="A515" s="30" t="str">
        <f t="shared" si="10"/>
        <v>lt002_instrumentgrss_crryng_amnt_instrmnt</v>
      </c>
      <c r="B515" s="142" t="s">
        <v>26</v>
      </c>
      <c r="C515" s="138" t="s">
        <v>26</v>
      </c>
      <c r="D515" s="134" t="s">
        <v>40</v>
      </c>
      <c r="E515" s="137" t="s">
        <v>380</v>
      </c>
      <c r="F515" s="137" t="s">
        <v>408</v>
      </c>
      <c r="G515" s="136" t="str">
        <f>VLOOKUP(A515,Plano_V3!$A$26:$G$592,7,0)</f>
        <v>1. Concluído</v>
      </c>
      <c r="H515" s="136" t="s">
        <v>614</v>
      </c>
      <c r="I515" s="143" t="s">
        <v>664</v>
      </c>
      <c r="J515" s="153" t="str">
        <f>IF(VLOOKUP(A515,'Aux - pivots1'!$A:$E,3,0)=0, "",VLOOKUP(A515,'Aux - pivots1'!$A:$E,3,0))</f>
        <v/>
      </c>
      <c r="K515" s="153" t="str">
        <f>IF(VLOOKUP(A515,'Aux - pivots1'!$A:$E,4,0)=0, "",VLOOKUP(A515,'Aux - pivots1'!$A:$E,4,0))</f>
        <v/>
      </c>
      <c r="L515" s="153" t="str">
        <f>IF(VLOOKUP(A515,'Aux - pivots1'!$A:$E,5,0)=0, "",VLOOKUP(A515,'Aux - pivots1'!$A:$E,5,0))</f>
        <v/>
      </c>
      <c r="M515" s="209"/>
      <c r="N515" s="209"/>
    </row>
    <row r="516" spans="1:14" ht="16.2" hidden="1" customHeight="1" x14ac:dyDescent="0.4">
      <c r="A516" s="30" t="str">
        <f t="shared" si="10"/>
        <v>lt002_instrumentaccmltd_chngs_fv_cr_instrmnt</v>
      </c>
      <c r="B516" s="142" t="s">
        <v>26</v>
      </c>
      <c r="C516" s="138" t="s">
        <v>26</v>
      </c>
      <c r="D516" s="134" t="s">
        <v>40</v>
      </c>
      <c r="E516" s="137" t="s">
        <v>380</v>
      </c>
      <c r="F516" s="137" t="s">
        <v>409</v>
      </c>
      <c r="G516" s="136" t="str">
        <f>VLOOKUP(A516,Plano_V3!$A$26:$G$592,7,0)</f>
        <v>1. Concluído</v>
      </c>
      <c r="H516" s="136" t="s">
        <v>614</v>
      </c>
      <c r="I516" s="143" t="s">
        <v>664</v>
      </c>
      <c r="J516" s="153" t="str">
        <f>IF(VLOOKUP(A516,'Aux - pivots1'!$A:$E,3,0)=0, "",VLOOKUP(A516,'Aux - pivots1'!$A:$E,3,0))</f>
        <v/>
      </c>
      <c r="K516" s="153" t="str">
        <f>IF(VLOOKUP(A516,'Aux - pivots1'!$A:$E,4,0)=0, "",VLOOKUP(A516,'Aux - pivots1'!$A:$E,4,0))</f>
        <v/>
      </c>
      <c r="L516" s="153" t="str">
        <f>IF(VLOOKUP(A516,'Aux - pivots1'!$A:$E,5,0)=0, "",VLOOKUP(A516,'Aux - pivots1'!$A:$E,5,0))</f>
        <v/>
      </c>
      <c r="M516" s="209"/>
      <c r="N516" s="209"/>
    </row>
    <row r="517" spans="1:14" ht="16.2" hidden="1" customHeight="1" x14ac:dyDescent="0.4">
      <c r="A517" s="30" t="str">
        <f t="shared" si="10"/>
        <v>lt002_instrumentaccntng_clssfctn</v>
      </c>
      <c r="B517" s="142" t="s">
        <v>26</v>
      </c>
      <c r="C517" s="138" t="s">
        <v>26</v>
      </c>
      <c r="D517" s="134" t="s">
        <v>40</v>
      </c>
      <c r="E517" s="137" t="s">
        <v>380</v>
      </c>
      <c r="F517" s="137" t="s">
        <v>410</v>
      </c>
      <c r="G517" s="136" t="str">
        <f>VLOOKUP(A517,Plano_V3!$A$26:$G$592,7,0)</f>
        <v>1. Concluído</v>
      </c>
      <c r="H517" s="136" t="s">
        <v>614</v>
      </c>
      <c r="I517" s="143" t="s">
        <v>664</v>
      </c>
      <c r="J517" s="153" t="str">
        <f>IF(VLOOKUP(A517,'Aux - pivots1'!$A:$E,3,0)=0, "",VLOOKUP(A517,'Aux - pivots1'!$A:$E,3,0))</f>
        <v/>
      </c>
      <c r="K517" s="153" t="str">
        <f>IF(VLOOKUP(A517,'Aux - pivots1'!$A:$E,4,0)=0, "",VLOOKUP(A517,'Aux - pivots1'!$A:$E,4,0))</f>
        <v/>
      </c>
      <c r="L517" s="153" t="str">
        <f>IF(VLOOKUP(A517,'Aux - pivots1'!$A:$E,5,0)=0, "",VLOOKUP(A517,'Aux - pivots1'!$A:$E,5,0))</f>
        <v/>
      </c>
      <c r="M517" s="209"/>
      <c r="N517" s="209"/>
    </row>
    <row r="518" spans="1:14" ht="16.2" hidden="1" customHeight="1" x14ac:dyDescent="0.4">
      <c r="A518" s="30" t="str">
        <f t="shared" si="10"/>
        <v>lt002_instrumentdt_lgl_fnl_mtrty</v>
      </c>
      <c r="B518" s="142" t="s">
        <v>26</v>
      </c>
      <c r="C518" s="138" t="s">
        <v>26</v>
      </c>
      <c r="D518" s="134" t="s">
        <v>40</v>
      </c>
      <c r="E518" s="137" t="s">
        <v>380</v>
      </c>
      <c r="F518" s="137" t="s">
        <v>411</v>
      </c>
      <c r="G518" s="136" t="str">
        <f>VLOOKUP(A518,Plano_V3!$A$26:$G$592,7,0)</f>
        <v>1. Concluído</v>
      </c>
      <c r="H518" s="136" t="s">
        <v>614</v>
      </c>
      <c r="I518" s="143" t="s">
        <v>664</v>
      </c>
      <c r="J518" s="153" t="str">
        <f>IF(VLOOKUP(A518,'Aux - pivots1'!$A:$E,3,0)=0, "",VLOOKUP(A518,'Aux - pivots1'!$A:$E,3,0))</f>
        <v/>
      </c>
      <c r="K518" s="153" t="str">
        <f>IF(VLOOKUP(A518,'Aux - pivots1'!$A:$E,4,0)=0, "",VLOOKUP(A518,'Aux - pivots1'!$A:$E,4,0))</f>
        <v/>
      </c>
      <c r="L518" s="153" t="str">
        <f>IF(VLOOKUP(A518,'Aux - pivots1'!$A:$E,5,0)=0, "",VLOOKUP(A518,'Aux - pivots1'!$A:$E,5,0))</f>
        <v/>
      </c>
      <c r="M518" s="209"/>
      <c r="N518" s="209"/>
    </row>
    <row r="519" spans="1:14" ht="16.2" hidden="1" customHeight="1" x14ac:dyDescent="0.4">
      <c r="A519" s="30" t="str">
        <f t="shared" si="10"/>
        <v>lt002_instrumentaccmltd_imprmnt_instrmnt</v>
      </c>
      <c r="B519" s="142" t="s">
        <v>26</v>
      </c>
      <c r="C519" s="138" t="s">
        <v>26</v>
      </c>
      <c r="D519" s="134" t="s">
        <v>40</v>
      </c>
      <c r="E519" s="137" t="s">
        <v>380</v>
      </c>
      <c r="F519" s="137" t="s">
        <v>412</v>
      </c>
      <c r="G519" s="136" t="str">
        <f>VLOOKUP(A519,Plano_V3!$A$26:$G$592,7,0)</f>
        <v>1. Concluído</v>
      </c>
      <c r="H519" s="136" t="s">
        <v>614</v>
      </c>
      <c r="I519" s="143" t="s">
        <v>664</v>
      </c>
      <c r="J519" s="153" t="str">
        <f>IF(VLOOKUP(A519,'Aux - pivots1'!$A:$E,3,0)=0, "",VLOOKUP(A519,'Aux - pivots1'!$A:$E,3,0))</f>
        <v/>
      </c>
      <c r="K519" s="153" t="str">
        <f>IF(VLOOKUP(A519,'Aux - pivots1'!$A:$E,4,0)=0, "",VLOOKUP(A519,'Aux - pivots1'!$A:$E,4,0))</f>
        <v/>
      </c>
      <c r="L519" s="153" t="str">
        <f>IF(VLOOKUP(A519,'Aux - pivots1'!$A:$E,5,0)=0, "",VLOOKUP(A519,'Aux - pivots1'!$A:$E,5,0))</f>
        <v/>
      </c>
      <c r="M519" s="209"/>
      <c r="N519" s="209"/>
    </row>
    <row r="520" spans="1:14" ht="16.2" hidden="1" customHeight="1" x14ac:dyDescent="0.4">
      <c r="A520" s="30" t="str">
        <f t="shared" si="10"/>
        <v>lt002_instrumentissr_cntry</v>
      </c>
      <c r="B520" s="142" t="s">
        <v>26</v>
      </c>
      <c r="C520" s="138" t="s">
        <v>26</v>
      </c>
      <c r="D520" s="134" t="s">
        <v>40</v>
      </c>
      <c r="E520" s="137" t="s">
        <v>380</v>
      </c>
      <c r="F520" s="137" t="s">
        <v>413</v>
      </c>
      <c r="G520" s="136" t="str">
        <f>VLOOKUP(A520,Plano_V3!$A$26:$G$592,7,0)</f>
        <v>1. Concluído</v>
      </c>
      <c r="H520" s="136" t="s">
        <v>614</v>
      </c>
      <c r="I520" s="143" t="s">
        <v>664</v>
      </c>
      <c r="J520" s="153" t="str">
        <f>IF(VLOOKUP(A520,'Aux - pivots1'!$A:$E,3,0)=0, "",VLOOKUP(A520,'Aux - pivots1'!$A:$E,3,0))</f>
        <v/>
      </c>
      <c r="K520" s="153" t="str">
        <f>IF(VLOOKUP(A520,'Aux - pivots1'!$A:$E,4,0)=0, "",VLOOKUP(A520,'Aux - pivots1'!$A:$E,4,0))</f>
        <v/>
      </c>
      <c r="L520" s="153" t="str">
        <f>IF(VLOOKUP(A520,'Aux - pivots1'!$A:$E,5,0)=0, "",VLOOKUP(A520,'Aux - pivots1'!$A:$E,5,0))</f>
        <v/>
      </c>
      <c r="M520" s="209"/>
      <c r="N520" s="209"/>
    </row>
    <row r="521" spans="1:14" ht="16.2" hidden="1" customHeight="1" x14ac:dyDescent="0.4">
      <c r="A521" s="30" t="str">
        <f t="shared" si="10"/>
        <v>lt002_instrumentissr_nace_sctr</v>
      </c>
      <c r="B521" s="142" t="s">
        <v>26</v>
      </c>
      <c r="C521" s="138" t="s">
        <v>26</v>
      </c>
      <c r="D521" s="134" t="s">
        <v>40</v>
      </c>
      <c r="E521" s="137" t="s">
        <v>380</v>
      </c>
      <c r="F521" s="137" t="s">
        <v>414</v>
      </c>
      <c r="G521" s="136" t="str">
        <f>VLOOKUP(A521,Plano_V3!$A$26:$G$592,7,0)</f>
        <v>1. Concluído</v>
      </c>
      <c r="H521" s="136" t="s">
        <v>614</v>
      </c>
      <c r="I521" s="143" t="s">
        <v>664</v>
      </c>
      <c r="J521" s="153" t="str">
        <f>IF(VLOOKUP(A521,'Aux - pivots1'!$A:$E,3,0)=0, "",VLOOKUP(A521,'Aux - pivots1'!$A:$E,3,0))</f>
        <v/>
      </c>
      <c r="K521" s="153" t="str">
        <f>IF(VLOOKUP(A521,'Aux - pivots1'!$A:$E,4,0)=0, "",VLOOKUP(A521,'Aux - pivots1'!$A:$E,4,0))</f>
        <v/>
      </c>
      <c r="L521" s="153" t="str">
        <f>IF(VLOOKUP(A521,'Aux - pivots1'!$A:$E,5,0)=0, "",VLOOKUP(A521,'Aux - pivots1'!$A:$E,5,0))</f>
        <v/>
      </c>
      <c r="M521" s="209"/>
      <c r="N521" s="209"/>
    </row>
    <row r="522" spans="1:14" ht="16.2" hidden="1" customHeight="1" x14ac:dyDescent="0.4">
      <c r="A522" s="30" t="str">
        <f t="shared" si="10"/>
        <v>lt002_instrumentprmry_asst_clssf</v>
      </c>
      <c r="B522" s="142" t="s">
        <v>26</v>
      </c>
      <c r="C522" s="138" t="s">
        <v>26</v>
      </c>
      <c r="D522" s="134" t="s">
        <v>40</v>
      </c>
      <c r="E522" s="137" t="s">
        <v>380</v>
      </c>
      <c r="F522" s="137" t="s">
        <v>415</v>
      </c>
      <c r="G522" s="136" t="str">
        <f>VLOOKUP(A522,Plano_V3!$A$26:$G$592,7,0)</f>
        <v>1. Concluído</v>
      </c>
      <c r="H522" s="136" t="s">
        <v>614</v>
      </c>
      <c r="I522" s="143" t="s">
        <v>664</v>
      </c>
      <c r="J522" s="153" t="str">
        <f>IF(VLOOKUP(A522,'Aux - pivots1'!$A:$E,3,0)=0, "",VLOOKUP(A522,'Aux - pivots1'!$A:$E,3,0))</f>
        <v/>
      </c>
      <c r="K522" s="153" t="str">
        <f>IF(VLOOKUP(A522,'Aux - pivots1'!$A:$E,4,0)=0, "",VLOOKUP(A522,'Aux - pivots1'!$A:$E,4,0))</f>
        <v/>
      </c>
      <c r="L522" s="153" t="str">
        <f>IF(VLOOKUP(A522,'Aux - pivots1'!$A:$E,5,0)=0, "",VLOOKUP(A522,'Aux - pivots1'!$A:$E,5,0))</f>
        <v/>
      </c>
      <c r="M522" s="209"/>
      <c r="N522" s="209"/>
    </row>
    <row r="523" spans="1:14" ht="16.2" hidden="1" customHeight="1" x14ac:dyDescent="0.4">
      <c r="A523" s="30" t="str">
        <f t="shared" si="10"/>
        <v>lt002_instrumentsubportfolio_id</v>
      </c>
      <c r="B523" s="142" t="s">
        <v>26</v>
      </c>
      <c r="C523" s="138" t="s">
        <v>26</v>
      </c>
      <c r="D523" s="134" t="s">
        <v>40</v>
      </c>
      <c r="E523" s="137" t="s">
        <v>380</v>
      </c>
      <c r="F523" s="137" t="s">
        <v>416</v>
      </c>
      <c r="G523" s="136" t="str">
        <f>VLOOKUP(A523,Plano_V3!$A$26:$G$592,7,0)</f>
        <v>1. Concluído</v>
      </c>
      <c r="H523" s="136" t="s">
        <v>614</v>
      </c>
      <c r="I523" s="143" t="s">
        <v>664</v>
      </c>
      <c r="J523" s="153" t="str">
        <f>IF(VLOOKUP(A523,'Aux - pivots1'!$A:$E,3,0)=0, "",VLOOKUP(A523,'Aux - pivots1'!$A:$E,3,0))</f>
        <v/>
      </c>
      <c r="K523" s="153" t="str">
        <f>IF(VLOOKUP(A523,'Aux - pivots1'!$A:$E,4,0)=0, "",VLOOKUP(A523,'Aux - pivots1'!$A:$E,4,0))</f>
        <v/>
      </c>
      <c r="L523" s="153" t="str">
        <f>IF(VLOOKUP(A523,'Aux - pivots1'!$A:$E,5,0)=0, "",VLOOKUP(A523,'Aux - pivots1'!$A:$E,5,0))</f>
        <v/>
      </c>
      <c r="M523" s="209"/>
      <c r="N523" s="209"/>
    </row>
    <row r="524" spans="1:14" ht="16.2" hidden="1" customHeight="1" x14ac:dyDescent="0.4">
      <c r="A524" s="30" t="str">
        <f t="shared" si="10"/>
        <v>lt002_instrumentcod_soc</v>
      </c>
      <c r="B524" s="142" t="s">
        <v>26</v>
      </c>
      <c r="C524" s="138" t="s">
        <v>26</v>
      </c>
      <c r="D524" s="134" t="s">
        <v>40</v>
      </c>
      <c r="E524" s="137" t="s">
        <v>380</v>
      </c>
      <c r="F524" s="137" t="s">
        <v>417</v>
      </c>
      <c r="G524" s="136" t="str">
        <f>VLOOKUP(A524,Plano_V3!$A$26:$G$592,7,0)</f>
        <v>1. Concluído</v>
      </c>
      <c r="H524" s="136" t="s">
        <v>614</v>
      </c>
      <c r="I524" s="143" t="s">
        <v>664</v>
      </c>
      <c r="J524" s="153" t="str">
        <f>IF(VLOOKUP(A524,'Aux - pivots1'!$A:$E,3,0)=0, "",VLOOKUP(A524,'Aux - pivots1'!$A:$E,3,0))</f>
        <v/>
      </c>
      <c r="K524" s="153" t="str">
        <f>IF(VLOOKUP(A524,'Aux - pivots1'!$A:$E,4,0)=0, "",VLOOKUP(A524,'Aux - pivots1'!$A:$E,4,0))</f>
        <v/>
      </c>
      <c r="L524" s="153" t="str">
        <f>IF(VLOOKUP(A524,'Aux - pivots1'!$A:$E,5,0)=0, "",VLOOKUP(A524,'Aux - pivots1'!$A:$E,5,0))</f>
        <v/>
      </c>
      <c r="M524" s="209"/>
      <c r="N524" s="209"/>
    </row>
    <row r="525" spans="1:14" ht="16.2" hidden="1" customHeight="1" x14ac:dyDescent="0.4">
      <c r="A525" s="30" t="str">
        <f t="shared" si="10"/>
        <v>lt002_instrumentlcl_instmrnt_id</v>
      </c>
      <c r="B525" s="142" t="s">
        <v>26</v>
      </c>
      <c r="C525" s="138" t="s">
        <v>26</v>
      </c>
      <c r="D525" s="134" t="s">
        <v>40</v>
      </c>
      <c r="E525" s="137" t="s">
        <v>380</v>
      </c>
      <c r="F525" s="137" t="s">
        <v>418</v>
      </c>
      <c r="G525" s="136" t="str">
        <f>VLOOKUP(A525,Plano_V3!$A$26:$G$592,7,0)</f>
        <v>1. Concluído</v>
      </c>
      <c r="H525" s="136" t="s">
        <v>614</v>
      </c>
      <c r="I525" s="143" t="s">
        <v>664</v>
      </c>
      <c r="J525" s="153" t="str">
        <f>IF(VLOOKUP(A525,'Aux - pivots1'!$A:$E,3,0)=0, "",VLOOKUP(A525,'Aux - pivots1'!$A:$E,3,0))</f>
        <v/>
      </c>
      <c r="K525" s="153" t="str">
        <f>IF(VLOOKUP(A525,'Aux - pivots1'!$A:$E,4,0)=0, "",VLOOKUP(A525,'Aux - pivots1'!$A:$E,4,0))</f>
        <v/>
      </c>
      <c r="L525" s="153" t="str">
        <f>IF(VLOOKUP(A525,'Aux - pivots1'!$A:$E,5,0)=0, "",VLOOKUP(A525,'Aux - pivots1'!$A:$E,5,0))</f>
        <v/>
      </c>
      <c r="M525" s="209"/>
      <c r="N525" s="209"/>
    </row>
    <row r="526" spans="1:14" ht="16.2" hidden="1" customHeight="1" x14ac:dyDescent="0.4">
      <c r="A526" s="30" t="str">
        <f t="shared" si="10"/>
        <v>lt007_instr_activitysstnbl_indctr</v>
      </c>
      <c r="B526" s="142" t="s">
        <v>26</v>
      </c>
      <c r="C526" s="138" t="s">
        <v>26</v>
      </c>
      <c r="D526" s="134" t="s">
        <v>40</v>
      </c>
      <c r="E526" s="137" t="s">
        <v>1955</v>
      </c>
      <c r="F526" s="137" t="s">
        <v>419</v>
      </c>
      <c r="G526" s="136" t="str">
        <f>VLOOKUP(A526,Plano_V3!$A$26:$G$592,7,0)</f>
        <v>6. Em implementação (re-especificação)</v>
      </c>
      <c r="H526" s="136" t="s">
        <v>619</v>
      </c>
      <c r="I526" s="143" t="s">
        <v>1935</v>
      </c>
      <c r="J526" s="153" t="str">
        <f>IF(VLOOKUP(A526,'Aux - pivots1'!$A:$E,3,0)=0, "",VLOOKUP(A526,'Aux - pivots1'!$A:$E,3,0))</f>
        <v/>
      </c>
      <c r="K526" s="153">
        <f>IF(VLOOKUP(A526,'Aux - pivots1'!$A:$E,4,0)=0, "",VLOOKUP(A526,'Aux - pivots1'!$A:$E,4,0))</f>
        <v>45624</v>
      </c>
      <c r="L526" s="153" t="str">
        <f>IF(VLOOKUP(A526,'Aux - pivots1'!$A:$E,5,0)=0, "",VLOOKUP(A526,'Aux - pivots1'!$A:$E,5,0))</f>
        <v/>
      </c>
      <c r="M526" s="209">
        <v>45593</v>
      </c>
      <c r="N526" s="209"/>
    </row>
    <row r="527" spans="1:14" ht="16.2" hidden="1" customHeight="1" x14ac:dyDescent="0.4">
      <c r="A527" s="30" t="str">
        <f t="shared" si="10"/>
        <v>lt007_instr_activitysstnbl_ctgry</v>
      </c>
      <c r="B527" s="142" t="s">
        <v>26</v>
      </c>
      <c r="C527" s="138" t="s">
        <v>26</v>
      </c>
      <c r="D527" s="134" t="s">
        <v>40</v>
      </c>
      <c r="E527" s="137" t="s">
        <v>1955</v>
      </c>
      <c r="F527" s="137" t="s">
        <v>420</v>
      </c>
      <c r="G527" s="136" t="str">
        <f>VLOOKUP(A527,Plano_V3!$A$26:$G$592,7,0)</f>
        <v>6. Em implementação (re-especificação)</v>
      </c>
      <c r="H527" s="136" t="s">
        <v>619</v>
      </c>
      <c r="I527" s="143" t="s">
        <v>1935</v>
      </c>
      <c r="J527" s="153">
        <f>IF(VLOOKUP(A527,'Aux - pivots1'!$A:$E,3,0)=0, "",VLOOKUP(A527,'Aux - pivots1'!$A:$E,3,0))</f>
        <v>45593</v>
      </c>
      <c r="K527" s="153">
        <f>IF(VLOOKUP(A527,'Aux - pivots1'!$A:$E,4,0)=0, "",VLOOKUP(A527,'Aux - pivots1'!$A:$E,4,0))</f>
        <v>45624</v>
      </c>
      <c r="L527" s="153" t="str">
        <f>IF(VLOOKUP(A527,'Aux - pivots1'!$A:$E,5,0)=0, "",VLOOKUP(A527,'Aux - pivots1'!$A:$E,5,0))</f>
        <v/>
      </c>
      <c r="M527" s="209">
        <v>45593</v>
      </c>
      <c r="N527" s="209"/>
    </row>
    <row r="528" spans="1:14" ht="16.2" hidden="1" customHeight="1" x14ac:dyDescent="0.4">
      <c r="A528" s="30" t="str">
        <f t="shared" si="10"/>
        <v>lt002_instrumentgrss_intrst_incm</v>
      </c>
      <c r="B528" s="142" t="s">
        <v>26</v>
      </c>
      <c r="C528" s="138" t="s">
        <v>26</v>
      </c>
      <c r="D528" s="134" t="s">
        <v>40</v>
      </c>
      <c r="E528" s="137" t="s">
        <v>380</v>
      </c>
      <c r="F528" s="137" t="s">
        <v>421</v>
      </c>
      <c r="G528" s="136" t="str">
        <f>VLOOKUP(A528,Plano_V3!$A$26:$G$592,7,0)</f>
        <v>5. Em Correção</v>
      </c>
      <c r="H528" s="136" t="s">
        <v>617</v>
      </c>
      <c r="I528" s="143" t="s">
        <v>664</v>
      </c>
      <c r="J528" s="153">
        <f>IF(VLOOKUP(A528,'Aux - pivots1'!$A:$E,3,0)=0, "",VLOOKUP(A528,'Aux - pivots1'!$A:$E,3,0))</f>
        <v>45618</v>
      </c>
      <c r="K528" s="153" t="str">
        <f>IF(VLOOKUP(A528,'Aux - pivots1'!$A:$E,4,0)=0, "",VLOOKUP(A528,'Aux - pivots1'!$A:$E,4,0))</f>
        <v/>
      </c>
      <c r="L528" s="153" t="str">
        <f>IF(VLOOKUP(A528,'Aux - pivots1'!$A:$E,5,0)=0, "",VLOOKUP(A528,'Aux - pivots1'!$A:$E,5,0))</f>
        <v/>
      </c>
      <c r="M528" s="209">
        <v>45595</v>
      </c>
      <c r="N528" s="209"/>
    </row>
    <row r="529" spans="1:14" ht="16.2" hidden="1" customHeight="1" x14ac:dyDescent="0.4">
      <c r="A529" s="30" t="str">
        <f t="shared" si="10"/>
        <v>lt002_instrumentgrss_cmmssn_incm</v>
      </c>
      <c r="B529" s="142" t="s">
        <v>26</v>
      </c>
      <c r="C529" s="138" t="s">
        <v>26</v>
      </c>
      <c r="D529" s="134" t="s">
        <v>40</v>
      </c>
      <c r="E529" s="137" t="s">
        <v>380</v>
      </c>
      <c r="F529" s="137" t="s">
        <v>422</v>
      </c>
      <c r="G529" s="136" t="str">
        <f>VLOOKUP(A529,Plano_V3!$A$26:$G$592,7,0)</f>
        <v>5. Em Correção</v>
      </c>
      <c r="H529" s="136" t="s">
        <v>617</v>
      </c>
      <c r="I529" s="143" t="s">
        <v>664</v>
      </c>
      <c r="J529" s="153">
        <f>IF(VLOOKUP(A529,'Aux - pivots1'!$A:$E,3,0)=0, "",VLOOKUP(A529,'Aux - pivots1'!$A:$E,3,0))</f>
        <v>45618</v>
      </c>
      <c r="K529" s="153" t="str">
        <f>IF(VLOOKUP(A529,'Aux - pivots1'!$A:$E,4,0)=0, "",VLOOKUP(A529,'Aux - pivots1'!$A:$E,4,0))</f>
        <v/>
      </c>
      <c r="L529" s="153" t="str">
        <f>IF(VLOOKUP(A529,'Aux - pivots1'!$A:$E,5,0)=0, "",VLOOKUP(A529,'Aux - pivots1'!$A:$E,5,0))</f>
        <v/>
      </c>
      <c r="M529" s="209">
        <v>45595</v>
      </c>
      <c r="N529" s="209"/>
    </row>
    <row r="530" spans="1:14" ht="16.2" hidden="1" customHeight="1" x14ac:dyDescent="0.4">
      <c r="A530" s="30" t="str">
        <f t="shared" si="10"/>
        <v>lt002_instrumentgrss_cmmssn_incm_off_blnc</v>
      </c>
      <c r="B530" s="142" t="s">
        <v>26</v>
      </c>
      <c r="C530" s="138" t="s">
        <v>26</v>
      </c>
      <c r="D530" s="134" t="s">
        <v>40</v>
      </c>
      <c r="E530" s="137" t="s">
        <v>380</v>
      </c>
      <c r="F530" s="137" t="s">
        <v>423</v>
      </c>
      <c r="G530" s="136" t="str">
        <f>VLOOKUP(A530,Plano_V3!$A$26:$G$592,7,0)</f>
        <v>5. Em Correção</v>
      </c>
      <c r="H530" s="136" t="s">
        <v>617</v>
      </c>
      <c r="I530" s="143" t="s">
        <v>664</v>
      </c>
      <c r="J530" s="153">
        <f>IF(VLOOKUP(A530,'Aux - pivots1'!$A:$E,3,0)=0, "",VLOOKUP(A530,'Aux - pivots1'!$A:$E,3,0))</f>
        <v>45618</v>
      </c>
      <c r="K530" s="153" t="str">
        <f>IF(VLOOKUP(A530,'Aux - pivots1'!$A:$E,4,0)=0, "",VLOOKUP(A530,'Aux - pivots1'!$A:$E,4,0))</f>
        <v/>
      </c>
      <c r="L530" s="153" t="str">
        <f>IF(VLOOKUP(A530,'Aux - pivots1'!$A:$E,5,0)=0, "",VLOOKUP(A530,'Aux - pivots1'!$A:$E,5,0))</f>
        <v/>
      </c>
      <c r="M530" s="209">
        <v>45595</v>
      </c>
      <c r="N530" s="209"/>
    </row>
    <row r="531" spans="1:14" ht="16.2" hidden="1" customHeight="1" x14ac:dyDescent="0.4">
      <c r="A531" s="30" t="str">
        <f t="shared" si="10"/>
        <v>lt002_instrumentidcmb</v>
      </c>
      <c r="B531" s="142" t="s">
        <v>26</v>
      </c>
      <c r="C531" s="138" t="s">
        <v>26</v>
      </c>
      <c r="D531" s="134" t="s">
        <v>40</v>
      </c>
      <c r="E531" s="137" t="s">
        <v>380</v>
      </c>
      <c r="F531" s="137" t="s">
        <v>424</v>
      </c>
      <c r="G531" s="136" t="str">
        <f>VLOOKUP(A531,Plano_V3!$A$26:$G$592,7,0)</f>
        <v>1. Concluído</v>
      </c>
      <c r="H531" s="136" t="s">
        <v>614</v>
      </c>
      <c r="I531" s="143" t="s">
        <v>664</v>
      </c>
      <c r="J531" s="153" t="str">
        <f>IF(VLOOKUP(A531,'Aux - pivots1'!$A:$E,3,0)=0, "",VLOOKUP(A531,'Aux - pivots1'!$A:$E,3,0))</f>
        <v/>
      </c>
      <c r="K531" s="153" t="str">
        <f>IF(VLOOKUP(A531,'Aux - pivots1'!$A:$E,4,0)=0, "",VLOOKUP(A531,'Aux - pivots1'!$A:$E,4,0))</f>
        <v/>
      </c>
      <c r="L531" s="153" t="str">
        <f>IF(VLOOKUP(A531,'Aux - pivots1'!$A:$E,5,0)=0, "",VLOOKUP(A531,'Aux - pivots1'!$A:$E,5,0))</f>
        <v/>
      </c>
      <c r="M531" s="209"/>
      <c r="N531" s="209"/>
    </row>
    <row r="532" spans="1:14" ht="16.2" hidden="1" customHeight="1" x14ac:dyDescent="0.4">
      <c r="A532" s="30" t="str">
        <f t="shared" si="10"/>
        <v>lt003_entitycntry</v>
      </c>
      <c r="B532" s="142" t="s">
        <v>26</v>
      </c>
      <c r="C532" s="138" t="s">
        <v>26</v>
      </c>
      <c r="D532" s="134" t="s">
        <v>40</v>
      </c>
      <c r="E532" s="137" t="s">
        <v>336</v>
      </c>
      <c r="F532" s="137" t="s">
        <v>425</v>
      </c>
      <c r="G532" s="136" t="str">
        <f>VLOOKUP(A532,Plano_V3!$A$26:$G$592,7,0)</f>
        <v>1. Concluído</v>
      </c>
      <c r="H532" s="136" t="s">
        <v>614</v>
      </c>
      <c r="I532" s="143" t="s">
        <v>664</v>
      </c>
      <c r="J532" s="153" t="str">
        <f>IF(VLOOKUP(A532,'Aux - pivots1'!$A:$E,3,0)=0, "",VLOOKUP(A532,'Aux - pivots1'!$A:$E,3,0))</f>
        <v/>
      </c>
      <c r="K532" s="153" t="str">
        <f>IF(VLOOKUP(A532,'Aux - pivots1'!$A:$E,4,0)=0, "",VLOOKUP(A532,'Aux - pivots1'!$A:$E,4,0))</f>
        <v/>
      </c>
      <c r="L532" s="153" t="str">
        <f>IF(VLOOKUP(A532,'Aux - pivots1'!$A:$E,5,0)=0, "",VLOOKUP(A532,'Aux - pivots1'!$A:$E,5,0))</f>
        <v/>
      </c>
      <c r="M532" s="209"/>
      <c r="N532" s="209"/>
    </row>
    <row r="533" spans="1:14" ht="16.2" hidden="1" customHeight="1" x14ac:dyDescent="0.4">
      <c r="A533" s="30" t="str">
        <f t="shared" si="10"/>
        <v>lt003_entitydt_rfrnc</v>
      </c>
      <c r="B533" s="142" t="s">
        <v>26</v>
      </c>
      <c r="C533" s="138" t="s">
        <v>26</v>
      </c>
      <c r="D533" s="134" t="s">
        <v>40</v>
      </c>
      <c r="E533" s="137" t="s">
        <v>336</v>
      </c>
      <c r="F533" s="137" t="s">
        <v>399</v>
      </c>
      <c r="G533" s="136" t="str">
        <f>VLOOKUP(A533,Plano_V3!$A$26:$G$592,7,0)</f>
        <v>1. Concluído</v>
      </c>
      <c r="H533" s="136" t="s">
        <v>614</v>
      </c>
      <c r="I533" s="143" t="s">
        <v>664</v>
      </c>
      <c r="J533" s="153" t="str">
        <f>IF(VLOOKUP(A533,'Aux - pivots1'!$A:$E,3,0)=0, "",VLOOKUP(A533,'Aux - pivots1'!$A:$E,3,0))</f>
        <v/>
      </c>
      <c r="K533" s="153" t="str">
        <f>IF(VLOOKUP(A533,'Aux - pivots1'!$A:$E,4,0)=0, "",VLOOKUP(A533,'Aux - pivots1'!$A:$E,4,0))</f>
        <v/>
      </c>
      <c r="L533" s="153" t="str">
        <f>IF(VLOOKUP(A533,'Aux - pivots1'!$A:$E,5,0)=0, "",VLOOKUP(A533,'Aux - pivots1'!$A:$E,5,0))</f>
        <v/>
      </c>
      <c r="M533" s="209"/>
      <c r="N533" s="209"/>
    </row>
    <row r="534" spans="1:14" ht="16.2" hidden="1" customHeight="1" x14ac:dyDescent="0.4">
      <c r="A534" s="30" t="str">
        <f t="shared" si="10"/>
        <v>lt003_entityentty_id</v>
      </c>
      <c r="B534" s="142" t="s">
        <v>26</v>
      </c>
      <c r="C534" s="138" t="s">
        <v>26</v>
      </c>
      <c r="D534" s="134" t="s">
        <v>40</v>
      </c>
      <c r="E534" s="137" t="s">
        <v>336</v>
      </c>
      <c r="F534" s="137" t="s">
        <v>426</v>
      </c>
      <c r="G534" s="136" t="str">
        <f>VLOOKUP(A534,Plano_V3!$A$26:$G$592,7,0)</f>
        <v>1. Concluído</v>
      </c>
      <c r="H534" s="136" t="s">
        <v>614</v>
      </c>
      <c r="I534" s="143" t="s">
        <v>664</v>
      </c>
      <c r="J534" s="153" t="str">
        <f>IF(VLOOKUP(A534,'Aux - pivots1'!$A:$E,3,0)=0, "",VLOOKUP(A534,'Aux - pivots1'!$A:$E,3,0))</f>
        <v/>
      </c>
      <c r="K534" s="153" t="str">
        <f>IF(VLOOKUP(A534,'Aux - pivots1'!$A:$E,4,0)=0, "",VLOOKUP(A534,'Aux - pivots1'!$A:$E,4,0))</f>
        <v/>
      </c>
      <c r="L534" s="153" t="str">
        <f>IF(VLOOKUP(A534,'Aux - pivots1'!$A:$E,5,0)=0, "",VLOOKUP(A534,'Aux - pivots1'!$A:$E,5,0))</f>
        <v/>
      </c>
      <c r="M534" s="209"/>
      <c r="N534" s="209"/>
    </row>
    <row r="535" spans="1:14" ht="16.2" hidden="1" customHeight="1" x14ac:dyDescent="0.4">
      <c r="A535" s="30" t="str">
        <f t="shared" si="10"/>
        <v>lt003_entitylei</v>
      </c>
      <c r="B535" s="142" t="s">
        <v>26</v>
      </c>
      <c r="C535" s="138" t="s">
        <v>26</v>
      </c>
      <c r="D535" s="134" t="s">
        <v>40</v>
      </c>
      <c r="E535" s="137" t="s">
        <v>336</v>
      </c>
      <c r="F535" s="137" t="s">
        <v>427</v>
      </c>
      <c r="G535" s="136" t="str">
        <f>VLOOKUP(A535,Plano_V3!$A$26:$G$592,7,0)</f>
        <v>1. Concluído</v>
      </c>
      <c r="H535" s="136" t="s">
        <v>614</v>
      </c>
      <c r="I535" s="143" t="s">
        <v>664</v>
      </c>
      <c r="J535" s="153" t="str">
        <f>IF(VLOOKUP(A535,'Aux - pivots1'!$A:$E,3,0)=0, "",VLOOKUP(A535,'Aux - pivots1'!$A:$E,3,0))</f>
        <v/>
      </c>
      <c r="K535" s="153" t="str">
        <f>IF(VLOOKUP(A535,'Aux - pivots1'!$A:$E,4,0)=0, "",VLOOKUP(A535,'Aux - pivots1'!$A:$E,4,0))</f>
        <v/>
      </c>
      <c r="L535" s="153" t="str">
        <f>IF(VLOOKUP(A535,'Aux - pivots1'!$A:$E,5,0)=0, "",VLOOKUP(A535,'Aux - pivots1'!$A:$E,5,0))</f>
        <v/>
      </c>
      <c r="M535" s="209"/>
      <c r="N535" s="209"/>
    </row>
    <row r="536" spans="1:14" ht="16.2" hidden="1" customHeight="1" x14ac:dyDescent="0.4">
      <c r="A536" s="30" t="str">
        <f t="shared" ref="A536:A564" si="11">E536&amp;F536</f>
        <v>lt003_entityecnmc_actvty</v>
      </c>
      <c r="B536" s="142" t="s">
        <v>26</v>
      </c>
      <c r="C536" s="138" t="s">
        <v>26</v>
      </c>
      <c r="D536" s="134" t="s">
        <v>40</v>
      </c>
      <c r="E536" s="137" t="s">
        <v>336</v>
      </c>
      <c r="F536" s="137" t="s">
        <v>428</v>
      </c>
      <c r="G536" s="136" t="str">
        <f>VLOOKUP(A536,Plano_V3!$A$26:$G$592,7,0)</f>
        <v>1. Concluído</v>
      </c>
      <c r="H536" s="136" t="s">
        <v>614</v>
      </c>
      <c r="I536" s="143" t="s">
        <v>664</v>
      </c>
      <c r="J536" s="153" t="str">
        <f>IF(VLOOKUP(A536,'Aux - pivots1'!$A:$E,3,0)=0, "",VLOOKUP(A536,'Aux - pivots1'!$A:$E,3,0))</f>
        <v/>
      </c>
      <c r="K536" s="153" t="str">
        <f>IF(VLOOKUP(A536,'Aux - pivots1'!$A:$E,4,0)=0, "",VLOOKUP(A536,'Aux - pivots1'!$A:$E,4,0))</f>
        <v/>
      </c>
      <c r="L536" s="153" t="str">
        <f>IF(VLOOKUP(A536,'Aux - pivots1'!$A:$E,5,0)=0, "",VLOOKUP(A536,'Aux - pivots1'!$A:$E,5,0))</f>
        <v/>
      </c>
      <c r="M536" s="209"/>
      <c r="N536" s="209"/>
    </row>
    <row r="537" spans="1:14" ht="16.2" hidden="1" customHeight="1" x14ac:dyDescent="0.4">
      <c r="A537" s="30" t="str">
        <f t="shared" si="11"/>
        <v>lt003_entitygrp_eqty</v>
      </c>
      <c r="B537" s="142" t="s">
        <v>26</v>
      </c>
      <c r="C537" s="138" t="s">
        <v>26</v>
      </c>
      <c r="D537" s="134" t="s">
        <v>40</v>
      </c>
      <c r="E537" s="137" t="s">
        <v>336</v>
      </c>
      <c r="F537" s="137" t="s">
        <v>429</v>
      </c>
      <c r="G537" s="136" t="str">
        <f>VLOOKUP(A537,Plano_V3!$A$26:$G$592,7,0)</f>
        <v>1. Concluído</v>
      </c>
      <c r="H537" s="136" t="s">
        <v>614</v>
      </c>
      <c r="I537" s="143" t="s">
        <v>664</v>
      </c>
      <c r="J537" s="153" t="str">
        <f>IF(VLOOKUP(A537,'Aux - pivots1'!$A:$E,3,0)=0, "",VLOOKUP(A537,'Aux - pivots1'!$A:$E,3,0))</f>
        <v/>
      </c>
      <c r="K537" s="153" t="str">
        <f>IF(VLOOKUP(A537,'Aux - pivots1'!$A:$E,4,0)=0, "",VLOOKUP(A537,'Aux - pivots1'!$A:$E,4,0))</f>
        <v/>
      </c>
      <c r="L537" s="153" t="str">
        <f>IF(VLOOKUP(A537,'Aux - pivots1'!$A:$E,5,0)=0, "",VLOOKUP(A537,'Aux - pivots1'!$A:$E,5,0))</f>
        <v/>
      </c>
      <c r="M537" s="209"/>
      <c r="N537" s="209"/>
    </row>
    <row r="538" spans="1:14" ht="16.2" hidden="1" customHeight="1" x14ac:dyDescent="0.4">
      <c r="A538" s="30" t="str">
        <f t="shared" si="11"/>
        <v>lt003_entityannl_trnvr_le</v>
      </c>
      <c r="B538" s="142" t="s">
        <v>26</v>
      </c>
      <c r="C538" s="138" t="s">
        <v>26</v>
      </c>
      <c r="D538" s="134" t="s">
        <v>40</v>
      </c>
      <c r="E538" s="137" t="s">
        <v>336</v>
      </c>
      <c r="F538" s="137" t="s">
        <v>430</v>
      </c>
      <c r="G538" s="136" t="str">
        <f>VLOOKUP(A538,Plano_V3!$A$26:$G$592,7,0)</f>
        <v>1. Concluído</v>
      </c>
      <c r="H538" s="136" t="s">
        <v>614</v>
      </c>
      <c r="I538" s="143" t="s">
        <v>664</v>
      </c>
      <c r="J538" s="153" t="str">
        <f>IF(VLOOKUP(A538,'Aux - pivots1'!$A:$E,3,0)=0, "",VLOOKUP(A538,'Aux - pivots1'!$A:$E,3,0))</f>
        <v/>
      </c>
      <c r="K538" s="153" t="str">
        <f>IF(VLOOKUP(A538,'Aux - pivots1'!$A:$E,4,0)=0, "",VLOOKUP(A538,'Aux - pivots1'!$A:$E,4,0))</f>
        <v/>
      </c>
      <c r="L538" s="153" t="str">
        <f>IF(VLOOKUP(A538,'Aux - pivots1'!$A:$E,5,0)=0, "",VLOOKUP(A538,'Aux - pivots1'!$A:$E,5,0))</f>
        <v/>
      </c>
      <c r="M538" s="209"/>
      <c r="N538" s="209"/>
    </row>
    <row r="539" spans="1:14" ht="16.2" hidden="1" customHeight="1" x14ac:dyDescent="0.4">
      <c r="A539" s="30" t="str">
        <f t="shared" si="11"/>
        <v>lt003_entityeqty</v>
      </c>
      <c r="B539" s="142" t="s">
        <v>26</v>
      </c>
      <c r="C539" s="138" t="s">
        <v>26</v>
      </c>
      <c r="D539" s="134" t="s">
        <v>40</v>
      </c>
      <c r="E539" s="137" t="s">
        <v>336</v>
      </c>
      <c r="F539" s="137" t="s">
        <v>431</v>
      </c>
      <c r="G539" s="136" t="str">
        <f>VLOOKUP(A539,Plano_V3!$A$26:$G$592,7,0)</f>
        <v>1. Concluído</v>
      </c>
      <c r="H539" s="136" t="s">
        <v>614</v>
      </c>
      <c r="I539" s="143" t="s">
        <v>664</v>
      </c>
      <c r="J539" s="153" t="str">
        <f>IF(VLOOKUP(A539,'Aux - pivots1'!$A:$E,3,0)=0, "",VLOOKUP(A539,'Aux - pivots1'!$A:$E,3,0))</f>
        <v/>
      </c>
      <c r="K539" s="153" t="str">
        <f>IF(VLOOKUP(A539,'Aux - pivots1'!$A:$E,4,0)=0, "",VLOOKUP(A539,'Aux - pivots1'!$A:$E,4,0))</f>
        <v/>
      </c>
      <c r="L539" s="153" t="str">
        <f>IF(VLOOKUP(A539,'Aux - pivots1'!$A:$E,5,0)=0, "",VLOOKUP(A539,'Aux - pivots1'!$A:$E,5,0))</f>
        <v/>
      </c>
      <c r="M539" s="209"/>
      <c r="N539" s="209"/>
    </row>
    <row r="540" spans="1:14" ht="16.2" hidden="1" customHeight="1" x14ac:dyDescent="0.4">
      <c r="A540" s="30" t="str">
        <f t="shared" si="11"/>
        <v>lt003_entitygrp_ttl_dbt</v>
      </c>
      <c r="B540" s="142" t="s">
        <v>26</v>
      </c>
      <c r="C540" s="138" t="s">
        <v>26</v>
      </c>
      <c r="D540" s="134" t="s">
        <v>40</v>
      </c>
      <c r="E540" s="137" t="s">
        <v>336</v>
      </c>
      <c r="F540" s="137" t="s">
        <v>432</v>
      </c>
      <c r="G540" s="136" t="str">
        <f>VLOOKUP(A540,Plano_V3!$A$26:$G$592,7,0)</f>
        <v>1. Concluído</v>
      </c>
      <c r="H540" s="136" t="s">
        <v>614</v>
      </c>
      <c r="I540" s="143" t="s">
        <v>664</v>
      </c>
      <c r="J540" s="153" t="str">
        <f>IF(VLOOKUP(A540,'Aux - pivots1'!$A:$E,3,0)=0, "",VLOOKUP(A540,'Aux - pivots1'!$A:$E,3,0))</f>
        <v/>
      </c>
      <c r="K540" s="153" t="str">
        <f>IF(VLOOKUP(A540,'Aux - pivots1'!$A:$E,4,0)=0, "",VLOOKUP(A540,'Aux - pivots1'!$A:$E,4,0))</f>
        <v/>
      </c>
      <c r="L540" s="153" t="str">
        <f>IF(VLOOKUP(A540,'Aux - pivots1'!$A:$E,5,0)=0, "",VLOOKUP(A540,'Aux - pivots1'!$A:$E,5,0))</f>
        <v/>
      </c>
      <c r="M540" s="209"/>
      <c r="N540" s="209"/>
    </row>
    <row r="541" spans="1:14" ht="16.2" hidden="1" customHeight="1" x14ac:dyDescent="0.4">
      <c r="A541" s="30" t="str">
        <f t="shared" si="11"/>
        <v>lt003_entityttl_dbt</v>
      </c>
      <c r="B541" s="142" t="s">
        <v>26</v>
      </c>
      <c r="C541" s="138" t="s">
        <v>26</v>
      </c>
      <c r="D541" s="134" t="s">
        <v>40</v>
      </c>
      <c r="E541" s="137" t="s">
        <v>336</v>
      </c>
      <c r="F541" s="137" t="s">
        <v>433</v>
      </c>
      <c r="G541" s="136" t="str">
        <f>VLOOKUP(A541,Plano_V3!$A$26:$G$592,7,0)</f>
        <v>1. Concluído</v>
      </c>
      <c r="H541" s="136" t="s">
        <v>614</v>
      </c>
      <c r="I541" s="143" t="s">
        <v>664</v>
      </c>
      <c r="J541" s="153" t="str">
        <f>IF(VLOOKUP(A541,'Aux - pivots1'!$A:$E,3,0)=0, "",VLOOKUP(A541,'Aux - pivots1'!$A:$E,3,0))</f>
        <v/>
      </c>
      <c r="K541" s="153" t="str">
        <f>IF(VLOOKUP(A541,'Aux - pivots1'!$A:$E,4,0)=0, "",VLOOKUP(A541,'Aux - pivots1'!$A:$E,4,0))</f>
        <v/>
      </c>
      <c r="L541" s="153" t="str">
        <f>IF(VLOOKUP(A541,'Aux - pivots1'!$A:$E,5,0)=0, "",VLOOKUP(A541,'Aux - pivots1'!$A:$E,5,0))</f>
        <v/>
      </c>
      <c r="M541" s="209"/>
      <c r="N541" s="209"/>
    </row>
    <row r="542" spans="1:14" ht="16.2" hidden="1" customHeight="1" x14ac:dyDescent="0.4">
      <c r="A542" s="30" t="str">
        <f t="shared" si="11"/>
        <v>lt003_entitycod_soc</v>
      </c>
      <c r="B542" s="142" t="s">
        <v>26</v>
      </c>
      <c r="C542" s="138" t="s">
        <v>26</v>
      </c>
      <c r="D542" s="134" t="s">
        <v>40</v>
      </c>
      <c r="E542" s="137" t="s">
        <v>336</v>
      </c>
      <c r="F542" s="137" t="s">
        <v>417</v>
      </c>
      <c r="G542" s="136" t="str">
        <f>VLOOKUP(A542,Plano_V3!$A$26:$G$592,7,0)</f>
        <v>1. Concluído</v>
      </c>
      <c r="H542" s="136" t="s">
        <v>614</v>
      </c>
      <c r="I542" s="143" t="s">
        <v>664</v>
      </c>
      <c r="J542" s="153" t="str">
        <f>IF(VLOOKUP(A542,'Aux - pivots1'!$A:$E,3,0)=0, "",VLOOKUP(A542,'Aux - pivots1'!$A:$E,3,0))</f>
        <v/>
      </c>
      <c r="K542" s="153" t="str">
        <f>IF(VLOOKUP(A542,'Aux - pivots1'!$A:$E,4,0)=0, "",VLOOKUP(A542,'Aux - pivots1'!$A:$E,4,0))</f>
        <v/>
      </c>
      <c r="L542" s="153" t="str">
        <f>IF(VLOOKUP(A542,'Aux - pivots1'!$A:$E,5,0)=0, "",VLOOKUP(A542,'Aux - pivots1'!$A:$E,5,0))</f>
        <v/>
      </c>
      <c r="M542" s="209"/>
      <c r="N542" s="209"/>
    </row>
    <row r="543" spans="1:14" ht="16.2" hidden="1" customHeight="1" x14ac:dyDescent="0.4">
      <c r="A543" s="30" t="str">
        <f t="shared" si="11"/>
        <v>lt004_protectiondt_rfrnc</v>
      </c>
      <c r="B543" s="142" t="s">
        <v>26</v>
      </c>
      <c r="C543" s="138" t="s">
        <v>26</v>
      </c>
      <c r="D543" s="134" t="s">
        <v>40</v>
      </c>
      <c r="E543" s="137" t="s">
        <v>369</v>
      </c>
      <c r="F543" s="325" t="s">
        <v>399</v>
      </c>
      <c r="G543" s="136" t="str">
        <f>VLOOKUP(A543,Plano_V3!$A$26:$G$592,7,0)</f>
        <v>1. Concluído</v>
      </c>
      <c r="H543" s="136" t="s">
        <v>614</v>
      </c>
      <c r="I543" s="143" t="s">
        <v>664</v>
      </c>
      <c r="J543" s="153" t="str">
        <f>IF(VLOOKUP(A543,'Aux - pivots1'!$A:$E,3,0)=0, "",VLOOKUP(A543,'Aux - pivots1'!$A:$E,3,0))</f>
        <v/>
      </c>
      <c r="K543" s="153" t="str">
        <f>IF(VLOOKUP(A543,'Aux - pivots1'!$A:$E,4,0)=0, "",VLOOKUP(A543,'Aux - pivots1'!$A:$E,4,0))</f>
        <v/>
      </c>
      <c r="L543" s="153" t="str">
        <f>IF(VLOOKUP(A543,'Aux - pivots1'!$A:$E,5,0)=0, "",VLOOKUP(A543,'Aux - pivots1'!$A:$E,5,0))</f>
        <v/>
      </c>
      <c r="M543" s="209"/>
      <c r="N543" s="209"/>
    </row>
    <row r="544" spans="1:14" ht="16.2" hidden="1" customHeight="1" x14ac:dyDescent="0.4">
      <c r="A544" s="30" t="str">
        <f t="shared" si="11"/>
        <v>lt004_protectionprtctn_id</v>
      </c>
      <c r="B544" s="142" t="s">
        <v>26</v>
      </c>
      <c r="C544" s="138" t="s">
        <v>26</v>
      </c>
      <c r="D544" s="134" t="s">
        <v>40</v>
      </c>
      <c r="E544" s="137" t="s">
        <v>369</v>
      </c>
      <c r="F544" s="325" t="s">
        <v>434</v>
      </c>
      <c r="G544" s="136" t="str">
        <f>VLOOKUP(A544,Plano_V3!$A$26:$G$592,7,0)</f>
        <v>2.1 Em Teste</v>
      </c>
      <c r="H544" s="136" t="s">
        <v>1927</v>
      </c>
      <c r="I544" s="143" t="s">
        <v>664</v>
      </c>
      <c r="J544" s="153">
        <f>IF(VLOOKUP(A544,'Aux - pivots1'!$A:$E,3,0)=0, "",VLOOKUP(A544,'Aux - pivots1'!$A:$E,3,0))</f>
        <v>45589</v>
      </c>
      <c r="K544" s="153">
        <f>IF(VLOOKUP(A544,'Aux - pivots1'!$A:$E,4,0)=0, "",VLOOKUP(A544,'Aux - pivots1'!$A:$E,4,0))</f>
        <v>45611</v>
      </c>
      <c r="L544" s="153">
        <f>IF(VLOOKUP(A544,'Aux - pivots1'!$A:$E,5,0)=0, "",VLOOKUP(A544,'Aux - pivots1'!$A:$E,5,0))</f>
        <v>45611</v>
      </c>
      <c r="M544" s="209">
        <v>45588</v>
      </c>
      <c r="N544" s="209"/>
    </row>
    <row r="545" spans="1:14" ht="16.2" hidden="1" customHeight="1" x14ac:dyDescent="0.4">
      <c r="A545" s="30" t="str">
        <f t="shared" si="11"/>
        <v>lt004_protectionrl_estt_clltrl_lctn</v>
      </c>
      <c r="B545" s="142" t="s">
        <v>26</v>
      </c>
      <c r="C545" s="138" t="s">
        <v>26</v>
      </c>
      <c r="D545" s="134" t="s">
        <v>40</v>
      </c>
      <c r="E545" s="137" t="s">
        <v>369</v>
      </c>
      <c r="F545" s="325" t="s">
        <v>435</v>
      </c>
      <c r="G545" s="136" t="str">
        <f>VLOOKUP(A545,Plano_V3!$A$26:$G$592,7,0)</f>
        <v>2.1 Em Teste</v>
      </c>
      <c r="H545" s="136" t="s">
        <v>1927</v>
      </c>
      <c r="I545" s="143" t="s">
        <v>664</v>
      </c>
      <c r="J545" s="153">
        <f>IF(VLOOKUP(A545,'Aux - pivots1'!$A:$E,3,0)=0, "",VLOOKUP(A545,'Aux - pivots1'!$A:$E,3,0))</f>
        <v>45589</v>
      </c>
      <c r="K545" s="153">
        <f>IF(VLOOKUP(A545,'Aux - pivots1'!$A:$E,4,0)=0, "",VLOOKUP(A545,'Aux - pivots1'!$A:$E,4,0))</f>
        <v>45611</v>
      </c>
      <c r="L545" s="153">
        <f>IF(VLOOKUP(A545,'Aux - pivots1'!$A:$E,5,0)=0, "",VLOOKUP(A545,'Aux - pivots1'!$A:$E,5,0))</f>
        <v>45611</v>
      </c>
      <c r="M545" s="209">
        <v>45588</v>
      </c>
      <c r="N545" s="209"/>
    </row>
    <row r="546" spans="1:14" ht="16.2" hidden="1" customHeight="1" x14ac:dyDescent="0.4">
      <c r="A546" s="30" t="str">
        <f t="shared" si="11"/>
        <v>lt004_protectionrl_estt_pst_cd</v>
      </c>
      <c r="B546" s="142" t="s">
        <v>26</v>
      </c>
      <c r="C546" s="138" t="s">
        <v>26</v>
      </c>
      <c r="D546" s="134" t="s">
        <v>40</v>
      </c>
      <c r="E546" s="137" t="s">
        <v>369</v>
      </c>
      <c r="F546" s="325" t="s">
        <v>436</v>
      </c>
      <c r="G546" s="136" t="str">
        <f>VLOOKUP(A546,Plano_V3!$A$26:$G$592,7,0)</f>
        <v>2.1 Em Teste</v>
      </c>
      <c r="H546" s="136" t="s">
        <v>1927</v>
      </c>
      <c r="I546" s="143" t="s">
        <v>664</v>
      </c>
      <c r="J546" s="153">
        <f>IF(VLOOKUP(A546,'Aux - pivots1'!$A:$E,3,0)=0, "",VLOOKUP(A546,'Aux - pivots1'!$A:$E,3,0))</f>
        <v>45589</v>
      </c>
      <c r="K546" s="153">
        <f>IF(VLOOKUP(A546,'Aux - pivots1'!$A:$E,4,0)=0, "",VLOOKUP(A546,'Aux - pivots1'!$A:$E,4,0))</f>
        <v>45611</v>
      </c>
      <c r="L546" s="153">
        <f>IF(VLOOKUP(A546,'Aux - pivots1'!$A:$E,5,0)=0, "",VLOOKUP(A546,'Aux - pivots1'!$A:$E,5,0))</f>
        <v>45611</v>
      </c>
      <c r="M546" s="209">
        <v>45588</v>
      </c>
      <c r="N546" s="209"/>
    </row>
    <row r="547" spans="1:14" ht="16.2" x14ac:dyDescent="0.4">
      <c r="A547" s="30" t="str">
        <f t="shared" si="11"/>
        <v>lt004_protectiontyp_prtctn</v>
      </c>
      <c r="B547" s="142" t="s">
        <v>26</v>
      </c>
      <c r="C547" s="138" t="s">
        <v>26</v>
      </c>
      <c r="D547" s="134" t="s">
        <v>40</v>
      </c>
      <c r="E547" s="137" t="s">
        <v>369</v>
      </c>
      <c r="F547" s="325" t="s">
        <v>437</v>
      </c>
      <c r="G547" s="136" t="str">
        <f>VLOOKUP(A547,Plano_V3!$A$26:$G$592,7,0)</f>
        <v>6. Em implementação (re-especificação)</v>
      </c>
      <c r="H547" s="136" t="s">
        <v>619</v>
      </c>
      <c r="I547" s="143" t="s">
        <v>1937</v>
      </c>
      <c r="J547" s="153">
        <f>IF(VLOOKUP(A547,'Aux - pivots1'!$A:$E,3,0)=0, "",VLOOKUP(A547,'Aux - pivots1'!$A:$E,3,0))</f>
        <v>45588</v>
      </c>
      <c r="K547" s="153">
        <f>IF(VLOOKUP(A547,'Aux - pivots1'!$A:$E,4,0)=0, "",VLOOKUP(A547,'Aux - pivots1'!$A:$E,4,0))</f>
        <v>45624</v>
      </c>
      <c r="L547" s="153" t="str">
        <f>IF(VLOOKUP(A547,'Aux - pivots1'!$A:$E,5,0)=0, "",VLOOKUP(A547,'Aux - pivots1'!$A:$E,5,0))</f>
        <v/>
      </c>
      <c r="M547" s="209">
        <v>45595</v>
      </c>
      <c r="N547" s="209"/>
    </row>
    <row r="548" spans="1:14" ht="16.2" hidden="1" x14ac:dyDescent="0.4">
      <c r="A548" s="30" t="str">
        <f t="shared" si="11"/>
        <v>lt004_protectionorgnl_prtctn_vl</v>
      </c>
      <c r="B548" s="142" t="s">
        <v>26</v>
      </c>
      <c r="C548" s="138" t="s">
        <v>26</v>
      </c>
      <c r="D548" s="134" t="s">
        <v>40</v>
      </c>
      <c r="E548" s="137" t="s">
        <v>369</v>
      </c>
      <c r="F548" s="325" t="s">
        <v>438</v>
      </c>
      <c r="G548" s="136" t="str">
        <f>VLOOKUP(A548,Plano_V3!$A$26:$G$592,7,0)</f>
        <v>3. Pendente de outros desenvolvimentos</v>
      </c>
      <c r="H548" s="136" t="s">
        <v>615</v>
      </c>
      <c r="I548" s="143" t="s">
        <v>664</v>
      </c>
      <c r="J548" s="153">
        <f>IF(VLOOKUP(A548,'Aux - pivots1'!$A:$E,3,0)=0, "",VLOOKUP(A548,'Aux - pivots1'!$A:$E,3,0))</f>
        <v>45595</v>
      </c>
      <c r="K548" s="153">
        <f>IF(VLOOKUP(A548,'Aux - pivots1'!$A:$E,4,0)=0, "",VLOOKUP(A548,'Aux - pivots1'!$A:$E,4,0))</f>
        <v>45611</v>
      </c>
      <c r="L548" s="153">
        <f>IF(VLOOKUP(A548,'Aux - pivots1'!$A:$E,5,0)=0, "",VLOOKUP(A548,'Aux - pivots1'!$A:$E,5,0))</f>
        <v>45611</v>
      </c>
      <c r="M548" s="209">
        <v>45595</v>
      </c>
      <c r="N548" s="209"/>
    </row>
    <row r="549" spans="1:14" ht="16.2" hidden="1" customHeight="1" x14ac:dyDescent="0.4">
      <c r="A549" s="30" t="str">
        <f t="shared" si="11"/>
        <v>lt004_protectionprtctn_vl</v>
      </c>
      <c r="B549" s="142" t="s">
        <v>26</v>
      </c>
      <c r="C549" s="138" t="s">
        <v>26</v>
      </c>
      <c r="D549" s="134" t="s">
        <v>40</v>
      </c>
      <c r="E549" s="137" t="s">
        <v>369</v>
      </c>
      <c r="F549" s="325" t="s">
        <v>439</v>
      </c>
      <c r="G549" s="136" t="str">
        <f>VLOOKUP(A549,Plano_V3!$A$26:$G$592,7,0)</f>
        <v>6. Em implementação (re-especificação)</v>
      </c>
      <c r="H549" s="136" t="s">
        <v>619</v>
      </c>
      <c r="I549" s="143" t="s">
        <v>664</v>
      </c>
      <c r="J549" s="153">
        <f>IF(VLOOKUP(A549,'Aux - pivots1'!$A:$E,3,0)=0, "",VLOOKUP(A549,'Aux - pivots1'!$A:$E,3,0))</f>
        <v>45589</v>
      </c>
      <c r="K549" s="153">
        <f>IF(VLOOKUP(A549,'Aux - pivots1'!$A:$E,4,0)=0, "",VLOOKUP(A549,'Aux - pivots1'!$A:$E,4,0))</f>
        <v>45624</v>
      </c>
      <c r="L549" s="153" t="str">
        <f>IF(VLOOKUP(A549,'Aux - pivots1'!$A:$E,5,0)=0, "",VLOOKUP(A549,'Aux - pivots1'!$A:$E,5,0))</f>
        <v/>
      </c>
      <c r="M549" s="209">
        <v>45588</v>
      </c>
      <c r="N549" s="209"/>
    </row>
    <row r="550" spans="1:14" ht="16.2" hidden="1" customHeight="1" x14ac:dyDescent="0.4">
      <c r="A550" s="30" t="str">
        <f t="shared" si="11"/>
        <v>lt004_protectioncod_soc</v>
      </c>
      <c r="B550" s="142" t="s">
        <v>26</v>
      </c>
      <c r="C550" s="138" t="s">
        <v>26</v>
      </c>
      <c r="D550" s="134" t="s">
        <v>40</v>
      </c>
      <c r="E550" s="137" t="s">
        <v>369</v>
      </c>
      <c r="F550" s="137" t="s">
        <v>417</v>
      </c>
      <c r="G550" s="136" t="str">
        <f>VLOOKUP(A550,Plano_V3!$A$26:$G$592,7,0)</f>
        <v>1. Concluído</v>
      </c>
      <c r="H550" s="136" t="s">
        <v>614</v>
      </c>
      <c r="I550" s="143" t="s">
        <v>664</v>
      </c>
      <c r="J550" s="153" t="str">
        <f>IF(VLOOKUP(A550,'Aux - pivots1'!$A:$E,3,0)=0, "",VLOOKUP(A550,'Aux - pivots1'!$A:$E,3,0))</f>
        <v/>
      </c>
      <c r="K550" s="153" t="str">
        <f>IF(VLOOKUP(A550,'Aux - pivots1'!$A:$E,4,0)=0, "",VLOOKUP(A550,'Aux - pivots1'!$A:$E,4,0))</f>
        <v/>
      </c>
      <c r="L550" s="153" t="str">
        <f>IF(VLOOKUP(A550,'Aux - pivots1'!$A:$E,5,0)=0, "",VLOOKUP(A550,'Aux - pivots1'!$A:$E,5,0))</f>
        <v/>
      </c>
      <c r="M550" s="209"/>
      <c r="N550" s="209"/>
    </row>
    <row r="551" spans="1:14" ht="16.2" hidden="1" customHeight="1" x14ac:dyDescent="0.4">
      <c r="A551" s="30" t="str">
        <f t="shared" si="11"/>
        <v>lt005_instr_entdt_rfrnc</v>
      </c>
      <c r="B551" s="142" t="s">
        <v>26</v>
      </c>
      <c r="C551" s="138" t="s">
        <v>26</v>
      </c>
      <c r="D551" s="134" t="s">
        <v>40</v>
      </c>
      <c r="E551" s="137" t="s">
        <v>440</v>
      </c>
      <c r="F551" s="137" t="s">
        <v>399</v>
      </c>
      <c r="G551" s="136" t="str">
        <f>VLOOKUP(A551,Plano_V3!$A$26:$G$592,7,0)</f>
        <v>1. Concluído</v>
      </c>
      <c r="H551" s="136" t="s">
        <v>614</v>
      </c>
      <c r="I551" s="143" t="s">
        <v>664</v>
      </c>
      <c r="J551" s="153" t="str">
        <f>IF(VLOOKUP(A551,'Aux - pivots1'!$A:$E,3,0)=0, "",VLOOKUP(A551,'Aux - pivots1'!$A:$E,3,0))</f>
        <v/>
      </c>
      <c r="K551" s="153" t="str">
        <f>IF(VLOOKUP(A551,'Aux - pivots1'!$A:$E,4,0)=0, "",VLOOKUP(A551,'Aux - pivots1'!$A:$E,4,0))</f>
        <v/>
      </c>
      <c r="L551" s="153" t="str">
        <f>IF(VLOOKUP(A551,'Aux - pivots1'!$A:$E,5,0)=0, "",VLOOKUP(A551,'Aux - pivots1'!$A:$E,5,0))</f>
        <v/>
      </c>
      <c r="M551" s="209"/>
      <c r="N551" s="209"/>
    </row>
    <row r="552" spans="1:14" ht="16.2" hidden="1" customHeight="1" x14ac:dyDescent="0.4">
      <c r="A552" s="30" t="str">
        <f t="shared" si="11"/>
        <v>lt005_instr_ententty_id</v>
      </c>
      <c r="B552" s="142" t="s">
        <v>26</v>
      </c>
      <c r="C552" s="138" t="s">
        <v>26</v>
      </c>
      <c r="D552" s="134" t="s">
        <v>40</v>
      </c>
      <c r="E552" s="137" t="s">
        <v>440</v>
      </c>
      <c r="F552" s="137" t="s">
        <v>426</v>
      </c>
      <c r="G552" s="136" t="str">
        <f>VLOOKUP(A552,Plano_V3!$A$26:$G$592,7,0)</f>
        <v>1. Concluído</v>
      </c>
      <c r="H552" s="136" t="s">
        <v>614</v>
      </c>
      <c r="I552" s="143" t="s">
        <v>664</v>
      </c>
      <c r="J552" s="153" t="str">
        <f>IF(VLOOKUP(A552,'Aux - pivots1'!$A:$E,3,0)=0, "",VLOOKUP(A552,'Aux - pivots1'!$A:$E,3,0))</f>
        <v/>
      </c>
      <c r="K552" s="153" t="str">
        <f>IF(VLOOKUP(A552,'Aux - pivots1'!$A:$E,4,0)=0, "",VLOOKUP(A552,'Aux - pivots1'!$A:$E,4,0))</f>
        <v/>
      </c>
      <c r="L552" s="153" t="str">
        <f>IF(VLOOKUP(A552,'Aux - pivots1'!$A:$E,5,0)=0, "",VLOOKUP(A552,'Aux - pivots1'!$A:$E,5,0))</f>
        <v/>
      </c>
      <c r="M552" s="209"/>
      <c r="N552" s="209"/>
    </row>
    <row r="553" spans="1:14" ht="16.2" hidden="1" customHeight="1" x14ac:dyDescent="0.4">
      <c r="A553" s="30" t="str">
        <f t="shared" si="11"/>
        <v>lt005_instr_entinstrmnt_id</v>
      </c>
      <c r="B553" s="142" t="s">
        <v>26</v>
      </c>
      <c r="C553" s="138" t="s">
        <v>26</v>
      </c>
      <c r="D553" s="134" t="s">
        <v>40</v>
      </c>
      <c r="E553" s="137" t="s">
        <v>440</v>
      </c>
      <c r="F553" s="137" t="s">
        <v>401</v>
      </c>
      <c r="G553" s="136" t="str">
        <f>VLOOKUP(A553,Plano_V3!$A$26:$G$592,7,0)</f>
        <v>1. Concluído</v>
      </c>
      <c r="H553" s="136" t="s">
        <v>614</v>
      </c>
      <c r="I553" s="143" t="s">
        <v>664</v>
      </c>
      <c r="J553" s="153" t="str">
        <f>IF(VLOOKUP(A553,'Aux - pivots1'!$A:$E,3,0)=0, "",VLOOKUP(A553,'Aux - pivots1'!$A:$E,3,0))</f>
        <v/>
      </c>
      <c r="K553" s="153" t="str">
        <f>IF(VLOOKUP(A553,'Aux - pivots1'!$A:$E,4,0)=0, "",VLOOKUP(A553,'Aux - pivots1'!$A:$E,4,0))</f>
        <v/>
      </c>
      <c r="L553" s="153" t="str">
        <f>IF(VLOOKUP(A553,'Aux - pivots1'!$A:$E,5,0)=0, "",VLOOKUP(A553,'Aux - pivots1'!$A:$E,5,0))</f>
        <v/>
      </c>
      <c r="M553" s="209"/>
      <c r="N553" s="209"/>
    </row>
    <row r="554" spans="1:14" ht="16.2" hidden="1" customHeight="1" x14ac:dyDescent="0.4">
      <c r="A554" s="30" t="str">
        <f t="shared" si="11"/>
        <v>lt005_instr_entcod_soc</v>
      </c>
      <c r="B554" s="142" t="s">
        <v>26</v>
      </c>
      <c r="C554" s="138" t="s">
        <v>26</v>
      </c>
      <c r="D554" s="134" t="s">
        <v>40</v>
      </c>
      <c r="E554" s="137" t="s">
        <v>440</v>
      </c>
      <c r="F554" s="137" t="s">
        <v>417</v>
      </c>
      <c r="G554" s="136" t="str">
        <f>VLOOKUP(A554,Plano_V3!$A$26:$G$592,7,0)</f>
        <v>1. Concluído</v>
      </c>
      <c r="H554" s="136" t="s">
        <v>614</v>
      </c>
      <c r="I554" s="143" t="s">
        <v>664</v>
      </c>
      <c r="J554" s="153" t="str">
        <f>IF(VLOOKUP(A554,'Aux - pivots1'!$A:$E,3,0)=0, "",VLOOKUP(A554,'Aux - pivots1'!$A:$E,3,0))</f>
        <v/>
      </c>
      <c r="K554" s="153" t="str">
        <f>IF(VLOOKUP(A554,'Aux - pivots1'!$A:$E,4,0)=0, "",VLOOKUP(A554,'Aux - pivots1'!$A:$E,4,0))</f>
        <v/>
      </c>
      <c r="L554" s="153" t="str">
        <f>IF(VLOOKUP(A554,'Aux - pivots1'!$A:$E,5,0)=0, "",VLOOKUP(A554,'Aux - pivots1'!$A:$E,5,0))</f>
        <v/>
      </c>
      <c r="M554" s="209"/>
      <c r="N554" s="209"/>
    </row>
    <row r="555" spans="1:14" ht="16.2" hidden="1" customHeight="1" x14ac:dyDescent="0.4">
      <c r="A555" s="30" t="str">
        <f t="shared" si="11"/>
        <v>lt005_instr_entmn_entty_id</v>
      </c>
      <c r="B555" s="142" t="s">
        <v>26</v>
      </c>
      <c r="C555" s="138" t="s">
        <v>26</v>
      </c>
      <c r="D555" s="134" t="s">
        <v>40</v>
      </c>
      <c r="E555" s="137" t="s">
        <v>440</v>
      </c>
      <c r="F555" s="137" t="s">
        <v>441</v>
      </c>
      <c r="G555" s="136" t="str">
        <f>VLOOKUP(A555,Plano_V3!$A$26:$G$592,7,0)</f>
        <v>1. Concluído</v>
      </c>
      <c r="H555" s="136" t="s">
        <v>614</v>
      </c>
      <c r="I555" s="143" t="s">
        <v>664</v>
      </c>
      <c r="J555" s="153" t="str">
        <f>IF(VLOOKUP(A555,'Aux - pivots1'!$A:$E,3,0)=0, "",VLOOKUP(A555,'Aux - pivots1'!$A:$E,3,0))</f>
        <v/>
      </c>
      <c r="K555" s="153" t="str">
        <f>IF(VLOOKUP(A555,'Aux - pivots1'!$A:$E,4,0)=0, "",VLOOKUP(A555,'Aux - pivots1'!$A:$E,4,0))</f>
        <v/>
      </c>
      <c r="L555" s="153" t="str">
        <f>IF(VLOOKUP(A555,'Aux - pivots1'!$A:$E,5,0)=0, "",VLOOKUP(A555,'Aux - pivots1'!$A:$E,5,0))</f>
        <v/>
      </c>
      <c r="M555" s="209"/>
      <c r="N555" s="209"/>
    </row>
    <row r="556" spans="1:14" ht="16.2" hidden="1" customHeight="1" x14ac:dyDescent="0.4">
      <c r="A556" s="30" t="str">
        <f t="shared" si="11"/>
        <v>lt006_instr_protdt_rfrnc</v>
      </c>
      <c r="B556" s="142" t="s">
        <v>26</v>
      </c>
      <c r="C556" s="138" t="s">
        <v>26</v>
      </c>
      <c r="D556" s="134" t="s">
        <v>40</v>
      </c>
      <c r="E556" s="137" t="s">
        <v>442</v>
      </c>
      <c r="F556" s="137" t="s">
        <v>399</v>
      </c>
      <c r="G556" s="136" t="str">
        <f>VLOOKUP(A556,Plano_V3!$A$26:$G$592,7,0)</f>
        <v>1. Concluído</v>
      </c>
      <c r="H556" s="136" t="s">
        <v>614</v>
      </c>
      <c r="I556" s="143" t="s">
        <v>664</v>
      </c>
      <c r="J556" s="153" t="str">
        <f>IF(VLOOKUP(A556,'Aux - pivots1'!$A:$E,3,0)=0, "",VLOOKUP(A556,'Aux - pivots1'!$A:$E,3,0))</f>
        <v/>
      </c>
      <c r="K556" s="153" t="str">
        <f>IF(VLOOKUP(A556,'Aux - pivots1'!$A:$E,4,0)=0, "",VLOOKUP(A556,'Aux - pivots1'!$A:$E,4,0))</f>
        <v/>
      </c>
      <c r="L556" s="153" t="str">
        <f>IF(VLOOKUP(A556,'Aux - pivots1'!$A:$E,5,0)=0, "",VLOOKUP(A556,'Aux - pivots1'!$A:$E,5,0))</f>
        <v/>
      </c>
      <c r="M556" s="209"/>
      <c r="N556" s="209"/>
    </row>
    <row r="557" spans="1:14" ht="16.2" hidden="1" customHeight="1" x14ac:dyDescent="0.4">
      <c r="A557" s="30" t="str">
        <f t="shared" si="11"/>
        <v>lt006_instr_protinstrmnt_id</v>
      </c>
      <c r="B557" s="142" t="s">
        <v>26</v>
      </c>
      <c r="C557" s="138" t="s">
        <v>26</v>
      </c>
      <c r="D557" s="134" t="s">
        <v>40</v>
      </c>
      <c r="E557" s="137" t="s">
        <v>442</v>
      </c>
      <c r="F557" s="137" t="s">
        <v>401</v>
      </c>
      <c r="G557" s="136" t="str">
        <f>VLOOKUP(A557,Plano_V3!$A$26:$G$592,7,0)</f>
        <v>1. Concluído</v>
      </c>
      <c r="H557" s="136" t="s">
        <v>614</v>
      </c>
      <c r="I557" s="143" t="s">
        <v>664</v>
      </c>
      <c r="J557" s="153" t="str">
        <f>IF(VLOOKUP(A557,'Aux - pivots1'!$A:$E,3,0)=0, "",VLOOKUP(A557,'Aux - pivots1'!$A:$E,3,0))</f>
        <v/>
      </c>
      <c r="K557" s="153" t="str">
        <f>IF(VLOOKUP(A557,'Aux - pivots1'!$A:$E,4,0)=0, "",VLOOKUP(A557,'Aux - pivots1'!$A:$E,4,0))</f>
        <v/>
      </c>
      <c r="L557" s="153" t="str">
        <f>IF(VLOOKUP(A557,'Aux - pivots1'!$A:$E,5,0)=0, "",VLOOKUP(A557,'Aux - pivots1'!$A:$E,5,0))</f>
        <v/>
      </c>
      <c r="M557" s="209"/>
      <c r="N557" s="209"/>
    </row>
    <row r="558" spans="1:14" ht="16.2" hidden="1" customHeight="1" x14ac:dyDescent="0.4">
      <c r="A558" s="30" t="str">
        <f t="shared" si="11"/>
        <v>lt006_instr_protprtctn_id</v>
      </c>
      <c r="B558" s="142" t="s">
        <v>26</v>
      </c>
      <c r="C558" s="138" t="s">
        <v>26</v>
      </c>
      <c r="D558" s="134" t="s">
        <v>40</v>
      </c>
      <c r="E558" s="137" t="s">
        <v>442</v>
      </c>
      <c r="F558" s="137" t="s">
        <v>434</v>
      </c>
      <c r="G558" s="136" t="str">
        <f>VLOOKUP(A558,Plano_V3!$A$26:$G$592,7,0)</f>
        <v>1. Concluído</v>
      </c>
      <c r="H558" s="136" t="s">
        <v>614</v>
      </c>
      <c r="I558" s="143" t="s">
        <v>664</v>
      </c>
      <c r="J558" s="153" t="str">
        <f>IF(VLOOKUP(A558,'Aux - pivots1'!$A:$E,3,0)=0, "",VLOOKUP(A558,'Aux - pivots1'!$A:$E,3,0))</f>
        <v/>
      </c>
      <c r="K558" s="153" t="str">
        <f>IF(VLOOKUP(A558,'Aux - pivots1'!$A:$E,4,0)=0, "",VLOOKUP(A558,'Aux - pivots1'!$A:$E,4,0))</f>
        <v/>
      </c>
      <c r="L558" s="153" t="str">
        <f>IF(VLOOKUP(A558,'Aux - pivots1'!$A:$E,5,0)=0, "",VLOOKUP(A558,'Aux - pivots1'!$A:$E,5,0))</f>
        <v/>
      </c>
      <c r="M558" s="209"/>
      <c r="N558" s="209"/>
    </row>
    <row r="559" spans="1:14" ht="16.2" hidden="1" customHeight="1" x14ac:dyDescent="0.4">
      <c r="A559" s="30" t="str">
        <f t="shared" si="11"/>
        <v>lt006_instr_protprtctn_allctd_vl</v>
      </c>
      <c r="B559" s="142" t="s">
        <v>26</v>
      </c>
      <c r="C559" s="138" t="s">
        <v>26</v>
      </c>
      <c r="D559" s="134" t="s">
        <v>40</v>
      </c>
      <c r="E559" s="137" t="s">
        <v>442</v>
      </c>
      <c r="F559" s="137" t="s">
        <v>443</v>
      </c>
      <c r="G559" s="136" t="str">
        <f>VLOOKUP(A559,Plano_V3!$A$26:$G$592,7,0)</f>
        <v>1. Concluído</v>
      </c>
      <c r="H559" s="136" t="s">
        <v>614</v>
      </c>
      <c r="I559" s="143" t="s">
        <v>664</v>
      </c>
      <c r="J559" s="153" t="str">
        <f>IF(VLOOKUP(A559,'Aux - pivots1'!$A:$E,3,0)=0, "",VLOOKUP(A559,'Aux - pivots1'!$A:$E,3,0))</f>
        <v/>
      </c>
      <c r="K559" s="153" t="str">
        <f>IF(VLOOKUP(A559,'Aux - pivots1'!$A:$E,4,0)=0, "",VLOOKUP(A559,'Aux - pivots1'!$A:$E,4,0))</f>
        <v/>
      </c>
      <c r="L559" s="153" t="str">
        <f>IF(VLOOKUP(A559,'Aux - pivots1'!$A:$E,5,0)=0, "",VLOOKUP(A559,'Aux - pivots1'!$A:$E,5,0))</f>
        <v/>
      </c>
      <c r="M559" s="209"/>
      <c r="N559" s="209"/>
    </row>
    <row r="560" spans="1:14" ht="16.2" hidden="1" customHeight="1" x14ac:dyDescent="0.4">
      <c r="A560" s="30" t="str">
        <f t="shared" si="11"/>
        <v>lt006_instr_protcod_soc</v>
      </c>
      <c r="B560" s="142" t="s">
        <v>26</v>
      </c>
      <c r="C560" s="138" t="s">
        <v>26</v>
      </c>
      <c r="D560" s="134" t="s">
        <v>40</v>
      </c>
      <c r="E560" s="137" t="s">
        <v>442</v>
      </c>
      <c r="F560" s="137" t="s">
        <v>417</v>
      </c>
      <c r="G560" s="136" t="str">
        <f>VLOOKUP(A560,Plano_V3!$A$26:$G$592,7,0)</f>
        <v>1. Concluído</v>
      </c>
      <c r="H560" s="136" t="s">
        <v>614</v>
      </c>
      <c r="I560" s="143" t="s">
        <v>664</v>
      </c>
      <c r="J560" s="153" t="str">
        <f>IF(VLOOKUP(A560,'Aux - pivots1'!$A:$E,3,0)=0, "",VLOOKUP(A560,'Aux - pivots1'!$A:$E,3,0))</f>
        <v/>
      </c>
      <c r="K560" s="153" t="str">
        <f>IF(VLOOKUP(A560,'Aux - pivots1'!$A:$E,4,0)=0, "",VLOOKUP(A560,'Aux - pivots1'!$A:$E,4,0))</f>
        <v/>
      </c>
      <c r="L560" s="153" t="str">
        <f>IF(VLOOKUP(A560,'Aux - pivots1'!$A:$E,5,0)=0, "",VLOOKUP(A560,'Aux - pivots1'!$A:$E,5,0))</f>
        <v/>
      </c>
      <c r="M560" s="209"/>
      <c r="N560" s="209"/>
    </row>
    <row r="561" spans="1:14" ht="16.2" hidden="1" customHeight="1" x14ac:dyDescent="0.4">
      <c r="A561" s="30" t="str">
        <f t="shared" si="11"/>
        <v>lt004_protectionflg_fin</v>
      </c>
      <c r="B561" s="142" t="s">
        <v>26</v>
      </c>
      <c r="C561" s="138" t="s">
        <v>26</v>
      </c>
      <c r="D561" s="134" t="s">
        <v>40</v>
      </c>
      <c r="E561" s="137" t="s">
        <v>369</v>
      </c>
      <c r="F561" s="137" t="s">
        <v>481</v>
      </c>
      <c r="G561" s="136" t="str">
        <f>VLOOKUP(A561,Plano_V3!$A$26:$G$592,7,0)</f>
        <v>6. Em implementação (re-especificação)</v>
      </c>
      <c r="H561" s="136" t="s">
        <v>619</v>
      </c>
      <c r="I561" s="143" t="s">
        <v>1939</v>
      </c>
      <c r="J561" s="153">
        <f>IF(VLOOKUP(A561,'Aux - pivots1'!$A:$E,3,0)=0, "",VLOOKUP(A561,'Aux - pivots1'!$A:$E,3,0))</f>
        <v>45593</v>
      </c>
      <c r="K561" s="153">
        <f>IF(VLOOKUP(A561,'Aux - pivots1'!$A:$E,4,0)=0, "",VLOOKUP(A561,'Aux - pivots1'!$A:$E,4,0))</f>
        <v>45624</v>
      </c>
      <c r="L561" s="153" t="str">
        <f>IF(VLOOKUP(A561,'Aux - pivots1'!$A:$E,5,0)=0, "",VLOOKUP(A561,'Aux - pivots1'!$A:$E,5,0))</f>
        <v/>
      </c>
      <c r="M561" s="209"/>
      <c r="N561" s="209"/>
    </row>
    <row r="562" spans="1:14" ht="16.2" hidden="1" customHeight="1" x14ac:dyDescent="0.4">
      <c r="A562" s="30" t="str">
        <f t="shared" si="11"/>
        <v>lt004_protectionflg_exec</v>
      </c>
      <c r="B562" s="142" t="s">
        <v>26</v>
      </c>
      <c r="C562" s="138" t="s">
        <v>26</v>
      </c>
      <c r="D562" s="134" t="s">
        <v>40</v>
      </c>
      <c r="E562" s="137" t="s">
        <v>369</v>
      </c>
      <c r="F562" s="137" t="s">
        <v>1361</v>
      </c>
      <c r="G562" s="136" t="str">
        <f>VLOOKUP(A562,Plano_V3!$A$26:$G$592,7,0)</f>
        <v>6. Em implementação (re-especificação)</v>
      </c>
      <c r="H562" s="136" t="s">
        <v>619</v>
      </c>
      <c r="I562" s="143" t="s">
        <v>1939</v>
      </c>
      <c r="J562" s="153">
        <f>IF(VLOOKUP(A562,'Aux - pivots1'!$A:$E,3,0)=0, "",VLOOKUP(A562,'Aux - pivots1'!$A:$E,3,0))</f>
        <v>45593</v>
      </c>
      <c r="K562" s="153">
        <f>IF(VLOOKUP(A562,'Aux - pivots1'!$A:$E,4,0)=0, "",VLOOKUP(A562,'Aux - pivots1'!$A:$E,4,0))</f>
        <v>45624</v>
      </c>
      <c r="L562" s="153" t="str">
        <f>IF(VLOOKUP(A562,'Aux - pivots1'!$A:$E,5,0)=0, "",VLOOKUP(A562,'Aux - pivots1'!$A:$E,5,0))</f>
        <v/>
      </c>
      <c r="M562" s="209"/>
      <c r="N562" s="209"/>
    </row>
    <row r="563" spans="1:14" ht="16.2" hidden="1" customHeight="1" x14ac:dyDescent="0.4">
      <c r="A563" s="30" t="str">
        <f t="shared" si="11"/>
        <v>lt004_protectionflg_col</v>
      </c>
      <c r="B563" s="142" t="s">
        <v>26</v>
      </c>
      <c r="C563" s="138" t="s">
        <v>26</v>
      </c>
      <c r="D563" s="134" t="s">
        <v>40</v>
      </c>
      <c r="E563" s="137" t="s">
        <v>369</v>
      </c>
      <c r="F563" s="137" t="s">
        <v>480</v>
      </c>
      <c r="G563" s="136" t="str">
        <f>VLOOKUP(A563,Plano_V3!$A$26:$G$592,7,0)</f>
        <v>6. Em implementação (re-especificação)</v>
      </c>
      <c r="H563" s="136" t="s">
        <v>619</v>
      </c>
      <c r="I563" s="143" t="s">
        <v>1939</v>
      </c>
      <c r="J563" s="153">
        <f>IF(VLOOKUP(A563,'Aux - pivots1'!$A:$E,3,0)=0, "",VLOOKUP(A563,'Aux - pivots1'!$A:$E,3,0))</f>
        <v>45593</v>
      </c>
      <c r="K563" s="153">
        <f>IF(VLOOKUP(A563,'Aux - pivots1'!$A:$E,4,0)=0, "",VLOOKUP(A563,'Aux - pivots1'!$A:$E,4,0))</f>
        <v>45624</v>
      </c>
      <c r="L563" s="153" t="str">
        <f>IF(VLOOKUP(A563,'Aux - pivots1'!$A:$E,5,0)=0, "",VLOOKUP(A563,'Aux - pivots1'!$A:$E,5,0))</f>
        <v/>
      </c>
      <c r="M563" s="209"/>
      <c r="N563" s="209"/>
    </row>
    <row r="564" spans="1:14" ht="16.2" hidden="1" customHeight="1" x14ac:dyDescent="0.4">
      <c r="A564" s="30" t="str">
        <f t="shared" si="11"/>
        <v>lt004_protectionflg_pro</v>
      </c>
      <c r="B564" s="142" t="s">
        <v>26</v>
      </c>
      <c r="C564" s="138" t="s">
        <v>26</v>
      </c>
      <c r="D564" s="134" t="s">
        <v>40</v>
      </c>
      <c r="E564" s="137" t="s">
        <v>369</v>
      </c>
      <c r="F564" s="137" t="s">
        <v>482</v>
      </c>
      <c r="G564" s="136" t="str">
        <f>VLOOKUP(A564,Plano_V3!$A$26:$G$592,7,0)</f>
        <v>6. Em implementação (re-especificação)</v>
      </c>
      <c r="H564" s="136" t="s">
        <v>619</v>
      </c>
      <c r="I564" s="143" t="s">
        <v>1939</v>
      </c>
      <c r="J564" s="153">
        <f>IF(VLOOKUP(A564,'Aux - pivots1'!$A:$E,3,0)=0, "",VLOOKUP(A564,'Aux - pivots1'!$A:$E,3,0))</f>
        <v>45593</v>
      </c>
      <c r="K564" s="153">
        <f>IF(VLOOKUP(A564,'Aux - pivots1'!$A:$E,4,0)=0, "",VLOOKUP(A564,'Aux - pivots1'!$A:$E,4,0))</f>
        <v>45624</v>
      </c>
      <c r="L564" s="153" t="str">
        <f>IF(VLOOKUP(A564,'Aux - pivots1'!$A:$E,5,0)=0, "",VLOOKUP(A564,'Aux - pivots1'!$A:$E,5,0))</f>
        <v/>
      </c>
      <c r="M564" s="209"/>
      <c r="N564" s="209"/>
    </row>
    <row r="565" spans="1:14" ht="16.2" hidden="1" customHeight="1" x14ac:dyDescent="0.4">
      <c r="A565" s="30" t="str">
        <f t="shared" ref="A565:A574" si="12">E565&amp;F565</f>
        <v>modesg_inp_emss_nacenome_regiao</v>
      </c>
      <c r="B565" s="142" t="s">
        <v>26</v>
      </c>
      <c r="C565" s="138" t="s">
        <v>181</v>
      </c>
      <c r="D565" s="134" t="s">
        <v>40</v>
      </c>
      <c r="E565" s="135" t="s">
        <v>219</v>
      </c>
      <c r="F565" s="134" t="s">
        <v>221</v>
      </c>
      <c r="G565" s="136" t="s">
        <v>613</v>
      </c>
      <c r="H565" s="136" t="s">
        <v>613</v>
      </c>
      <c r="I565" s="143"/>
      <c r="J565" s="153" t="str">
        <f>IF(VLOOKUP(A565,'Aux - pivots1'!$A:$E,3,0)=0, "",VLOOKUP(A565,'Aux - pivots1'!$A:$E,3,0))</f>
        <v/>
      </c>
      <c r="K565" s="153" t="str">
        <f>IF(VLOOKUP(A565,'Aux - pivots1'!$A:$E,4,0)=0, "",VLOOKUP(A565,'Aux - pivots1'!$A:$E,4,0))</f>
        <v/>
      </c>
      <c r="L565" s="153" t="str">
        <f>IF(VLOOKUP(A565,'Aux - pivots1'!$A:$E,5,0)=0, "",VLOOKUP(A565,'Aux - pivots1'!$A:$E,5,0))</f>
        <v/>
      </c>
      <c r="M565" s="209"/>
      <c r="N565" s="209"/>
    </row>
    <row r="566" spans="1:14" ht="16.2" hidden="1" customHeight="1" x14ac:dyDescent="0.4">
      <c r="A566" s="30" t="str">
        <f t="shared" si="12"/>
        <v>modesg_inp_emss_nacearea_atividade</v>
      </c>
      <c r="B566" s="142" t="s">
        <v>26</v>
      </c>
      <c r="C566" s="138" t="s">
        <v>181</v>
      </c>
      <c r="D566" s="134" t="s">
        <v>40</v>
      </c>
      <c r="E566" s="135" t="s">
        <v>219</v>
      </c>
      <c r="F566" s="134" t="s">
        <v>665</v>
      </c>
      <c r="G566" s="136" t="s">
        <v>613</v>
      </c>
      <c r="H566" s="136" t="s">
        <v>613</v>
      </c>
      <c r="I566" s="143"/>
      <c r="J566" s="153" t="str">
        <f>IF(VLOOKUP(A566,'Aux - pivots1'!$A:$E,3,0)=0, "",VLOOKUP(A566,'Aux - pivots1'!$A:$E,3,0))</f>
        <v/>
      </c>
      <c r="K566" s="153" t="str">
        <f>IF(VLOOKUP(A566,'Aux - pivots1'!$A:$E,4,0)=0, "",VLOOKUP(A566,'Aux - pivots1'!$A:$E,4,0))</f>
        <v/>
      </c>
      <c r="L566" s="153" t="str">
        <f>IF(VLOOKUP(A566,'Aux - pivots1'!$A:$E,5,0)=0, "",VLOOKUP(A566,'Aux - pivots1'!$A:$E,5,0))</f>
        <v/>
      </c>
      <c r="M566" s="209"/>
      <c r="N566" s="209"/>
    </row>
    <row r="567" spans="1:14" ht="16.2" hidden="1" customHeight="1" x14ac:dyDescent="0.4">
      <c r="A567" s="30" t="str">
        <f t="shared" si="12"/>
        <v>modesg_inp_emss_nacetipo_atividade</v>
      </c>
      <c r="B567" s="142" t="s">
        <v>26</v>
      </c>
      <c r="C567" s="138" t="s">
        <v>181</v>
      </c>
      <c r="D567" s="134" t="s">
        <v>40</v>
      </c>
      <c r="E567" s="135" t="s">
        <v>219</v>
      </c>
      <c r="F567" s="134" t="s">
        <v>666</v>
      </c>
      <c r="G567" s="136" t="s">
        <v>613</v>
      </c>
      <c r="H567" s="136" t="s">
        <v>613</v>
      </c>
      <c r="I567" s="143"/>
      <c r="J567" s="153" t="str">
        <f>IF(VLOOKUP(A567,'Aux - pivots1'!$A:$E,3,0)=0, "",VLOOKUP(A567,'Aux - pivots1'!$A:$E,3,0))</f>
        <v/>
      </c>
      <c r="K567" s="153" t="str">
        <f>IF(VLOOKUP(A567,'Aux - pivots1'!$A:$E,4,0)=0, "",VLOOKUP(A567,'Aux - pivots1'!$A:$E,4,0))</f>
        <v/>
      </c>
      <c r="L567" s="153" t="str">
        <f>IF(VLOOKUP(A567,'Aux - pivots1'!$A:$E,5,0)=0, "",VLOOKUP(A567,'Aux - pivots1'!$A:$E,5,0))</f>
        <v/>
      </c>
      <c r="M567" s="209"/>
      <c r="N567" s="209"/>
    </row>
    <row r="568" spans="1:14" ht="16.2" hidden="1" customHeight="1" x14ac:dyDescent="0.4">
      <c r="A568" s="30" t="str">
        <f t="shared" si="12"/>
        <v>modesg_inp_emss_nacesub_tipo_atividade_1</v>
      </c>
      <c r="B568" s="142" t="s">
        <v>26</v>
      </c>
      <c r="C568" s="138" t="s">
        <v>181</v>
      </c>
      <c r="D568" s="134" t="s">
        <v>40</v>
      </c>
      <c r="E568" s="135" t="s">
        <v>219</v>
      </c>
      <c r="F568" s="134" t="s">
        <v>667</v>
      </c>
      <c r="G568" s="136" t="s">
        <v>613</v>
      </c>
      <c r="H568" s="136" t="s">
        <v>613</v>
      </c>
      <c r="I568" s="143"/>
      <c r="J568" s="153" t="str">
        <f>IF(VLOOKUP(A568,'Aux - pivots1'!$A:$E,3,0)=0, "",VLOOKUP(A568,'Aux - pivots1'!$A:$E,3,0))</f>
        <v/>
      </c>
      <c r="K568" s="153" t="str">
        <f>IF(VLOOKUP(A568,'Aux - pivots1'!$A:$E,4,0)=0, "",VLOOKUP(A568,'Aux - pivots1'!$A:$E,4,0))</f>
        <v/>
      </c>
      <c r="L568" s="153" t="str">
        <f>IF(VLOOKUP(A568,'Aux - pivots1'!$A:$E,5,0)=0, "",VLOOKUP(A568,'Aux - pivots1'!$A:$E,5,0))</f>
        <v/>
      </c>
      <c r="M568" s="209"/>
      <c r="N568" s="209"/>
    </row>
    <row r="569" spans="1:14" ht="16.2" hidden="1" customHeight="1" x14ac:dyDescent="0.4">
      <c r="A569" s="30" t="str">
        <f t="shared" si="12"/>
        <v>modesg_inp_emss_nacesub_tipo_atividade_2</v>
      </c>
      <c r="B569" s="142" t="s">
        <v>26</v>
      </c>
      <c r="C569" s="138" t="s">
        <v>181</v>
      </c>
      <c r="D569" s="134" t="s">
        <v>40</v>
      </c>
      <c r="E569" s="135" t="s">
        <v>219</v>
      </c>
      <c r="F569" s="134" t="s">
        <v>668</v>
      </c>
      <c r="G569" s="136" t="s">
        <v>613</v>
      </c>
      <c r="H569" s="136" t="s">
        <v>613</v>
      </c>
      <c r="I569" s="143"/>
      <c r="J569" s="153" t="str">
        <f>IF(VLOOKUP(A569,'Aux - pivots1'!$A:$E,3,0)=0, "",VLOOKUP(A569,'Aux - pivots1'!$A:$E,3,0))</f>
        <v/>
      </c>
      <c r="K569" s="153" t="str">
        <f>IF(VLOOKUP(A569,'Aux - pivots1'!$A:$E,4,0)=0, "",VLOOKUP(A569,'Aux - pivots1'!$A:$E,4,0))</f>
        <v/>
      </c>
      <c r="L569" s="153" t="str">
        <f>IF(VLOOKUP(A569,'Aux - pivots1'!$A:$E,5,0)=0, "",VLOOKUP(A569,'Aux - pivots1'!$A:$E,5,0))</f>
        <v/>
      </c>
      <c r="M569" s="209"/>
      <c r="N569" s="209"/>
    </row>
    <row r="570" spans="1:14" ht="16.2" hidden="1" customHeight="1" x14ac:dyDescent="0.4">
      <c r="A570" s="30" t="str">
        <f t="shared" si="12"/>
        <v>modesg_inp_emss_naceunidades_unidade_funcional</v>
      </c>
      <c r="B570" s="142" t="s">
        <v>26</v>
      </c>
      <c r="C570" s="138" t="s">
        <v>181</v>
      </c>
      <c r="D570" s="134" t="s">
        <v>40</v>
      </c>
      <c r="E570" s="135" t="s">
        <v>219</v>
      </c>
      <c r="F570" s="134" t="s">
        <v>669</v>
      </c>
      <c r="G570" s="136" t="s">
        <v>613</v>
      </c>
      <c r="H570" s="136" t="s">
        <v>613</v>
      </c>
      <c r="I570" s="143"/>
      <c r="J570" s="153" t="str">
        <f>IF(VLOOKUP(A570,'Aux - pivots1'!$A:$E,3,0)=0, "",VLOOKUP(A570,'Aux - pivots1'!$A:$E,3,0))</f>
        <v/>
      </c>
      <c r="K570" s="153" t="str">
        <f>IF(VLOOKUP(A570,'Aux - pivots1'!$A:$E,4,0)=0, "",VLOOKUP(A570,'Aux - pivots1'!$A:$E,4,0))</f>
        <v/>
      </c>
      <c r="L570" s="153" t="str">
        <f>IF(VLOOKUP(A570,'Aux - pivots1'!$A:$E,5,0)=0, "",VLOOKUP(A570,'Aux - pivots1'!$A:$E,5,0))</f>
        <v/>
      </c>
      <c r="M570" s="209"/>
      <c r="N570" s="209"/>
    </row>
    <row r="571" spans="1:14" ht="16.2" hidden="1" customHeight="1" x14ac:dyDescent="0.4">
      <c r="A571" s="30" t="str">
        <f t="shared" si="12"/>
        <v>modesg_inp_emss_nacefator_emissao</v>
      </c>
      <c r="B571" s="142" t="s">
        <v>26</v>
      </c>
      <c r="C571" s="138" t="s">
        <v>181</v>
      </c>
      <c r="D571" s="134" t="s">
        <v>40</v>
      </c>
      <c r="E571" s="135" t="s">
        <v>219</v>
      </c>
      <c r="F571" s="134" t="s">
        <v>670</v>
      </c>
      <c r="G571" s="136" t="s">
        <v>613</v>
      </c>
      <c r="H571" s="136" t="s">
        <v>613</v>
      </c>
      <c r="I571" s="143"/>
      <c r="J571" s="153" t="str">
        <f>IF(VLOOKUP(A571,'Aux - pivots1'!$A:$E,3,0)=0, "",VLOOKUP(A571,'Aux - pivots1'!$A:$E,3,0))</f>
        <v/>
      </c>
      <c r="K571" s="153" t="str">
        <f>IF(VLOOKUP(A571,'Aux - pivots1'!$A:$E,4,0)=0, "",VLOOKUP(A571,'Aux - pivots1'!$A:$E,4,0))</f>
        <v/>
      </c>
      <c r="L571" s="153" t="str">
        <f>IF(VLOOKUP(A571,'Aux - pivots1'!$A:$E,5,0)=0, "",VLOOKUP(A571,'Aux - pivots1'!$A:$E,5,0))</f>
        <v/>
      </c>
      <c r="M571" s="209"/>
      <c r="N571" s="209"/>
    </row>
    <row r="572" spans="1:14" ht="16.2" hidden="1" customHeight="1" x14ac:dyDescent="0.4">
      <c r="A572" s="30" t="str">
        <f t="shared" si="12"/>
        <v>modesg_inp_km_medios_emss_vclsmedia_scp1_emss</v>
      </c>
      <c r="B572" s="142" t="s">
        <v>26</v>
      </c>
      <c r="C572" s="138" t="s">
        <v>181</v>
      </c>
      <c r="D572" s="134" t="s">
        <v>40</v>
      </c>
      <c r="E572" s="135" t="s">
        <v>214</v>
      </c>
      <c r="F572" s="134" t="s">
        <v>671</v>
      </c>
      <c r="G572" s="136" t="s">
        <v>613</v>
      </c>
      <c r="H572" s="136" t="s">
        <v>613</v>
      </c>
      <c r="I572" s="143"/>
      <c r="J572" s="153" t="str">
        <f>IF(VLOOKUP(A572,'Aux - pivots1'!$A:$E,3,0)=0, "",VLOOKUP(A572,'Aux - pivots1'!$A:$E,3,0))</f>
        <v/>
      </c>
      <c r="K572" s="153" t="str">
        <f>IF(VLOOKUP(A572,'Aux - pivots1'!$A:$E,4,0)=0, "",VLOOKUP(A572,'Aux - pivots1'!$A:$E,4,0))</f>
        <v/>
      </c>
      <c r="L572" s="153" t="str">
        <f>IF(VLOOKUP(A572,'Aux - pivots1'!$A:$E,5,0)=0, "",VLOOKUP(A572,'Aux - pivots1'!$A:$E,5,0))</f>
        <v/>
      </c>
      <c r="M572" s="209"/>
      <c r="N572" s="209"/>
    </row>
    <row r="573" spans="1:14" ht="16.2" hidden="1" customHeight="1" x14ac:dyDescent="0.4">
      <c r="A573" s="30" t="str">
        <f t="shared" si="12"/>
        <v>modesg_inp_km_medios_emss_vclsmedia_scp2_emss</v>
      </c>
      <c r="B573" s="142" t="s">
        <v>26</v>
      </c>
      <c r="C573" s="138" t="s">
        <v>181</v>
      </c>
      <c r="D573" s="134" t="s">
        <v>40</v>
      </c>
      <c r="E573" s="135" t="s">
        <v>214</v>
      </c>
      <c r="F573" s="134" t="s">
        <v>672</v>
      </c>
      <c r="G573" s="136" t="s">
        <v>613</v>
      </c>
      <c r="H573" s="136" t="s">
        <v>613</v>
      </c>
      <c r="I573" s="143"/>
      <c r="J573" s="153" t="str">
        <f>IF(VLOOKUP(A573,'Aux - pivots1'!$A:$E,3,0)=0, "",VLOOKUP(A573,'Aux - pivots1'!$A:$E,3,0))</f>
        <v/>
      </c>
      <c r="K573" s="153" t="str">
        <f>IF(VLOOKUP(A573,'Aux - pivots1'!$A:$E,4,0)=0, "",VLOOKUP(A573,'Aux - pivots1'!$A:$E,4,0))</f>
        <v/>
      </c>
      <c r="L573" s="153" t="str">
        <f>IF(VLOOKUP(A573,'Aux - pivots1'!$A:$E,5,0)=0, "",VLOOKUP(A573,'Aux - pivots1'!$A:$E,5,0))</f>
        <v/>
      </c>
      <c r="M573" s="209"/>
      <c r="N573" s="209"/>
    </row>
    <row r="574" spans="1:14" ht="16.2" hidden="1" customHeight="1" x14ac:dyDescent="0.4">
      <c r="A574" s="30" t="str">
        <f t="shared" si="12"/>
        <v>modesg_inp_km_medios_emss_vclsmedia_scp3_emss</v>
      </c>
      <c r="B574" s="146" t="s">
        <v>26</v>
      </c>
      <c r="C574" s="147" t="s">
        <v>181</v>
      </c>
      <c r="D574" s="148" t="s">
        <v>40</v>
      </c>
      <c r="E574" s="149" t="s">
        <v>214</v>
      </c>
      <c r="F574" s="148" t="s">
        <v>673</v>
      </c>
      <c r="G574" s="150" t="s">
        <v>613</v>
      </c>
      <c r="H574" s="150" t="s">
        <v>613</v>
      </c>
      <c r="I574" s="151"/>
      <c r="J574" s="153" t="str">
        <f>IF(VLOOKUP(A574,'Aux - pivots1'!$A:$E,3,0)=0, "",VLOOKUP(A574,'Aux - pivots1'!$A:$E,3,0))</f>
        <v/>
      </c>
      <c r="K574" s="153" t="str">
        <f>IF(VLOOKUP(A574,'Aux - pivots1'!$A:$E,4,0)=0, "",VLOOKUP(A574,'Aux - pivots1'!$A:$E,4,0))</f>
        <v/>
      </c>
      <c r="L574" s="153" t="str">
        <f>IF(VLOOKUP(A574,'Aux - pivots1'!$A:$E,5,0)=0, "",VLOOKUP(A574,'Aux - pivots1'!$A:$E,5,0))</f>
        <v/>
      </c>
      <c r="M574" s="211"/>
      <c r="N574" s="211"/>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7.399999999999999" zeroHeight="1" outlineLevelRow="1" x14ac:dyDescent="0.45"/>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x14ac:dyDescent="0.45">
      <c r="AK1" s="118"/>
    </row>
    <row r="2" spans="1:150" s="26" customFormat="1" x14ac:dyDescent="0.45"/>
    <row r="3" spans="1:150" s="26" customFormat="1" x14ac:dyDescent="0.45"/>
    <row r="4" spans="1:150" s="26" customFormat="1" ht="4.95" customHeight="1" x14ac:dyDescent="0.45">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x14ac:dyDescent="0.45">
      <c r="M5" s="26"/>
      <c r="N5" s="26"/>
      <c r="O5" s="26"/>
      <c r="R5" s="91"/>
    </row>
    <row r="6" spans="1:150" hidden="1" x14ac:dyDescent="0.45">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x14ac:dyDescent="0.45">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x14ac:dyDescent="0.45">
      <c r="M8" s="26"/>
      <c r="N8" s="26"/>
      <c r="O8" s="26"/>
    </row>
    <row r="9" spans="1:150" hidden="1" x14ac:dyDescent="0.45">
      <c r="M9" s="26"/>
      <c r="N9" s="26"/>
      <c r="O9" s="26"/>
      <c r="Q9" s="17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x14ac:dyDescent="0.45">
      <c r="M10" s="26"/>
      <c r="N10" s="26"/>
      <c r="O10" s="26"/>
      <c r="R10" s="91">
        <f t="shared" ref="R10:AW10" si="5">SUBTOTAL(9,R14:R592)</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SUBTOTAL(9,AX14:AX592)</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SUBTOTAL(9,CD14:CD592)</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SUBTOTAL(9,DJ14:DJ592)</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x14ac:dyDescent="0.45">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x14ac:dyDescent="0.45">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x14ac:dyDescent="0.25">
      <c r="B13" s="197" t="s">
        <v>8</v>
      </c>
      <c r="C13" s="185" t="s">
        <v>9</v>
      </c>
      <c r="D13" s="185" t="s">
        <v>10</v>
      </c>
      <c r="E13" s="185" t="s">
        <v>11</v>
      </c>
      <c r="F13" s="185" t="s">
        <v>12</v>
      </c>
      <c r="G13" s="185" t="s">
        <v>13</v>
      </c>
      <c r="H13" s="185" t="s">
        <v>14</v>
      </c>
      <c r="I13" s="185" t="s">
        <v>15</v>
      </c>
      <c r="J13" s="185" t="s">
        <v>16</v>
      </c>
      <c r="K13" s="185" t="s">
        <v>17</v>
      </c>
      <c r="L13" s="185" t="s">
        <v>18</v>
      </c>
      <c r="M13" s="185" t="s">
        <v>19</v>
      </c>
      <c r="N13" s="185" t="s">
        <v>20</v>
      </c>
      <c r="O13" s="185" t="s">
        <v>21</v>
      </c>
      <c r="P13" s="198"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x14ac:dyDescent="0.25">
      <c r="B14" s="83" t="s">
        <v>24</v>
      </c>
      <c r="C14" s="84"/>
      <c r="D14" s="84"/>
      <c r="E14" s="84"/>
      <c r="F14" s="84"/>
      <c r="G14" s="84"/>
      <c r="H14" s="84"/>
      <c r="I14" s="180">
        <f>SUM(I15:I17)</f>
        <v>160</v>
      </c>
      <c r="J14" s="180">
        <f>SUM(J15:J17)</f>
        <v>20</v>
      </c>
      <c r="K14" s="180">
        <f>I14</f>
        <v>160</v>
      </c>
      <c r="L14" s="180">
        <f>J14</f>
        <v>20</v>
      </c>
      <c r="M14" s="181">
        <f>SUMPRODUCT(M15:M17,I15:I17)/I14</f>
        <v>1</v>
      </c>
      <c r="N14" s="181">
        <f>SUMPRODUCT(N15:N17,J15:J17)/J14</f>
        <v>1</v>
      </c>
      <c r="O14" s="181">
        <f>N14-M14</f>
        <v>0</v>
      </c>
      <c r="P14" s="183"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x14ac:dyDescent="0.25">
      <c r="B15" s="64" t="s">
        <v>26</v>
      </c>
      <c r="C15" s="97" t="s">
        <v>27</v>
      </c>
      <c r="D15" s="97"/>
      <c r="E15" s="97"/>
      <c r="F15" s="97"/>
      <c r="G15" s="97" t="s">
        <v>28</v>
      </c>
      <c r="H15" s="97"/>
      <c r="I15" s="187">
        <f>J15*8</f>
        <v>40</v>
      </c>
      <c r="J15" s="187">
        <v>5</v>
      </c>
      <c r="K15" s="187"/>
      <c r="L15" s="187"/>
      <c r="M15" s="192">
        <f>100%</f>
        <v>1</v>
      </c>
      <c r="N15" s="192">
        <f>100%</f>
        <v>1</v>
      </c>
      <c r="O15" s="192">
        <f t="shared" ref="O15:O17" si="13">N15-M15</f>
        <v>0</v>
      </c>
      <c r="P15" s="193"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x14ac:dyDescent="0.25">
      <c r="B16" s="64" t="s">
        <v>26</v>
      </c>
      <c r="C16" s="97" t="s">
        <v>29</v>
      </c>
      <c r="D16" s="97"/>
      <c r="E16" s="104"/>
      <c r="F16" s="97"/>
      <c r="G16" s="97" t="s">
        <v>28</v>
      </c>
      <c r="H16" s="97"/>
      <c r="I16" s="187">
        <f>J16*8</f>
        <v>80</v>
      </c>
      <c r="J16" s="187">
        <v>10</v>
      </c>
      <c r="K16" s="187"/>
      <c r="L16" s="187"/>
      <c r="M16" s="192">
        <f>100%</f>
        <v>1</v>
      </c>
      <c r="N16" s="192">
        <f>100%</f>
        <v>1</v>
      </c>
      <c r="O16" s="192">
        <f t="shared" si="13"/>
        <v>0</v>
      </c>
      <c r="P16" s="193"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x14ac:dyDescent="0.25">
      <c r="B17" s="64" t="s">
        <v>26</v>
      </c>
      <c r="C17" s="103" t="s">
        <v>30</v>
      </c>
      <c r="D17" s="97"/>
      <c r="E17" s="97"/>
      <c r="F17" s="97"/>
      <c r="G17" s="97" t="s">
        <v>28</v>
      </c>
      <c r="H17" s="97"/>
      <c r="I17" s="187">
        <f>J17*8</f>
        <v>40</v>
      </c>
      <c r="J17" s="187">
        <v>5</v>
      </c>
      <c r="K17" s="187"/>
      <c r="L17" s="187"/>
      <c r="M17" s="192">
        <f>100%</f>
        <v>1</v>
      </c>
      <c r="N17" s="192">
        <f>100%</f>
        <v>1</v>
      </c>
      <c r="O17" s="192">
        <f t="shared" si="13"/>
        <v>0</v>
      </c>
      <c r="P17" s="193"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x14ac:dyDescent="0.45">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x14ac:dyDescent="0.25">
      <c r="B19" s="83" t="s">
        <v>32</v>
      </c>
      <c r="C19" s="84"/>
      <c r="D19" s="84"/>
      <c r="E19" s="84"/>
      <c r="F19" s="84"/>
      <c r="G19" s="84"/>
      <c r="H19" s="84"/>
      <c r="I19" s="180">
        <f>SUM(I20:I22)</f>
        <v>120</v>
      </c>
      <c r="J19" s="180">
        <f>SUM(J20:J22)</f>
        <v>15</v>
      </c>
      <c r="K19" s="186">
        <f>N19*I19</f>
        <v>118.8</v>
      </c>
      <c r="L19" s="186">
        <f>N19*J19</f>
        <v>14.85</v>
      </c>
      <c r="M19" s="181">
        <f>SUMPRODUCT(M20:M23,I20:I23)/I19</f>
        <v>0.93333333333333335</v>
      </c>
      <c r="N19" s="181">
        <f>SUMPRODUCT(N20:N22,J20:J22)/J19</f>
        <v>0.99</v>
      </c>
      <c r="O19" s="181">
        <f t="shared" ref="O19:O22" si="14">N19-M19</f>
        <v>5.6666666666666643E-2</v>
      </c>
      <c r="P19" s="183"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x14ac:dyDescent="0.25">
      <c r="B20" s="64" t="s">
        <v>26</v>
      </c>
      <c r="C20" s="97" t="s">
        <v>27</v>
      </c>
      <c r="D20" s="97"/>
      <c r="E20" s="97"/>
      <c r="F20" s="97"/>
      <c r="G20" s="97" t="s">
        <v>28</v>
      </c>
      <c r="H20" s="97"/>
      <c r="I20" s="187">
        <f>J20*8</f>
        <v>40</v>
      </c>
      <c r="J20" s="187">
        <v>5</v>
      </c>
      <c r="K20" s="187"/>
      <c r="L20" s="187"/>
      <c r="M20" s="192">
        <f>SUMIFS(R20:ES20,$R$9:$ES$9,"S")/J20</f>
        <v>1</v>
      </c>
      <c r="N20" s="192">
        <f>100%</f>
        <v>1</v>
      </c>
      <c r="O20" s="192">
        <f t="shared" si="14"/>
        <v>0</v>
      </c>
      <c r="P20" s="193"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x14ac:dyDescent="0.25">
      <c r="B21" s="64" t="s">
        <v>26</v>
      </c>
      <c r="C21" s="97" t="s">
        <v>29</v>
      </c>
      <c r="D21" s="97"/>
      <c r="E21" s="97"/>
      <c r="F21" s="97"/>
      <c r="G21" s="97" t="s">
        <v>28</v>
      </c>
      <c r="H21" s="97"/>
      <c r="I21" s="187">
        <f>J21*8</f>
        <v>40</v>
      </c>
      <c r="J21" s="187">
        <v>5</v>
      </c>
      <c r="K21" s="187"/>
      <c r="L21" s="187"/>
      <c r="M21" s="192">
        <f>SUMIFS(R21:ES21,$R$9:$ES$9,"S")/J21</f>
        <v>1</v>
      </c>
      <c r="N21" s="192">
        <v>1</v>
      </c>
      <c r="O21" s="192">
        <f t="shared" si="14"/>
        <v>0</v>
      </c>
      <c r="P21" s="193"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x14ac:dyDescent="0.25">
      <c r="B22" s="64" t="s">
        <v>26</v>
      </c>
      <c r="C22" s="103" t="s">
        <v>30</v>
      </c>
      <c r="D22" s="97"/>
      <c r="E22" s="97"/>
      <c r="F22" s="97"/>
      <c r="G22" s="97" t="s">
        <v>28</v>
      </c>
      <c r="H22" s="97"/>
      <c r="I22" s="187">
        <f>J22*8</f>
        <v>40</v>
      </c>
      <c r="J22" s="187">
        <v>5</v>
      </c>
      <c r="K22" s="187"/>
      <c r="L22" s="187"/>
      <c r="M22" s="192">
        <f>SUMIFS(R22:ES22,$R$9:$ES$9,"S")/J22</f>
        <v>0.8</v>
      </c>
      <c r="N22" s="192">
        <v>0.97</v>
      </c>
      <c r="O22" s="192">
        <f t="shared" si="14"/>
        <v>0.16999999999999993</v>
      </c>
      <c r="P22" s="194" t="s">
        <v>1942</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x14ac:dyDescent="0.45">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x14ac:dyDescent="0.25">
      <c r="B24" s="83" t="s">
        <v>33</v>
      </c>
      <c r="C24" s="84"/>
      <c r="D24" s="84"/>
      <c r="E24" s="84"/>
      <c r="F24" s="84"/>
      <c r="G24" s="84"/>
      <c r="H24" s="84"/>
      <c r="I24" s="186">
        <f>I25+I40+I204+I371+I456</f>
        <v>2209.0150000000053</v>
      </c>
      <c r="J24" s="186">
        <f>J25+J40+J204+J371+J456</f>
        <v>279</v>
      </c>
      <c r="K24" s="186">
        <f>K25+K40+K204+K371+K456</f>
        <v>1566.5537500000007</v>
      </c>
      <c r="L24" s="186">
        <f>L25+L40+L204+L371+L456</f>
        <v>198</v>
      </c>
      <c r="M24" s="181">
        <f>((M25*J25)+(M40*J40)+(M204*J204)+(M371*J371)+(M456*J456))/J24</f>
        <v>0.57885304659498205</v>
      </c>
      <c r="N24" s="181">
        <f>((N25*L25)+(N40*L40)+(N204*L204)+(N371*L371)+(N456*L456))/L24</f>
        <v>0.71373970031578726</v>
      </c>
      <c r="O24" s="181">
        <f t="shared" ref="O24:O87" si="15">N24-M24</f>
        <v>0.13488665372080522</v>
      </c>
      <c r="P24" s="183"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x14ac:dyDescent="0.4">
      <c r="B25" s="64" t="s">
        <v>26</v>
      </c>
      <c r="C25" s="97" t="s">
        <v>34</v>
      </c>
      <c r="D25" s="65"/>
      <c r="E25" s="65"/>
      <c r="F25" s="65"/>
      <c r="G25" s="65"/>
      <c r="H25" s="65"/>
      <c r="I25" s="189">
        <f>SUM(I26:I39)</f>
        <v>18.239999999999995</v>
      </c>
      <c r="J25" s="189">
        <f>ROUNDUP(I25/8,0)</f>
        <v>3</v>
      </c>
      <c r="K25" s="189">
        <f>SUM(K26:K39)</f>
        <v>4.5599999999999987</v>
      </c>
      <c r="L25" s="189">
        <f>ROUNDUP(K25/8,0)</f>
        <v>1</v>
      </c>
      <c r="M25" s="188">
        <f>SUMIFS(R25:ES25,$R$9:$ES$9,"S")/J25</f>
        <v>1</v>
      </c>
      <c r="N25" s="188">
        <f>IFERROR(L25/J25,0)</f>
        <v>0.33333333333333331</v>
      </c>
      <c r="O25" s="188">
        <f t="shared" si="15"/>
        <v>-0.66666666666666674</v>
      </c>
      <c r="P25" s="196" t="s">
        <v>35</v>
      </c>
      <c r="Q25" s="91">
        <f t="shared" ref="Q25:Q88" si="16">J25-SUM(R25:ES25)</f>
        <v>0</v>
      </c>
      <c r="R25" s="79"/>
      <c r="S25" s="79"/>
      <c r="T25" s="79"/>
      <c r="U25" s="79"/>
      <c r="V25" s="79"/>
      <c r="W25" s="79"/>
      <c r="X25" s="79"/>
      <c r="Y25" s="79"/>
      <c r="Z25" s="79"/>
      <c r="AA25" s="79"/>
      <c r="AB25" s="79"/>
      <c r="AC25" s="79">
        <v>0.5</v>
      </c>
      <c r="AD25" s="79">
        <v>0.5</v>
      </c>
      <c r="AE25" s="199"/>
      <c r="AF25" s="199"/>
      <c r="AG25" s="199"/>
      <c r="AH25" s="199">
        <v>0.5</v>
      </c>
      <c r="AI25" s="199"/>
      <c r="AJ25" s="199"/>
      <c r="AK25" s="199"/>
      <c r="AL25" s="199"/>
      <c r="AM25" s="199"/>
      <c r="AN25" s="199"/>
      <c r="AO25" s="199">
        <v>0.5</v>
      </c>
      <c r="AP25" s="199">
        <v>0.5</v>
      </c>
      <c r="AQ25" s="199">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x14ac:dyDescent="0.25">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90">
        <f>SUMIFS(Table1[Estimação (horas)],Table1[Tabela],Plano_V3!E26,Table1[Campo],Plano_V3!F26)</f>
        <v>8</v>
      </c>
      <c r="J26" s="190">
        <f t="shared" ref="J26:L38" si="17">I26/8</f>
        <v>1</v>
      </c>
      <c r="K26" s="190">
        <f>SUMIFS(Table1[Horas efetivas],Table1[Tabela],Plano_V3!E26,Table1[Campo],Plano_V3!F26)</f>
        <v>2</v>
      </c>
      <c r="L26" s="190">
        <f t="shared" si="17"/>
        <v>0.25</v>
      </c>
      <c r="M26" s="184"/>
      <c r="N26" s="184">
        <f>L26/J26</f>
        <v>0.25</v>
      </c>
      <c r="O26" s="184">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x14ac:dyDescent="0.25">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90">
        <f>SUMIFS(Table1[Estimação (horas)],Table1[Tabela],Plano_V3!E27,Table1[Campo],Plano_V3!F27)</f>
        <v>0.6</v>
      </c>
      <c r="J27" s="190">
        <f t="shared" si="17"/>
        <v>7.4999999999999997E-2</v>
      </c>
      <c r="K27" s="190">
        <f>SUMIFS(Table1[Horas efetivas],Table1[Tabela],Plano_V3!E27,Table1[Campo],Plano_V3!F27)</f>
        <v>0.15</v>
      </c>
      <c r="L27" s="190">
        <f t="shared" si="17"/>
        <v>1.8749999999999999E-2</v>
      </c>
      <c r="M27" s="184"/>
      <c r="N27" s="184">
        <f t="shared" ref="N27:N39" si="19">L27/J27</f>
        <v>0.25</v>
      </c>
      <c r="O27" s="184">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x14ac:dyDescent="0.25">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90">
        <f>SUMIFS(Table1[Estimação (horas)],Table1[Tabela],Plano_V3!E28,Table1[Campo],Plano_V3!F28)</f>
        <v>0.6</v>
      </c>
      <c r="J28" s="190">
        <f t="shared" si="17"/>
        <v>7.4999999999999997E-2</v>
      </c>
      <c r="K28" s="190">
        <f>SUMIFS(Table1[Horas efetivas],Table1[Tabela],Plano_V3!E28,Table1[Campo],Plano_V3!F28)</f>
        <v>0.15</v>
      </c>
      <c r="L28" s="190">
        <f t="shared" si="17"/>
        <v>1.8749999999999999E-2</v>
      </c>
      <c r="M28" s="184"/>
      <c r="N28" s="184">
        <f t="shared" si="19"/>
        <v>0.25</v>
      </c>
      <c r="O28" s="184">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x14ac:dyDescent="0.25">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90">
        <f>SUMIFS(Table1[Estimação (horas)],Table1[Tabela],Plano_V3!E29,Table1[Campo],Plano_V3!F29)</f>
        <v>0.6</v>
      </c>
      <c r="J29" s="190">
        <f t="shared" si="17"/>
        <v>7.4999999999999997E-2</v>
      </c>
      <c r="K29" s="190">
        <f>SUMIFS(Table1[Horas efetivas],Table1[Tabela],Plano_V3!E29,Table1[Campo],Plano_V3!F29)</f>
        <v>0.15</v>
      </c>
      <c r="L29" s="190">
        <f t="shared" si="17"/>
        <v>1.8749999999999999E-2</v>
      </c>
      <c r="M29" s="184"/>
      <c r="N29" s="184">
        <f t="shared" si="19"/>
        <v>0.25</v>
      </c>
      <c r="O29" s="184">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x14ac:dyDescent="0.25">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90">
        <f>SUMIFS(Table1[Estimação (horas)],Table1[Tabela],Plano_V3!E30,Table1[Campo],Plano_V3!F30)</f>
        <v>0.6</v>
      </c>
      <c r="J30" s="190">
        <f t="shared" si="17"/>
        <v>7.4999999999999997E-2</v>
      </c>
      <c r="K30" s="190">
        <f>SUMIFS(Table1[Horas efetivas],Table1[Tabela],Plano_V3!E30,Table1[Campo],Plano_V3!F30)</f>
        <v>0.15</v>
      </c>
      <c r="L30" s="190">
        <f t="shared" si="17"/>
        <v>1.8749999999999999E-2</v>
      </c>
      <c r="M30" s="184"/>
      <c r="N30" s="184">
        <f t="shared" si="19"/>
        <v>0.25</v>
      </c>
      <c r="O30" s="184">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x14ac:dyDescent="0.25">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90">
        <f>SUMIFS(Table1[Estimação (horas)],Table1[Tabela],Plano_V3!E31,Table1[Campo],Plano_V3!F31)</f>
        <v>0.6</v>
      </c>
      <c r="J31" s="190">
        <f t="shared" si="17"/>
        <v>7.4999999999999997E-2</v>
      </c>
      <c r="K31" s="190">
        <f>SUMIFS(Table1[Horas efetivas],Table1[Tabela],Plano_V3!E31,Table1[Campo],Plano_V3!F31)</f>
        <v>0.15</v>
      </c>
      <c r="L31" s="190">
        <f t="shared" si="17"/>
        <v>1.8749999999999999E-2</v>
      </c>
      <c r="M31" s="184"/>
      <c r="N31" s="184">
        <f t="shared" si="19"/>
        <v>0.25</v>
      </c>
      <c r="O31" s="184">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x14ac:dyDescent="0.25">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90">
        <f>SUMIFS(Table1[Estimação (horas)],Table1[Tabela],Plano_V3!E32,Table1[Campo],Plano_V3!F32)</f>
        <v>0.6</v>
      </c>
      <c r="J32" s="190">
        <f t="shared" si="17"/>
        <v>7.4999999999999997E-2</v>
      </c>
      <c r="K32" s="190">
        <f>SUMIFS(Table1[Horas efetivas],Table1[Tabela],Plano_V3!E32,Table1[Campo],Plano_V3!F32)</f>
        <v>0.15</v>
      </c>
      <c r="L32" s="190">
        <f t="shared" si="17"/>
        <v>1.8749999999999999E-2</v>
      </c>
      <c r="M32" s="184"/>
      <c r="N32" s="184">
        <f t="shared" si="19"/>
        <v>0.25</v>
      </c>
      <c r="O32" s="184">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x14ac:dyDescent="0.25">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90">
        <f>SUMIFS(Table1[Estimação (horas)],Table1[Tabela],Plano_V3!E33,Table1[Campo],Plano_V3!F33)</f>
        <v>0.6</v>
      </c>
      <c r="J33" s="190">
        <f t="shared" si="17"/>
        <v>7.4999999999999997E-2</v>
      </c>
      <c r="K33" s="190">
        <f>SUMIFS(Table1[Horas efetivas],Table1[Tabela],Plano_V3!E33,Table1[Campo],Plano_V3!F33)</f>
        <v>0.15</v>
      </c>
      <c r="L33" s="190">
        <f t="shared" si="17"/>
        <v>1.8749999999999999E-2</v>
      </c>
      <c r="M33" s="184"/>
      <c r="N33" s="184">
        <f t="shared" si="19"/>
        <v>0.25</v>
      </c>
      <c r="O33" s="184">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x14ac:dyDescent="0.25">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90">
        <f>SUMIFS(Table1[Estimação (horas)],Table1[Tabela],Plano_V3!E34,Table1[Campo],Plano_V3!F34)</f>
        <v>0.6</v>
      </c>
      <c r="J34" s="190">
        <f t="shared" si="17"/>
        <v>7.4999999999999997E-2</v>
      </c>
      <c r="K34" s="190">
        <f>SUMIFS(Table1[Horas efetivas],Table1[Tabela],Plano_V3!E34,Table1[Campo],Plano_V3!F34)</f>
        <v>0.15</v>
      </c>
      <c r="L34" s="190">
        <f t="shared" si="17"/>
        <v>1.8749999999999999E-2</v>
      </c>
      <c r="M34" s="184"/>
      <c r="N34" s="184">
        <f t="shared" si="19"/>
        <v>0.25</v>
      </c>
      <c r="O34" s="184">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x14ac:dyDescent="0.25">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90">
        <f>SUMIFS(Table1[Estimação (horas)],Table1[Tabela],Plano_V3!E35,Table1[Campo],Plano_V3!F35)</f>
        <v>0.6</v>
      </c>
      <c r="J35" s="190">
        <f t="shared" si="17"/>
        <v>7.4999999999999997E-2</v>
      </c>
      <c r="K35" s="190">
        <f>SUMIFS(Table1[Horas efetivas],Table1[Tabela],Plano_V3!E35,Table1[Campo],Plano_V3!F35)</f>
        <v>0.15</v>
      </c>
      <c r="L35" s="190">
        <f t="shared" si="17"/>
        <v>1.8749999999999999E-2</v>
      </c>
      <c r="M35" s="184"/>
      <c r="N35" s="184">
        <f t="shared" si="19"/>
        <v>0.25</v>
      </c>
      <c r="O35" s="184">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x14ac:dyDescent="0.25">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90">
        <f>SUMIFS(Table1[Estimação (horas)],Table1[Tabela],Plano_V3!E36,Table1[Campo],Plano_V3!F36)</f>
        <v>0.6</v>
      </c>
      <c r="J36" s="190">
        <f t="shared" si="17"/>
        <v>7.4999999999999997E-2</v>
      </c>
      <c r="K36" s="190">
        <f>SUMIFS(Table1[Horas efetivas],Table1[Tabela],Plano_V3!E36,Table1[Campo],Plano_V3!F36)</f>
        <v>0.15</v>
      </c>
      <c r="L36" s="190">
        <f t="shared" si="17"/>
        <v>1.8749999999999999E-2</v>
      </c>
      <c r="M36" s="184"/>
      <c r="N36" s="184">
        <f t="shared" si="19"/>
        <v>0.25</v>
      </c>
      <c r="O36" s="184">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x14ac:dyDescent="0.25">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90">
        <f>SUMIFS(Table1[Estimação (horas)],Table1[Tabela],Plano_V3!E37,Table1[Campo],Plano_V3!F37)</f>
        <v>0.6</v>
      </c>
      <c r="J37" s="190">
        <f t="shared" si="17"/>
        <v>7.4999999999999997E-2</v>
      </c>
      <c r="K37" s="190">
        <f>SUMIFS(Table1[Horas efetivas],Table1[Tabela],Plano_V3!E37,Table1[Campo],Plano_V3!F37)</f>
        <v>0.15</v>
      </c>
      <c r="L37" s="190">
        <f t="shared" si="17"/>
        <v>1.8749999999999999E-2</v>
      </c>
      <c r="M37" s="184"/>
      <c r="N37" s="184">
        <f t="shared" si="19"/>
        <v>0.25</v>
      </c>
      <c r="O37" s="184">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x14ac:dyDescent="0.25">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90">
        <f>SUMIFS(Table1[Estimação (horas)],Table1[Tabela],Plano_V3!E38,Table1[Campo],Plano_V3!F38)</f>
        <v>0.6</v>
      </c>
      <c r="J38" s="190">
        <f t="shared" si="17"/>
        <v>7.4999999999999997E-2</v>
      </c>
      <c r="K38" s="190">
        <f>SUMIFS(Table1[Horas efetivas],Table1[Tabela],Plano_V3!E38,Table1[Campo],Plano_V3!F38)</f>
        <v>0.15</v>
      </c>
      <c r="L38" s="190">
        <f t="shared" si="17"/>
        <v>1.8749999999999999E-2</v>
      </c>
      <c r="M38" s="184"/>
      <c r="N38" s="184">
        <f t="shared" si="19"/>
        <v>0.25</v>
      </c>
      <c r="O38" s="184">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x14ac:dyDescent="0.25">
      <c r="A39" s="30" t="str">
        <f t="shared" si="18"/>
        <v>Re-testesn.a.</v>
      </c>
      <c r="B39" s="68" t="s">
        <v>26</v>
      </c>
      <c r="C39" s="69" t="s">
        <v>34</v>
      </c>
      <c r="D39" s="65" t="s">
        <v>40</v>
      </c>
      <c r="E39" s="67" t="s">
        <v>53</v>
      </c>
      <c r="F39" s="65" t="s">
        <v>38</v>
      </c>
      <c r="G39" s="65" t="s">
        <v>28</v>
      </c>
      <c r="H39" s="65"/>
      <c r="I39" s="190">
        <f>SUM(I26:I38)*$D$6</f>
        <v>3.0399999999999991</v>
      </c>
      <c r="J39" s="190">
        <f>I39/8</f>
        <v>0.37999999999999989</v>
      </c>
      <c r="K39" s="190">
        <f>SUM(K26:K38)*$D$6</f>
        <v>0.75999999999999979</v>
      </c>
      <c r="L39" s="190">
        <f>K39/8</f>
        <v>9.4999999999999973E-2</v>
      </c>
      <c r="M39" s="184"/>
      <c r="N39" s="184">
        <f t="shared" si="19"/>
        <v>0.25</v>
      </c>
      <c r="O39" s="184">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x14ac:dyDescent="0.25">
      <c r="A40" s="30" t="str">
        <f t="shared" si="18"/>
        <v/>
      </c>
      <c r="B40" s="64" t="s">
        <v>26</v>
      </c>
      <c r="C40" s="97" t="s">
        <v>54</v>
      </c>
      <c r="D40" s="97"/>
      <c r="E40" s="104"/>
      <c r="F40" s="97"/>
      <c r="G40" s="97"/>
      <c r="H40" s="97"/>
      <c r="I40" s="189">
        <f>SUM(I41:I203)</f>
        <v>835.65000000000259</v>
      </c>
      <c r="J40" s="189">
        <f>ROUNDUP(I40/8,0)</f>
        <v>105</v>
      </c>
      <c r="K40" s="189">
        <f>SUM(K41:K203)</f>
        <v>751.35937500000136</v>
      </c>
      <c r="L40" s="189">
        <f>ROUNDUP(K40/8,0)</f>
        <v>94</v>
      </c>
      <c r="M40" s="188">
        <f>SUMIFS(R40:ES40,$R$9:$ES$9,"S")/J40</f>
        <v>0.95238095238095233</v>
      </c>
      <c r="N40" s="188">
        <f>IFERROR(L40/J40,0)</f>
        <v>0.89523809523809528</v>
      </c>
      <c r="O40" s="188">
        <f t="shared" si="15"/>
        <v>-5.7142857142857051E-2</v>
      </c>
      <c r="P40" s="208" t="s">
        <v>1941</v>
      </c>
      <c r="Q40" s="91">
        <f t="shared" si="16"/>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9"/>
      <c r="AQ40" s="199"/>
      <c r="AR40" s="79">
        <v>1</v>
      </c>
      <c r="AS40" s="79">
        <v>1</v>
      </c>
      <c r="AT40" s="79">
        <v>1</v>
      </c>
      <c r="AU40" s="79">
        <v>1</v>
      </c>
      <c r="AV40" s="199"/>
      <c r="AW40" s="79">
        <v>1</v>
      </c>
      <c r="AX40" s="79">
        <v>2</v>
      </c>
      <c r="AY40" s="92"/>
      <c r="AZ40" s="79">
        <v>1</v>
      </c>
      <c r="BA40" s="199"/>
      <c r="BB40" s="199"/>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x14ac:dyDescent="0.25">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90">
        <f>SUMIFS(Table1[Estimação (horas)],Table1[Tabela],Plano_V3!E41,Table1[Campo],Plano_V3!F41)</f>
        <v>8</v>
      </c>
      <c r="J41" s="190">
        <f t="shared" ref="J41:J104" si="20">I41/8</f>
        <v>1</v>
      </c>
      <c r="K41" s="190">
        <f>SUMIFS(Table1[Horas efetivas],Table1[Tabela],Plano_V3!E41,Table1[Campo],Plano_V3!F41)</f>
        <v>8</v>
      </c>
      <c r="L41" s="190">
        <f t="shared" ref="L41:L104" si="21">K41/8</f>
        <v>1</v>
      </c>
      <c r="M41" s="184"/>
      <c r="N41" s="184">
        <f t="shared" ref="N41:N104" si="22">L41/J41</f>
        <v>1</v>
      </c>
      <c r="O41" s="184">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x14ac:dyDescent="0.25">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90">
        <f>SUMIFS(Table1[Estimação (horas)],Table1[Tabela],Plano_V3!E42,Table1[Campo],Plano_V3!F42)</f>
        <v>4.0999999999999996</v>
      </c>
      <c r="J42" s="190">
        <f t="shared" si="20"/>
        <v>0.51249999999999996</v>
      </c>
      <c r="K42" s="190">
        <f>SUMIFS(Table1[Horas efetivas],Table1[Tabela],Plano_V3!E42,Table1[Campo],Plano_V3!F42)</f>
        <v>4.0999999999999996</v>
      </c>
      <c r="L42" s="190">
        <f t="shared" si="21"/>
        <v>0.51249999999999996</v>
      </c>
      <c r="M42" s="184"/>
      <c r="N42" s="184">
        <f t="shared" si="22"/>
        <v>1</v>
      </c>
      <c r="O42" s="184">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x14ac:dyDescent="0.25">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90">
        <f>SUMIFS(Table1[Estimação (horas)],Table1[Tabela],Plano_V3!E43,Table1[Campo],Plano_V3!F43)</f>
        <v>4.0999999999999996</v>
      </c>
      <c r="J43" s="190">
        <f t="shared" si="20"/>
        <v>0.51249999999999996</v>
      </c>
      <c r="K43" s="190">
        <f>SUMIFS(Table1[Horas efetivas],Table1[Tabela],Plano_V3!E43,Table1[Campo],Plano_V3!F43)</f>
        <v>4.0999999999999996</v>
      </c>
      <c r="L43" s="190">
        <f t="shared" si="21"/>
        <v>0.51249999999999996</v>
      </c>
      <c r="M43" s="184"/>
      <c r="N43" s="184">
        <f t="shared" si="22"/>
        <v>1</v>
      </c>
      <c r="O43" s="184">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x14ac:dyDescent="0.25">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90">
        <f>SUMIFS(Table1[Estimação (horas)],Table1[Tabela],Plano_V3!E44,Table1[Campo],Plano_V3!F44)</f>
        <v>4.0999999999999996</v>
      </c>
      <c r="J44" s="190">
        <f t="shared" si="20"/>
        <v>0.51249999999999996</v>
      </c>
      <c r="K44" s="190">
        <f>SUMIFS(Table1[Horas efetivas],Table1[Tabela],Plano_V3!E44,Table1[Campo],Plano_V3!F44)</f>
        <v>4.0999999999999996</v>
      </c>
      <c r="L44" s="190">
        <f t="shared" si="21"/>
        <v>0.51249999999999996</v>
      </c>
      <c r="M44" s="184"/>
      <c r="N44" s="184">
        <f t="shared" si="22"/>
        <v>1</v>
      </c>
      <c r="O44" s="184">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x14ac:dyDescent="0.25">
      <c r="A45" s="30" t="str">
        <f t="shared" si="18"/>
        <v>PROCESScod_estd_prcs</v>
      </c>
      <c r="B45" s="68" t="s">
        <v>26</v>
      </c>
      <c r="C45" s="69" t="s">
        <v>54</v>
      </c>
      <c r="D45" s="65" t="s">
        <v>40</v>
      </c>
      <c r="E45" s="67" t="s">
        <v>55</v>
      </c>
      <c r="F45" s="177" t="s">
        <v>60</v>
      </c>
      <c r="G45" s="65" t="str">
        <f>INDEX(Auxiliar!$B$16:$B$24,MATCH(Plano_V3!H45,Auxiliar!$C$16:$C$24,0),1)</f>
        <v>0. Cancelado</v>
      </c>
      <c r="H45" s="65">
        <f>VLOOKUP(A45,'Aux - pivots1'!$A:$B,2,0)</f>
        <v>0</v>
      </c>
      <c r="I45" s="191">
        <v>0</v>
      </c>
      <c r="J45" s="190">
        <f t="shared" si="20"/>
        <v>0</v>
      </c>
      <c r="K45" s="190">
        <f>SUMIFS(Table1[Horas efetivas],Table1[Tabela],Plano_V3!E45,Table1[Campo],Plano_V3!F45)</f>
        <v>0</v>
      </c>
      <c r="L45" s="190">
        <f t="shared" si="21"/>
        <v>0</v>
      </c>
      <c r="M45" s="184"/>
      <c r="N45" s="184" t="e">
        <f t="shared" si="22"/>
        <v>#DIV/0!</v>
      </c>
      <c r="O45" s="184"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x14ac:dyDescent="0.25">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90">
        <f>SUMIFS(Table1[Estimação (horas)],Table1[Tabela],Plano_V3!E46,Table1[Campo],Plano_V3!F46)</f>
        <v>4.0999999999999996</v>
      </c>
      <c r="J46" s="190">
        <f t="shared" si="20"/>
        <v>0.51249999999999996</v>
      </c>
      <c r="K46" s="190">
        <f>SUMIFS(Table1[Horas efetivas],Table1[Tabela],Plano_V3!E46,Table1[Campo],Plano_V3!F46)</f>
        <v>4.0999999999999996</v>
      </c>
      <c r="L46" s="190">
        <f t="shared" si="21"/>
        <v>0.51249999999999996</v>
      </c>
      <c r="M46" s="184"/>
      <c r="N46" s="184">
        <f t="shared" si="22"/>
        <v>1</v>
      </c>
      <c r="O46" s="184">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x14ac:dyDescent="0.25">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90">
        <f>SUMIFS(Table1[Estimação (horas)],Table1[Tabela],Plano_V3!E47,Table1[Campo],Plano_V3!F47)</f>
        <v>4.0999999999999996</v>
      </c>
      <c r="J47" s="190">
        <f t="shared" si="20"/>
        <v>0.51249999999999996</v>
      </c>
      <c r="K47" s="190">
        <f>SUMIFS(Table1[Horas efetivas],Table1[Tabela],Plano_V3!E47,Table1[Campo],Plano_V3!F47)</f>
        <v>4.0999999999999996</v>
      </c>
      <c r="L47" s="190">
        <f t="shared" si="21"/>
        <v>0.51249999999999996</v>
      </c>
      <c r="M47" s="184"/>
      <c r="N47" s="184">
        <f t="shared" si="22"/>
        <v>1</v>
      </c>
      <c r="O47" s="184">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x14ac:dyDescent="0.25">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90">
        <f>SUMIFS(Table1[Estimação (horas)],Table1[Tabela],Plano_V3!E48,Table1[Campo],Plano_V3!F48)</f>
        <v>4.0999999999999996</v>
      </c>
      <c r="J48" s="190">
        <f t="shared" si="20"/>
        <v>0.51249999999999996</v>
      </c>
      <c r="K48" s="190">
        <f>SUMIFS(Table1[Horas efetivas],Table1[Tabela],Plano_V3!E48,Table1[Campo],Plano_V3!F48)</f>
        <v>4.0999999999999996</v>
      </c>
      <c r="L48" s="190">
        <f t="shared" si="21"/>
        <v>0.51249999999999996</v>
      </c>
      <c r="M48" s="184"/>
      <c r="N48" s="184">
        <f t="shared" si="22"/>
        <v>1</v>
      </c>
      <c r="O48" s="184">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x14ac:dyDescent="0.25">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90">
        <f>SUMIFS(Table1[Estimação (horas)],Table1[Tabela],Plano_V3!E49,Table1[Campo],Plano_V3!F49)</f>
        <v>4.0999999999999996</v>
      </c>
      <c r="J49" s="190">
        <f t="shared" si="20"/>
        <v>0.51249999999999996</v>
      </c>
      <c r="K49" s="190">
        <f>SUMIFS(Table1[Horas efetivas],Table1[Tabela],Plano_V3!E49,Table1[Campo],Plano_V3!F49)</f>
        <v>4.0999999999999996</v>
      </c>
      <c r="L49" s="190">
        <f t="shared" si="21"/>
        <v>0.51249999999999996</v>
      </c>
      <c r="M49" s="184"/>
      <c r="N49" s="184">
        <f t="shared" si="22"/>
        <v>1</v>
      </c>
      <c r="O49" s="184">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x14ac:dyDescent="0.25">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90">
        <f>SUMIFS(Table1[Estimação (horas)],Table1[Tabela],Plano_V3!E50,Table1[Campo],Plano_V3!F50)</f>
        <v>4.0999999999999996</v>
      </c>
      <c r="J50" s="190">
        <f t="shared" si="20"/>
        <v>0.51249999999999996</v>
      </c>
      <c r="K50" s="190">
        <f>SUMIFS(Table1[Horas efetivas],Table1[Tabela],Plano_V3!E50,Table1[Campo],Plano_V3!F50)</f>
        <v>4.0999999999999996</v>
      </c>
      <c r="L50" s="190">
        <f t="shared" si="21"/>
        <v>0.51249999999999996</v>
      </c>
      <c r="M50" s="184"/>
      <c r="N50" s="184">
        <f t="shared" si="22"/>
        <v>1</v>
      </c>
      <c r="O50" s="184">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x14ac:dyDescent="0.25">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90">
        <f>SUMIFS(Table1[Estimação (horas)],Table1[Tabela],Plano_V3!E51,Table1[Campo],Plano_V3!F51)</f>
        <v>4.0999999999999996</v>
      </c>
      <c r="J51" s="190">
        <f t="shared" si="20"/>
        <v>0.51249999999999996</v>
      </c>
      <c r="K51" s="190">
        <f>SUMIFS(Table1[Horas efetivas],Table1[Tabela],Plano_V3!E51,Table1[Campo],Plano_V3!F51)</f>
        <v>4.0999999999999996</v>
      </c>
      <c r="L51" s="190">
        <f t="shared" si="21"/>
        <v>0.51249999999999996</v>
      </c>
      <c r="M51" s="184"/>
      <c r="N51" s="184">
        <f t="shared" si="22"/>
        <v>1</v>
      </c>
      <c r="O51" s="184">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x14ac:dyDescent="0.25">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90">
        <f>SUMIFS(Table1[Estimação (horas)],Table1[Tabela],Plano_V3!E52,Table1[Campo],Plano_V3!F52)</f>
        <v>4.0999999999999996</v>
      </c>
      <c r="J52" s="190">
        <f t="shared" si="20"/>
        <v>0.51249999999999996</v>
      </c>
      <c r="K52" s="190">
        <f>SUMIFS(Table1[Horas efetivas],Table1[Tabela],Plano_V3!E52,Table1[Campo],Plano_V3!F52)</f>
        <v>4.0999999999999996</v>
      </c>
      <c r="L52" s="190">
        <f t="shared" si="21"/>
        <v>0.51249999999999996</v>
      </c>
      <c r="M52" s="184"/>
      <c r="N52" s="184">
        <f t="shared" si="22"/>
        <v>1</v>
      </c>
      <c r="O52" s="184">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x14ac:dyDescent="0.25">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90">
        <f>SUMIFS(Table1[Estimação (horas)],Table1[Tabela],Plano_V3!E53,Table1[Campo],Plano_V3!F53)</f>
        <v>4.0999999999999996</v>
      </c>
      <c r="J53" s="190">
        <f t="shared" si="20"/>
        <v>0.51249999999999996</v>
      </c>
      <c r="K53" s="190">
        <f>SUMIFS(Table1[Horas efetivas],Table1[Tabela],Plano_V3!E53,Table1[Campo],Plano_V3!F53)</f>
        <v>4.0999999999999996</v>
      </c>
      <c r="L53" s="190">
        <f t="shared" si="21"/>
        <v>0.51249999999999996</v>
      </c>
      <c r="M53" s="184"/>
      <c r="N53" s="184">
        <f t="shared" si="22"/>
        <v>1</v>
      </c>
      <c r="O53" s="184">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x14ac:dyDescent="0.25">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90">
        <f>SUMIFS(Table1[Estimação (horas)],Table1[Tabela],Plano_V3!E54,Table1[Campo],Plano_V3!F54)</f>
        <v>4.0999999999999996</v>
      </c>
      <c r="J54" s="190">
        <f t="shared" si="20"/>
        <v>0.51249999999999996</v>
      </c>
      <c r="K54" s="190">
        <f>SUMIFS(Table1[Horas efetivas],Table1[Tabela],Plano_V3!E54,Table1[Campo],Plano_V3!F54)</f>
        <v>4.0999999999999996</v>
      </c>
      <c r="L54" s="190">
        <f t="shared" si="21"/>
        <v>0.51249999999999996</v>
      </c>
      <c r="M54" s="184"/>
      <c r="N54" s="184">
        <f t="shared" si="22"/>
        <v>1</v>
      </c>
      <c r="O54" s="184">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x14ac:dyDescent="0.25">
      <c r="A55" s="30" t="str">
        <f t="shared" si="18"/>
        <v>PROCESSmontante_eur</v>
      </c>
      <c r="B55" s="68" t="s">
        <v>26</v>
      </c>
      <c r="C55" s="69" t="s">
        <v>54</v>
      </c>
      <c r="D55" s="65" t="s">
        <v>40</v>
      </c>
      <c r="E55" s="67" t="s">
        <v>55</v>
      </c>
      <c r="F55" s="177" t="s">
        <v>70</v>
      </c>
      <c r="G55" s="65" t="str">
        <f>INDEX(Auxiliar!$B$16:$B$24,MATCH(Plano_V3!H55,Auxiliar!$C$16:$C$24,0),1)</f>
        <v>0. Cancelado</v>
      </c>
      <c r="H55" s="65">
        <f>VLOOKUP(A55,'Aux - pivots1'!$A:$B,2,0)</f>
        <v>0</v>
      </c>
      <c r="I55" s="191">
        <v>0</v>
      </c>
      <c r="J55" s="190">
        <f t="shared" si="20"/>
        <v>0</v>
      </c>
      <c r="K55" s="190">
        <f>SUMIFS(Table1[Horas efetivas],Table1[Tabela],Plano_V3!E55,Table1[Campo],Plano_V3!F55)</f>
        <v>0</v>
      </c>
      <c r="L55" s="190">
        <f t="shared" si="21"/>
        <v>0</v>
      </c>
      <c r="M55" s="184"/>
      <c r="N55" s="184" t="e">
        <f t="shared" si="22"/>
        <v>#DIV/0!</v>
      </c>
      <c r="O55" s="184"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x14ac:dyDescent="0.25">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1">
        <v>0</v>
      </c>
      <c r="J56" s="190">
        <f t="shared" si="20"/>
        <v>0</v>
      </c>
      <c r="K56" s="190">
        <f>SUMIFS(Table1[Horas efetivas],Table1[Tabela],Plano_V3!E56,Table1[Campo],Plano_V3!F56)</f>
        <v>0</v>
      </c>
      <c r="L56" s="190">
        <f t="shared" si="21"/>
        <v>0</v>
      </c>
      <c r="M56" s="184"/>
      <c r="N56" s="184" t="e">
        <f t="shared" si="22"/>
        <v>#DIV/0!</v>
      </c>
      <c r="O56" s="184"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x14ac:dyDescent="0.25">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90">
        <f>SUMIFS(Table1[Estimação (horas)],Table1[Tabela],Plano_V3!E57,Table1[Campo],Plano_V3!F57)</f>
        <v>4.0999999999999996</v>
      </c>
      <c r="J57" s="190">
        <f t="shared" si="20"/>
        <v>0.51249999999999996</v>
      </c>
      <c r="K57" s="190">
        <f>SUMIFS(Table1[Horas efetivas],Table1[Tabela],Plano_V3!E57,Table1[Campo],Plano_V3!F57)</f>
        <v>0</v>
      </c>
      <c r="L57" s="190">
        <f t="shared" si="21"/>
        <v>0</v>
      </c>
      <c r="M57" s="184"/>
      <c r="N57" s="184">
        <f t="shared" si="22"/>
        <v>0</v>
      </c>
      <c r="O57" s="184">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x14ac:dyDescent="0.25">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90">
        <f>SUMIFS(Table1[Estimação (horas)],Table1[Tabela],Plano_V3!E58,Table1[Campo],Plano_V3!F58)</f>
        <v>4.0999999999999996</v>
      </c>
      <c r="J58" s="190">
        <f t="shared" si="20"/>
        <v>0.51249999999999996</v>
      </c>
      <c r="K58" s="190">
        <f>SUMIFS(Table1[Horas efetivas],Table1[Tabela],Plano_V3!E58,Table1[Campo],Plano_V3!F58)</f>
        <v>4.0999999999999996</v>
      </c>
      <c r="L58" s="190">
        <f t="shared" si="21"/>
        <v>0.51249999999999996</v>
      </c>
      <c r="M58" s="184"/>
      <c r="N58" s="184">
        <f t="shared" si="22"/>
        <v>1</v>
      </c>
      <c r="O58" s="184">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x14ac:dyDescent="0.25">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90">
        <f>SUMIFS(Table1[Estimação (horas)],Table1[Tabela],Plano_V3!E59,Table1[Campo],Plano_V3!F59)</f>
        <v>8</v>
      </c>
      <c r="J59" s="190">
        <f t="shared" si="20"/>
        <v>1</v>
      </c>
      <c r="K59" s="190">
        <f>SUMIFS(Table1[Horas efetivas],Table1[Tabela],Plano_V3!E59,Table1[Campo],Plano_V3!F59)</f>
        <v>8</v>
      </c>
      <c r="L59" s="190">
        <f t="shared" si="21"/>
        <v>1</v>
      </c>
      <c r="M59" s="184"/>
      <c r="N59" s="184">
        <f t="shared" si="22"/>
        <v>1</v>
      </c>
      <c r="O59" s="184">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x14ac:dyDescent="0.25">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90">
        <f>SUMIFS(Table1[Estimação (horas)],Table1[Tabela],Plano_V3!E60,Table1[Campo],Plano_V3!F60)</f>
        <v>8.1</v>
      </c>
      <c r="J60" s="190">
        <f t="shared" si="20"/>
        <v>1.0125</v>
      </c>
      <c r="K60" s="190">
        <f>SUMIFS(Table1[Horas efetivas],Table1[Tabela],Plano_V3!E60,Table1[Campo],Plano_V3!F60)</f>
        <v>8.1</v>
      </c>
      <c r="L60" s="190">
        <f t="shared" si="21"/>
        <v>1.0125</v>
      </c>
      <c r="M60" s="184"/>
      <c r="N60" s="184">
        <f t="shared" si="22"/>
        <v>1</v>
      </c>
      <c r="O60" s="184">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x14ac:dyDescent="0.25">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90">
        <f>SUMIFS(Table1[Estimação (horas)],Table1[Tabela],Plano_V3!E61,Table1[Campo],Plano_V3!F61)</f>
        <v>8.1</v>
      </c>
      <c r="J61" s="190">
        <f t="shared" si="20"/>
        <v>1.0125</v>
      </c>
      <c r="K61" s="190">
        <f>SUMIFS(Table1[Horas efetivas],Table1[Tabela],Plano_V3!E61,Table1[Campo],Plano_V3!F61)</f>
        <v>8.1</v>
      </c>
      <c r="L61" s="190">
        <f t="shared" si="21"/>
        <v>1.0125</v>
      </c>
      <c r="M61" s="184"/>
      <c r="N61" s="184">
        <f t="shared" si="22"/>
        <v>1</v>
      </c>
      <c r="O61" s="184">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x14ac:dyDescent="0.25">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90">
        <f>SUMIFS(Table1[Estimação (horas)],Table1[Tabela],Plano_V3!E62,Table1[Campo],Plano_V3!F62)</f>
        <v>8.1</v>
      </c>
      <c r="J62" s="190">
        <f t="shared" si="20"/>
        <v>1.0125</v>
      </c>
      <c r="K62" s="190">
        <f>SUMIFS(Table1[Horas efetivas],Table1[Tabela],Plano_V3!E62,Table1[Campo],Plano_V3!F62)</f>
        <v>8.1</v>
      </c>
      <c r="L62" s="190">
        <f t="shared" si="21"/>
        <v>1.0125</v>
      </c>
      <c r="M62" s="184"/>
      <c r="N62" s="184">
        <f t="shared" si="22"/>
        <v>1</v>
      </c>
      <c r="O62" s="184">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x14ac:dyDescent="0.25">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90">
        <f>SUMIFS(Table1[Estimação (horas)],Table1[Tabela],Plano_V3!E63,Table1[Campo],Plano_V3!F63)</f>
        <v>8.1</v>
      </c>
      <c r="J63" s="190">
        <f t="shared" si="20"/>
        <v>1.0125</v>
      </c>
      <c r="K63" s="190">
        <f>SUMIFS(Table1[Horas efetivas],Table1[Tabela],Plano_V3!E63,Table1[Campo],Plano_V3!F63)</f>
        <v>8.1</v>
      </c>
      <c r="L63" s="190">
        <f t="shared" si="21"/>
        <v>1.0125</v>
      </c>
      <c r="M63" s="184"/>
      <c r="N63" s="184">
        <f t="shared" si="22"/>
        <v>1</v>
      </c>
      <c r="O63" s="184">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x14ac:dyDescent="0.25">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90">
        <f>SUMIFS(Table1[Estimação (horas)],Table1[Tabela],Plano_V3!E64,Table1[Campo],Plano_V3!F64)</f>
        <v>8.1</v>
      </c>
      <c r="J64" s="190">
        <f t="shared" si="20"/>
        <v>1.0125</v>
      </c>
      <c r="K64" s="190">
        <f>SUMIFS(Table1[Horas efetivas],Table1[Tabela],Plano_V3!E64,Table1[Campo],Plano_V3!F64)</f>
        <v>8.1</v>
      </c>
      <c r="L64" s="190">
        <f t="shared" si="21"/>
        <v>1.0125</v>
      </c>
      <c r="M64" s="184"/>
      <c r="N64" s="184">
        <f t="shared" si="22"/>
        <v>1</v>
      </c>
      <c r="O64" s="184">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x14ac:dyDescent="0.25">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90">
        <f>SUMIFS(Table1[Estimação (horas)],Table1[Tabela],Plano_V3!E65,Table1[Campo],Plano_V3!F65)</f>
        <v>8.1</v>
      </c>
      <c r="J65" s="190">
        <f t="shared" si="20"/>
        <v>1.0125</v>
      </c>
      <c r="K65" s="190">
        <f>SUMIFS(Table1[Horas efetivas],Table1[Tabela],Plano_V3!E65,Table1[Campo],Plano_V3!F65)</f>
        <v>8.1</v>
      </c>
      <c r="L65" s="190">
        <f t="shared" si="21"/>
        <v>1.0125</v>
      </c>
      <c r="M65" s="184"/>
      <c r="N65" s="184">
        <f t="shared" si="22"/>
        <v>1</v>
      </c>
      <c r="O65" s="184">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x14ac:dyDescent="0.25">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90">
        <f>SUMIFS(Table1[Estimação (horas)],Table1[Tabela],Plano_V3!E66,Table1[Campo],Plano_V3!F66)</f>
        <v>8.1</v>
      </c>
      <c r="J66" s="190">
        <f t="shared" si="20"/>
        <v>1.0125</v>
      </c>
      <c r="K66" s="190">
        <f>SUMIFS(Table1[Horas efetivas],Table1[Tabela],Plano_V3!E66,Table1[Campo],Plano_V3!F66)</f>
        <v>8.1</v>
      </c>
      <c r="L66" s="190">
        <f t="shared" si="21"/>
        <v>1.0125</v>
      </c>
      <c r="M66" s="184"/>
      <c r="N66" s="184">
        <f t="shared" si="22"/>
        <v>1</v>
      </c>
      <c r="O66" s="184">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x14ac:dyDescent="0.25">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90">
        <f>SUMIFS(Table1[Estimação (horas)],Table1[Tabela],Plano_V3!E67,Table1[Campo],Plano_V3!F67)</f>
        <v>8.1</v>
      </c>
      <c r="J67" s="190">
        <f t="shared" si="20"/>
        <v>1.0125</v>
      </c>
      <c r="K67" s="190">
        <f>SUMIFS(Table1[Horas efetivas],Table1[Tabela],Plano_V3!E67,Table1[Campo],Plano_V3!F67)</f>
        <v>8.1</v>
      </c>
      <c r="L67" s="190">
        <f t="shared" si="21"/>
        <v>1.0125</v>
      </c>
      <c r="M67" s="184"/>
      <c r="N67" s="184">
        <f t="shared" si="22"/>
        <v>1</v>
      </c>
      <c r="O67" s="184">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x14ac:dyDescent="0.25">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90">
        <f>SUMIFS(Table1[Estimação (horas)],Table1[Tabela],Plano_V3!E68,Table1[Campo],Plano_V3!F68)</f>
        <v>8.1</v>
      </c>
      <c r="J68" s="190">
        <f t="shared" si="20"/>
        <v>1.0125</v>
      </c>
      <c r="K68" s="190">
        <f>SUMIFS(Table1[Horas efetivas],Table1[Tabela],Plano_V3!E68,Table1[Campo],Plano_V3!F68)</f>
        <v>8.1</v>
      </c>
      <c r="L68" s="190">
        <f t="shared" si="21"/>
        <v>1.0125</v>
      </c>
      <c r="M68" s="184"/>
      <c r="N68" s="184">
        <f t="shared" si="22"/>
        <v>1</v>
      </c>
      <c r="O68" s="184">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x14ac:dyDescent="0.25">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90">
        <f>SUMIFS(Table1[Estimação (horas)],Table1[Tabela],Plano_V3!E69,Table1[Campo],Plano_V3!F69)</f>
        <v>8.1</v>
      </c>
      <c r="J69" s="190">
        <f t="shared" si="20"/>
        <v>1.0125</v>
      </c>
      <c r="K69" s="190">
        <f>SUMIFS(Table1[Horas efetivas],Table1[Tabela],Plano_V3!E69,Table1[Campo],Plano_V3!F69)</f>
        <v>8.1</v>
      </c>
      <c r="L69" s="190">
        <f t="shared" si="21"/>
        <v>1.0125</v>
      </c>
      <c r="M69" s="184"/>
      <c r="N69" s="184">
        <f t="shared" si="22"/>
        <v>1</v>
      </c>
      <c r="O69" s="184">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x14ac:dyDescent="0.25">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1">
        <v>0</v>
      </c>
      <c r="J70" s="190">
        <f t="shared" si="20"/>
        <v>0</v>
      </c>
      <c r="K70" s="190">
        <f>SUMIFS(Table1[Horas efetivas],Table1[Tabela],Plano_V3!E70,Table1[Campo],Plano_V3!F70)</f>
        <v>0</v>
      </c>
      <c r="L70" s="190">
        <f t="shared" si="21"/>
        <v>0</v>
      </c>
      <c r="M70" s="184"/>
      <c r="N70" s="184" t="e">
        <f t="shared" si="22"/>
        <v>#DIV/0!</v>
      </c>
      <c r="O70" s="184"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x14ac:dyDescent="0.25">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90">
        <f>SUMIFS(Table1[Estimação (horas)],Table1[Tabela],Plano_V3!E71,Table1[Campo],Plano_V3!F71)</f>
        <v>8.1</v>
      </c>
      <c r="J71" s="190">
        <f t="shared" si="20"/>
        <v>1.0125</v>
      </c>
      <c r="K71" s="190">
        <f>SUMIFS(Table1[Horas efetivas],Table1[Tabela],Plano_V3!E71,Table1[Campo],Plano_V3!F71)</f>
        <v>8.1</v>
      </c>
      <c r="L71" s="190">
        <f t="shared" si="21"/>
        <v>1.0125</v>
      </c>
      <c r="M71" s="184"/>
      <c r="N71" s="184">
        <f t="shared" si="22"/>
        <v>1</v>
      </c>
      <c r="O71" s="184">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x14ac:dyDescent="0.25">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90">
        <f>SUMIFS(Table1[Estimação (horas)],Table1[Tabela],Plano_V3!E72,Table1[Campo],Plano_V3!F72)</f>
        <v>8.1</v>
      </c>
      <c r="J72" s="190">
        <f t="shared" si="20"/>
        <v>1.0125</v>
      </c>
      <c r="K72" s="190">
        <f>SUMIFS(Table1[Horas efetivas],Table1[Tabela],Plano_V3!E72,Table1[Campo],Plano_V3!F72)</f>
        <v>8.1</v>
      </c>
      <c r="L72" s="190">
        <f t="shared" si="21"/>
        <v>1.0125</v>
      </c>
      <c r="M72" s="184"/>
      <c r="N72" s="184">
        <f t="shared" si="22"/>
        <v>1</v>
      </c>
      <c r="O72" s="184">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x14ac:dyDescent="0.25">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90">
        <f>SUMIFS(Table1[Estimação (horas)],Table1[Tabela],Plano_V3!E73,Table1[Campo],Plano_V3!F73)</f>
        <v>8.1</v>
      </c>
      <c r="J73" s="190">
        <f t="shared" si="20"/>
        <v>1.0125</v>
      </c>
      <c r="K73" s="190">
        <f>SUMIFS(Table1[Horas efetivas],Table1[Tabela],Plano_V3!E73,Table1[Campo],Plano_V3!F73)</f>
        <v>8.1</v>
      </c>
      <c r="L73" s="190">
        <f t="shared" si="21"/>
        <v>1.0125</v>
      </c>
      <c r="M73" s="184"/>
      <c r="N73" s="184">
        <f t="shared" si="22"/>
        <v>1</v>
      </c>
      <c r="O73" s="184">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x14ac:dyDescent="0.25">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90">
        <f>SUMIFS(Table1[Estimação (horas)],Table1[Tabela],Plano_V3!E74,Table1[Campo],Plano_V3!F74)</f>
        <v>8.1</v>
      </c>
      <c r="J74" s="190">
        <f t="shared" si="20"/>
        <v>1.0125</v>
      </c>
      <c r="K74" s="190">
        <f>SUMIFS(Table1[Horas efetivas],Table1[Tabela],Plano_V3!E74,Table1[Campo],Plano_V3!F74)</f>
        <v>8.1</v>
      </c>
      <c r="L74" s="190">
        <f t="shared" si="21"/>
        <v>1.0125</v>
      </c>
      <c r="M74" s="184"/>
      <c r="N74" s="184">
        <f t="shared" si="22"/>
        <v>1</v>
      </c>
      <c r="O74" s="184">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x14ac:dyDescent="0.25">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90">
        <f>SUMIFS(Table1[Estimação (horas)],Table1[Tabela],Plano_V3!E75,Table1[Campo],Plano_V3!F75)</f>
        <v>8.1</v>
      </c>
      <c r="J75" s="190">
        <f t="shared" si="20"/>
        <v>1.0125</v>
      </c>
      <c r="K75" s="190">
        <f>SUMIFS(Table1[Horas efetivas],Table1[Tabela],Plano_V3!E75,Table1[Campo],Plano_V3!F75)</f>
        <v>8.1</v>
      </c>
      <c r="L75" s="190">
        <f t="shared" si="21"/>
        <v>1.0125</v>
      </c>
      <c r="M75" s="184"/>
      <c r="N75" s="184">
        <f t="shared" si="22"/>
        <v>1</v>
      </c>
      <c r="O75" s="184">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x14ac:dyDescent="0.25">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1">
        <v>0</v>
      </c>
      <c r="J76" s="190">
        <f t="shared" si="20"/>
        <v>0</v>
      </c>
      <c r="K76" s="190">
        <f>SUMIFS(Table1[Horas efetivas],Table1[Tabela],Plano_V3!E76,Table1[Campo],Plano_V3!F76)</f>
        <v>0</v>
      </c>
      <c r="L76" s="190">
        <f t="shared" si="21"/>
        <v>0</v>
      </c>
      <c r="M76" s="184"/>
      <c r="N76" s="184" t="e">
        <f t="shared" si="22"/>
        <v>#DIV/0!</v>
      </c>
      <c r="O76" s="184"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x14ac:dyDescent="0.25">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1">
        <v>0</v>
      </c>
      <c r="J77" s="190">
        <f t="shared" si="20"/>
        <v>0</v>
      </c>
      <c r="K77" s="190">
        <f>SUMIFS(Table1[Horas efetivas],Table1[Tabela],Plano_V3!E77,Table1[Campo],Plano_V3!F77)</f>
        <v>0</v>
      </c>
      <c r="L77" s="190">
        <f t="shared" si="21"/>
        <v>0</v>
      </c>
      <c r="M77" s="184"/>
      <c r="N77" s="184" t="e">
        <f t="shared" si="22"/>
        <v>#DIV/0!</v>
      </c>
      <c r="O77" s="184"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x14ac:dyDescent="0.25">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90">
        <f>SUMIFS(Table1[Estimação (horas)],Table1[Tabela],Plano_V3!E78,Table1[Campo],Plano_V3!F78)</f>
        <v>4.0999999999999996</v>
      </c>
      <c r="J78" s="190">
        <f t="shared" si="20"/>
        <v>0.51249999999999996</v>
      </c>
      <c r="K78" s="190">
        <f>SUMIFS(Table1[Horas efetivas],Table1[Tabela],Plano_V3!E78,Table1[Campo],Plano_V3!F78)</f>
        <v>4.0999999999999996</v>
      </c>
      <c r="L78" s="190">
        <f t="shared" si="21"/>
        <v>0.51249999999999996</v>
      </c>
      <c r="M78" s="184"/>
      <c r="N78" s="184">
        <f t="shared" si="22"/>
        <v>1</v>
      </c>
      <c r="O78" s="184">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x14ac:dyDescent="0.25">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90">
        <f>SUMIFS(Table1[Estimação (horas)],Table1[Tabela],Plano_V3!E79,Table1[Campo],Plano_V3!F79)</f>
        <v>4.0999999999999996</v>
      </c>
      <c r="J79" s="190">
        <f t="shared" si="20"/>
        <v>0.51249999999999996</v>
      </c>
      <c r="K79" s="190">
        <f>SUMIFS(Table1[Horas efetivas],Table1[Tabela],Plano_V3!E79,Table1[Campo],Plano_V3!F79)</f>
        <v>4.0999999999999996</v>
      </c>
      <c r="L79" s="190">
        <f t="shared" si="21"/>
        <v>0.51249999999999996</v>
      </c>
      <c r="M79" s="184"/>
      <c r="N79" s="184">
        <f t="shared" si="22"/>
        <v>1</v>
      </c>
      <c r="O79" s="184">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x14ac:dyDescent="0.25">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90">
        <f>SUMIFS(Table1[Estimação (horas)],Table1[Tabela],Plano_V3!E80,Table1[Campo],Plano_V3!F80)</f>
        <v>8</v>
      </c>
      <c r="J80" s="190">
        <f t="shared" si="20"/>
        <v>1</v>
      </c>
      <c r="K80" s="190">
        <f>SUMIFS(Table1[Horas efetivas],Table1[Tabela],Plano_V3!E80,Table1[Campo],Plano_V3!F80)</f>
        <v>8</v>
      </c>
      <c r="L80" s="190">
        <f t="shared" si="21"/>
        <v>1</v>
      </c>
      <c r="M80" s="184"/>
      <c r="N80" s="184">
        <f t="shared" si="22"/>
        <v>1</v>
      </c>
      <c r="O80" s="184">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x14ac:dyDescent="0.25">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90">
        <f>SUMIFS(Table1[Estimação (horas)],Table1[Tabela],Plano_V3!E81,Table1[Campo],Plano_V3!F81)</f>
        <v>4.0999999999999996</v>
      </c>
      <c r="J81" s="190">
        <f t="shared" si="20"/>
        <v>0.51249999999999996</v>
      </c>
      <c r="K81" s="190">
        <f>SUMIFS(Table1[Horas efetivas],Table1[Tabela],Plano_V3!E81,Table1[Campo],Plano_V3!F81)</f>
        <v>4.0999999999999996</v>
      </c>
      <c r="L81" s="190">
        <f t="shared" si="21"/>
        <v>0.51249999999999996</v>
      </c>
      <c r="M81" s="184"/>
      <c r="N81" s="184">
        <f t="shared" si="22"/>
        <v>1</v>
      </c>
      <c r="O81" s="184">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x14ac:dyDescent="0.25">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90">
        <f>SUMIFS(Table1[Estimação (horas)],Table1[Tabela],Plano_V3!E82,Table1[Campo],Plano_V3!F82)</f>
        <v>8.1</v>
      </c>
      <c r="J82" s="190">
        <f t="shared" si="20"/>
        <v>1.0125</v>
      </c>
      <c r="K82" s="190">
        <f>SUMIFS(Table1[Horas efetivas],Table1[Tabela],Plano_V3!E82,Table1[Campo],Plano_V3!F82)</f>
        <v>8.1</v>
      </c>
      <c r="L82" s="190">
        <f t="shared" si="21"/>
        <v>1.0125</v>
      </c>
      <c r="M82" s="184"/>
      <c r="N82" s="184">
        <f t="shared" si="22"/>
        <v>1</v>
      </c>
      <c r="O82" s="184">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x14ac:dyDescent="0.25">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90">
        <f>SUMIFS(Table1[Estimação (horas)],Table1[Tabela],Plano_V3!E83,Table1[Campo],Plano_V3!F83)</f>
        <v>8.1</v>
      </c>
      <c r="J83" s="190">
        <f t="shared" si="20"/>
        <v>1.0125</v>
      </c>
      <c r="K83" s="190">
        <f>SUMIFS(Table1[Horas efetivas],Table1[Tabela],Plano_V3!E83,Table1[Campo],Plano_V3!F83)</f>
        <v>8.1</v>
      </c>
      <c r="L83" s="190">
        <f t="shared" si="21"/>
        <v>1.0125</v>
      </c>
      <c r="M83" s="184"/>
      <c r="N83" s="184">
        <f t="shared" si="22"/>
        <v>1</v>
      </c>
      <c r="O83" s="184">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x14ac:dyDescent="0.25">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90">
        <f>SUMIFS(Table1[Estimação (horas)],Table1[Tabela],Plano_V3!E84,Table1[Campo],Plano_V3!F84)</f>
        <v>8.1</v>
      </c>
      <c r="J84" s="190">
        <f t="shared" si="20"/>
        <v>1.0125</v>
      </c>
      <c r="K84" s="190">
        <f>SUMIFS(Table1[Horas efetivas],Table1[Tabela],Plano_V3!E84,Table1[Campo],Plano_V3!F84)</f>
        <v>8.1</v>
      </c>
      <c r="L84" s="190">
        <f t="shared" si="21"/>
        <v>1.0125</v>
      </c>
      <c r="M84" s="184"/>
      <c r="N84" s="184">
        <f t="shared" si="22"/>
        <v>1</v>
      </c>
      <c r="O84" s="184">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x14ac:dyDescent="0.25">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90">
        <f>SUMIFS(Table1[Estimação (horas)],Table1[Tabela],Plano_V3!E85,Table1[Campo],Plano_V3!F85)</f>
        <v>8.1</v>
      </c>
      <c r="J85" s="190">
        <f t="shared" si="20"/>
        <v>1.0125</v>
      </c>
      <c r="K85" s="190">
        <f>SUMIFS(Table1[Horas efetivas],Table1[Tabela],Plano_V3!E85,Table1[Campo],Plano_V3!F85)</f>
        <v>8.1</v>
      </c>
      <c r="L85" s="190">
        <f t="shared" si="21"/>
        <v>1.0125</v>
      </c>
      <c r="M85" s="184"/>
      <c r="N85" s="184">
        <f t="shared" si="22"/>
        <v>1</v>
      </c>
      <c r="O85" s="184">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x14ac:dyDescent="0.25">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90">
        <f>SUMIFS(Table1[Estimação (horas)],Table1[Tabela],Plano_V3!E86,Table1[Campo],Plano_V3!F86)</f>
        <v>8.1</v>
      </c>
      <c r="J86" s="190">
        <f t="shared" si="20"/>
        <v>1.0125</v>
      </c>
      <c r="K86" s="190">
        <f>SUMIFS(Table1[Horas efetivas],Table1[Tabela],Plano_V3!E86,Table1[Campo],Plano_V3!F86)</f>
        <v>8.1</v>
      </c>
      <c r="L86" s="190">
        <f t="shared" si="21"/>
        <v>1.0125</v>
      </c>
      <c r="M86" s="184"/>
      <c r="N86" s="184">
        <f t="shared" si="22"/>
        <v>1</v>
      </c>
      <c r="O86" s="184">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x14ac:dyDescent="0.25">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90">
        <f>SUMIFS(Table1[Estimação (horas)],Table1[Tabela],Plano_V3!E87,Table1[Campo],Plano_V3!F87)</f>
        <v>4.0999999999999996</v>
      </c>
      <c r="J87" s="190">
        <f t="shared" si="20"/>
        <v>0.51249999999999996</v>
      </c>
      <c r="K87" s="190">
        <f>SUMIFS(Table1[Horas efetivas],Table1[Tabela],Plano_V3!E87,Table1[Campo],Plano_V3!F87)</f>
        <v>4.0999999999999996</v>
      </c>
      <c r="L87" s="190">
        <f t="shared" si="21"/>
        <v>0.51249999999999996</v>
      </c>
      <c r="M87" s="184"/>
      <c r="N87" s="184">
        <f t="shared" si="22"/>
        <v>1</v>
      </c>
      <c r="O87" s="184">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x14ac:dyDescent="0.25">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90">
        <f>SUMIFS(Table1[Estimação (horas)],Table1[Tabela],Plano_V3!E88,Table1[Campo],Plano_V3!F88)</f>
        <v>8.1</v>
      </c>
      <c r="J88" s="190">
        <f t="shared" si="20"/>
        <v>1.0125</v>
      </c>
      <c r="K88" s="190">
        <f>SUMIFS(Table1[Horas efetivas],Table1[Tabela],Plano_V3!E88,Table1[Campo],Plano_V3!F88)</f>
        <v>8.1</v>
      </c>
      <c r="L88" s="190">
        <f t="shared" si="21"/>
        <v>1.0125</v>
      </c>
      <c r="M88" s="184"/>
      <c r="N88" s="184">
        <f t="shared" si="22"/>
        <v>1</v>
      </c>
      <c r="O88" s="184">
        <f t="shared" ref="O88:O152"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x14ac:dyDescent="0.25">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1">
        <v>0</v>
      </c>
      <c r="J89" s="190">
        <f t="shared" si="20"/>
        <v>0</v>
      </c>
      <c r="K89" s="190">
        <f>SUMIFS(Table1[Horas efetivas],Table1[Tabela],Plano_V3!E89,Table1[Campo],Plano_V3!F89)</f>
        <v>0</v>
      </c>
      <c r="L89" s="190">
        <f t="shared" si="21"/>
        <v>0</v>
      </c>
      <c r="M89" s="184"/>
      <c r="N89" s="184" t="e">
        <f t="shared" si="22"/>
        <v>#DIV/0!</v>
      </c>
      <c r="O89" s="184" t="e">
        <f t="shared" si="23"/>
        <v>#DIV/0!</v>
      </c>
      <c r="P89" s="90" t="s">
        <v>56</v>
      </c>
      <c r="Q89" s="91">
        <f t="shared" ref="Q89:Q153"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x14ac:dyDescent="0.25">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90">
        <f>SUMIFS(Table1[Estimação (horas)],Table1[Tabela],Plano_V3!E90,Table1[Campo],Plano_V3!F90)</f>
        <v>4.0999999999999996</v>
      </c>
      <c r="J90" s="190">
        <f t="shared" si="20"/>
        <v>0.51249999999999996</v>
      </c>
      <c r="K90" s="190">
        <f>SUMIFS(Table1[Horas efetivas],Table1[Tabela],Plano_V3!E90,Table1[Campo],Plano_V3!F90)</f>
        <v>4.0999999999999996</v>
      </c>
      <c r="L90" s="190">
        <f t="shared" si="21"/>
        <v>0.51249999999999996</v>
      </c>
      <c r="M90" s="184"/>
      <c r="N90" s="184">
        <f t="shared" si="22"/>
        <v>1</v>
      </c>
      <c r="O90" s="184">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x14ac:dyDescent="0.25">
      <c r="A91" s="30" t="str">
        <f t="shared" ref="A91:A155"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90">
        <f>SUMIFS(Table1[Estimação (horas)],Table1[Tabela],Plano_V3!E91,Table1[Campo],Plano_V3!F91)</f>
        <v>4.0999999999999996</v>
      </c>
      <c r="J91" s="190">
        <f t="shared" si="20"/>
        <v>0.51249999999999996</v>
      </c>
      <c r="K91" s="190">
        <f>SUMIFS(Table1[Horas efetivas],Table1[Tabela],Plano_V3!E91,Table1[Campo],Plano_V3!F91)</f>
        <v>4.0999999999999996</v>
      </c>
      <c r="L91" s="190">
        <f t="shared" si="21"/>
        <v>0.51249999999999996</v>
      </c>
      <c r="M91" s="184"/>
      <c r="N91" s="184">
        <f t="shared" si="22"/>
        <v>1</v>
      </c>
      <c r="O91" s="184">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x14ac:dyDescent="0.25">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90">
        <f>SUMIFS(Table1[Estimação (horas)],Table1[Tabela],Plano_V3!E92,Table1[Campo],Plano_V3!F92)</f>
        <v>4.0999999999999996</v>
      </c>
      <c r="J92" s="190">
        <f t="shared" si="20"/>
        <v>0.51249999999999996</v>
      </c>
      <c r="K92" s="190">
        <f>SUMIFS(Table1[Horas efetivas],Table1[Tabela],Plano_V3!E92,Table1[Campo],Plano_V3!F92)</f>
        <v>4.0999999999999996</v>
      </c>
      <c r="L92" s="190">
        <f t="shared" si="21"/>
        <v>0.51249999999999996</v>
      </c>
      <c r="M92" s="184"/>
      <c r="N92" s="184">
        <f t="shared" si="22"/>
        <v>1</v>
      </c>
      <c r="O92" s="184">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x14ac:dyDescent="0.25">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90">
        <f>SUMIFS(Table1[Estimação (horas)],Table1[Tabela],Plano_V3!E93,Table1[Campo],Plano_V3!F93)</f>
        <v>4.0999999999999996</v>
      </c>
      <c r="J93" s="190">
        <f t="shared" si="20"/>
        <v>0.51249999999999996</v>
      </c>
      <c r="K93" s="190">
        <f>SUMIFS(Table1[Horas efetivas],Table1[Tabela],Plano_V3!E93,Table1[Campo],Plano_V3!F93)</f>
        <v>4.0999999999999996</v>
      </c>
      <c r="L93" s="190">
        <f t="shared" si="21"/>
        <v>0.51249999999999996</v>
      </c>
      <c r="M93" s="184"/>
      <c r="N93" s="184">
        <f t="shared" si="22"/>
        <v>1</v>
      </c>
      <c r="O93" s="184">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x14ac:dyDescent="0.25">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90">
        <f>SUMIFS(Table1[Estimação (horas)],Table1[Tabela],Plano_V3!E94,Table1[Campo],Plano_V3!F94)</f>
        <v>4.0999999999999996</v>
      </c>
      <c r="J94" s="190">
        <f t="shared" si="20"/>
        <v>0.51249999999999996</v>
      </c>
      <c r="K94" s="190">
        <f>SUMIFS(Table1[Horas efetivas],Table1[Tabela],Plano_V3!E94,Table1[Campo],Plano_V3!F94)</f>
        <v>4.0999999999999996</v>
      </c>
      <c r="L94" s="190">
        <f t="shared" si="21"/>
        <v>0.51249999999999996</v>
      </c>
      <c r="M94" s="184"/>
      <c r="N94" s="184">
        <f t="shared" si="22"/>
        <v>1</v>
      </c>
      <c r="O94" s="184">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x14ac:dyDescent="0.25">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90">
        <f>SUMIFS(Table1[Estimação (horas)],Table1[Tabela],Plano_V3!E95,Table1[Campo],Plano_V3!F95)</f>
        <v>4.0999999999999996</v>
      </c>
      <c r="J95" s="190">
        <f t="shared" si="20"/>
        <v>0.51249999999999996</v>
      </c>
      <c r="K95" s="190">
        <f>SUMIFS(Table1[Horas efetivas],Table1[Tabela],Plano_V3!E95,Table1[Campo],Plano_V3!F95)</f>
        <v>4.0999999999999996</v>
      </c>
      <c r="L95" s="190">
        <f t="shared" si="21"/>
        <v>0.51249999999999996</v>
      </c>
      <c r="M95" s="184"/>
      <c r="N95" s="184">
        <f t="shared" si="22"/>
        <v>1</v>
      </c>
      <c r="O95" s="184">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x14ac:dyDescent="0.4">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90">
        <f>SUMIFS(Table1[Estimação (horas)],Table1[Tabela],Plano_V3!E96,Table1[Campo],Plano_V3!F96)</f>
        <v>8</v>
      </c>
      <c r="J96" s="190">
        <f t="shared" si="20"/>
        <v>1</v>
      </c>
      <c r="K96" s="190">
        <f>SUMIFS(Table1[Horas efetivas],Table1[Tabela],Plano_V3!E96,Table1[Campo],Plano_V3!F96)</f>
        <v>8</v>
      </c>
      <c r="L96" s="190">
        <f t="shared" si="21"/>
        <v>1</v>
      </c>
      <c r="M96" s="184"/>
      <c r="N96" s="184">
        <f t="shared" si="22"/>
        <v>1</v>
      </c>
      <c r="O96" s="184">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x14ac:dyDescent="0.4">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1">
        <v>0</v>
      </c>
      <c r="J97" s="190">
        <f t="shared" si="20"/>
        <v>0</v>
      </c>
      <c r="K97" s="190">
        <f>SUMIFS(Table1[Horas efetivas],Table1[Tabela],Plano_V3!E97,Table1[Campo],Plano_V3!F97)</f>
        <v>4</v>
      </c>
      <c r="L97" s="190">
        <f t="shared" si="21"/>
        <v>0.5</v>
      </c>
      <c r="M97" s="184"/>
      <c r="N97" s="184" t="e">
        <f t="shared" si="22"/>
        <v>#DIV/0!</v>
      </c>
      <c r="O97" s="184"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x14ac:dyDescent="0.4">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90">
        <f>SUMIFS(Table1[Estimação (horas)],Table1[Tabela],Plano_V3!E98,Table1[Campo],Plano_V3!F98)</f>
        <v>8.1</v>
      </c>
      <c r="J98" s="190">
        <f t="shared" si="20"/>
        <v>1.0125</v>
      </c>
      <c r="K98" s="190">
        <f>SUMIFS(Table1[Horas efetivas],Table1[Tabela],Plano_V3!E98,Table1[Campo],Plano_V3!F98)</f>
        <v>8.1</v>
      </c>
      <c r="L98" s="190">
        <f t="shared" si="21"/>
        <v>1.0125</v>
      </c>
      <c r="M98" s="184"/>
      <c r="N98" s="184">
        <f t="shared" si="22"/>
        <v>1</v>
      </c>
      <c r="O98" s="184">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x14ac:dyDescent="0.4">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90">
        <f>SUMIFS(Table1[Estimação (horas)],Table1[Tabela],Plano_V3!E99,Table1[Campo],Plano_V3!F99)</f>
        <v>4.0999999999999996</v>
      </c>
      <c r="J99" s="190">
        <f t="shared" si="20"/>
        <v>0.51249999999999996</v>
      </c>
      <c r="K99" s="190">
        <f>SUMIFS(Table1[Horas efetivas],Table1[Tabela],Plano_V3!E99,Table1[Campo],Plano_V3!F99)</f>
        <v>4.0999999999999996</v>
      </c>
      <c r="L99" s="190">
        <f t="shared" si="21"/>
        <v>0.51249999999999996</v>
      </c>
      <c r="M99" s="184"/>
      <c r="N99" s="184">
        <f t="shared" si="22"/>
        <v>1</v>
      </c>
      <c r="O99" s="184">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x14ac:dyDescent="0.4">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90">
        <f>SUMIFS(Table1[Estimação (horas)],Table1[Tabela],Plano_V3!E100,Table1[Campo],Plano_V3!F100)</f>
        <v>4.0999999999999996</v>
      </c>
      <c r="J100" s="190">
        <f t="shared" si="20"/>
        <v>0.51249999999999996</v>
      </c>
      <c r="K100" s="190">
        <f>SUMIFS(Table1[Horas efetivas],Table1[Tabela],Plano_V3!E100,Table1[Campo],Plano_V3!F100)</f>
        <v>4.0999999999999996</v>
      </c>
      <c r="L100" s="190">
        <f t="shared" si="21"/>
        <v>0.51249999999999996</v>
      </c>
      <c r="M100" s="184"/>
      <c r="N100" s="184">
        <f t="shared" si="22"/>
        <v>1</v>
      </c>
      <c r="O100" s="184">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x14ac:dyDescent="0.4">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90">
        <f>SUMIFS(Table1[Estimação (horas)],Table1[Tabela],Plano_V3!E101,Table1[Campo],Plano_V3!F101)</f>
        <v>4.0999999999999996</v>
      </c>
      <c r="J101" s="190">
        <f t="shared" si="20"/>
        <v>0.51249999999999996</v>
      </c>
      <c r="K101" s="190">
        <f>SUMIFS(Table1[Horas efetivas],Table1[Tabela],Plano_V3!E101,Table1[Campo],Plano_V3!F101)</f>
        <v>4.0999999999999996</v>
      </c>
      <c r="L101" s="190">
        <f t="shared" si="21"/>
        <v>0.51249999999999996</v>
      </c>
      <c r="M101" s="184"/>
      <c r="N101" s="184">
        <f t="shared" si="22"/>
        <v>1</v>
      </c>
      <c r="O101" s="184">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x14ac:dyDescent="0.4">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90">
        <f>SUMIFS(Table1[Estimação (horas)],Table1[Tabela],Plano_V3!E102,Table1[Campo],Plano_V3!F102)</f>
        <v>4.0999999999999996</v>
      </c>
      <c r="J102" s="190">
        <f t="shared" si="20"/>
        <v>0.51249999999999996</v>
      </c>
      <c r="K102" s="190">
        <f>SUMIFS(Table1[Horas efetivas],Table1[Tabela],Plano_V3!E102,Table1[Campo],Plano_V3!F102)</f>
        <v>4.0999999999999996</v>
      </c>
      <c r="L102" s="190">
        <f t="shared" si="21"/>
        <v>0.51249999999999996</v>
      </c>
      <c r="M102" s="184"/>
      <c r="N102" s="184">
        <f t="shared" si="22"/>
        <v>1</v>
      </c>
      <c r="O102" s="184">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x14ac:dyDescent="0.4">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90">
        <f>SUMIFS(Table1[Estimação (horas)],Table1[Tabela],Plano_V3!E103,Table1[Campo],Plano_V3!F103)</f>
        <v>4.0999999999999996</v>
      </c>
      <c r="J103" s="190">
        <f t="shared" si="20"/>
        <v>0.51249999999999996</v>
      </c>
      <c r="K103" s="190">
        <f>SUMIFS(Table1[Horas efetivas],Table1[Tabela],Plano_V3!E103,Table1[Campo],Plano_V3!F103)</f>
        <v>4.0999999999999996</v>
      </c>
      <c r="L103" s="190">
        <f t="shared" si="21"/>
        <v>0.51249999999999996</v>
      </c>
      <c r="M103" s="184"/>
      <c r="N103" s="184">
        <f t="shared" si="22"/>
        <v>1</v>
      </c>
      <c r="O103" s="184">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x14ac:dyDescent="0.4">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90">
        <f>SUMIFS(Table1[Estimação (horas)],Table1[Tabela],Plano_V3!E104,Table1[Campo],Plano_V3!F104)</f>
        <v>4.0999999999999996</v>
      </c>
      <c r="J104" s="190">
        <f t="shared" si="20"/>
        <v>0.51249999999999996</v>
      </c>
      <c r="K104" s="190">
        <f>SUMIFS(Table1[Horas efetivas],Table1[Tabela],Plano_V3!E104,Table1[Campo],Plano_V3!F104)</f>
        <v>4.0999999999999996</v>
      </c>
      <c r="L104" s="190">
        <f t="shared" si="21"/>
        <v>0.51249999999999996</v>
      </c>
      <c r="M104" s="184"/>
      <c r="N104" s="184">
        <f t="shared" si="22"/>
        <v>1</v>
      </c>
      <c r="O104" s="184">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x14ac:dyDescent="0.4">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1">
        <v>0</v>
      </c>
      <c r="J105" s="190">
        <f t="shared" ref="J105:J169" si="26">I105/8</f>
        <v>0</v>
      </c>
      <c r="K105" s="190">
        <f>SUMIFS(Table1[Horas efetivas],Table1[Tabela],Plano_V3!E105,Table1[Campo],Plano_V3!F105)</f>
        <v>0</v>
      </c>
      <c r="L105" s="190">
        <f t="shared" ref="L105:L169" si="27">K105/8</f>
        <v>0</v>
      </c>
      <c r="M105" s="184"/>
      <c r="N105" s="184" t="e">
        <f t="shared" ref="N105:N169" si="28">L105/J105</f>
        <v>#DIV/0!</v>
      </c>
      <c r="O105" s="184"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x14ac:dyDescent="0.4">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90">
        <f>SUMIFS(Table1[Estimação (horas)],Table1[Tabela],Plano_V3!E106,Table1[Campo],Plano_V3!F106)</f>
        <v>4.0999999999999996</v>
      </c>
      <c r="J106" s="190">
        <f t="shared" si="26"/>
        <v>0.51249999999999996</v>
      </c>
      <c r="K106" s="190">
        <f>SUMIFS(Table1[Horas efetivas],Table1[Tabela],Plano_V3!E106,Table1[Campo],Plano_V3!F106)</f>
        <v>4.0999999999999996</v>
      </c>
      <c r="L106" s="190">
        <f t="shared" si="27"/>
        <v>0.51249999999999996</v>
      </c>
      <c r="M106" s="184"/>
      <c r="N106" s="184">
        <f t="shared" si="28"/>
        <v>1</v>
      </c>
      <c r="O106" s="184">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x14ac:dyDescent="0.4">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90">
        <f>SUMIFS(Table1[Estimação (horas)],Table1[Tabela],Plano_V3!E107,Table1[Campo],Plano_V3!F107)</f>
        <v>4.0999999999999996</v>
      </c>
      <c r="J107" s="190">
        <f t="shared" si="26"/>
        <v>0.51249999999999996</v>
      </c>
      <c r="K107" s="190">
        <f>SUMIFS(Table1[Horas efetivas],Table1[Tabela],Plano_V3!E107,Table1[Campo],Plano_V3!F107)</f>
        <v>4.0999999999999996</v>
      </c>
      <c r="L107" s="190">
        <f t="shared" si="27"/>
        <v>0.51249999999999996</v>
      </c>
      <c r="M107" s="184"/>
      <c r="N107" s="184">
        <f t="shared" si="28"/>
        <v>1</v>
      </c>
      <c r="O107" s="184">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x14ac:dyDescent="0.4">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90">
        <f>SUMIFS(Table1[Estimação (horas)],Table1[Tabela],Plano_V3!E108,Table1[Campo],Plano_V3!F108)</f>
        <v>4.0999999999999996</v>
      </c>
      <c r="J108" s="190">
        <f t="shared" si="26"/>
        <v>0.51249999999999996</v>
      </c>
      <c r="K108" s="190">
        <f>SUMIFS(Table1[Horas efetivas],Table1[Tabela],Plano_V3!E108,Table1[Campo],Plano_V3!F108)</f>
        <v>4.0999999999999996</v>
      </c>
      <c r="L108" s="190">
        <f t="shared" si="27"/>
        <v>0.51249999999999996</v>
      </c>
      <c r="M108" s="184"/>
      <c r="N108" s="184">
        <f t="shared" si="28"/>
        <v>1</v>
      </c>
      <c r="O108" s="184">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x14ac:dyDescent="0.4">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90">
        <f>SUMIFS(Table1[Estimação (horas)],Table1[Tabela],Plano_V3!E109,Table1[Campo],Plano_V3!F109)</f>
        <v>4.0999999999999996</v>
      </c>
      <c r="J109" s="190">
        <f t="shared" si="26"/>
        <v>0.51249999999999996</v>
      </c>
      <c r="K109" s="190">
        <f>SUMIFS(Table1[Horas efetivas],Table1[Tabela],Plano_V3!E109,Table1[Campo],Plano_V3!F109)</f>
        <v>4.0999999999999996</v>
      </c>
      <c r="L109" s="190">
        <f t="shared" si="27"/>
        <v>0.51249999999999996</v>
      </c>
      <c r="M109" s="184"/>
      <c r="N109" s="184">
        <f t="shared" si="28"/>
        <v>1</v>
      </c>
      <c r="O109" s="184">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x14ac:dyDescent="0.4">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90">
        <f>SUMIFS(Table1[Estimação (horas)],Table1[Tabela],Plano_V3!E110,Table1[Campo],Plano_V3!F110)</f>
        <v>4.0999999999999996</v>
      </c>
      <c r="J110" s="190">
        <f t="shared" si="26"/>
        <v>0.51249999999999996</v>
      </c>
      <c r="K110" s="190">
        <f>SUMIFS(Table1[Horas efetivas],Table1[Tabela],Plano_V3!E110,Table1[Campo],Plano_V3!F110)</f>
        <v>4.0999999999999996</v>
      </c>
      <c r="L110" s="190">
        <f t="shared" si="27"/>
        <v>0.51249999999999996</v>
      </c>
      <c r="M110" s="184"/>
      <c r="N110" s="184">
        <f t="shared" si="28"/>
        <v>1</v>
      </c>
      <c r="O110" s="184">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x14ac:dyDescent="0.4">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90">
        <f>SUMIFS(Table1[Estimação (horas)],Table1[Tabela],Plano_V3!E111,Table1[Campo],Plano_V3!F111)</f>
        <v>4.0999999999999996</v>
      </c>
      <c r="J111" s="190">
        <f t="shared" si="26"/>
        <v>0.51249999999999996</v>
      </c>
      <c r="K111" s="190">
        <f>SUMIFS(Table1[Horas efetivas],Table1[Tabela],Plano_V3!E111,Table1[Campo],Plano_V3!F111)</f>
        <v>4.0999999999999996</v>
      </c>
      <c r="L111" s="190">
        <f t="shared" si="27"/>
        <v>0.51249999999999996</v>
      </c>
      <c r="M111" s="184"/>
      <c r="N111" s="184">
        <f t="shared" si="28"/>
        <v>1</v>
      </c>
      <c r="O111" s="184">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x14ac:dyDescent="0.4">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90">
        <f>SUMIFS(Table1[Estimação (horas)],Table1[Tabela],Plano_V3!E112,Table1[Campo],Plano_V3!F112)</f>
        <v>4.0999999999999996</v>
      </c>
      <c r="J112" s="190">
        <f t="shared" si="26"/>
        <v>0.51249999999999996</v>
      </c>
      <c r="K112" s="190">
        <f>SUMIFS(Table1[Horas efetivas],Table1[Tabela],Plano_V3!E112,Table1[Campo],Plano_V3!F112)</f>
        <v>4.0999999999999996</v>
      </c>
      <c r="L112" s="190">
        <f t="shared" si="27"/>
        <v>0.51249999999999996</v>
      </c>
      <c r="M112" s="184"/>
      <c r="N112" s="184">
        <f t="shared" si="28"/>
        <v>1</v>
      </c>
      <c r="O112" s="184">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x14ac:dyDescent="0.4">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90">
        <f>SUMIFS(Table1[Estimação (horas)],Table1[Tabela],Plano_V3!E113,Table1[Campo],Plano_V3!F113)</f>
        <v>4.0999999999999996</v>
      </c>
      <c r="J113" s="190">
        <f t="shared" si="26"/>
        <v>0.51249999999999996</v>
      </c>
      <c r="K113" s="190">
        <f>SUMIFS(Table1[Horas efetivas],Table1[Tabela],Plano_V3!E113,Table1[Campo],Plano_V3!F113)</f>
        <v>4.0999999999999996</v>
      </c>
      <c r="L113" s="190">
        <f t="shared" si="27"/>
        <v>0.51249999999999996</v>
      </c>
      <c r="M113" s="184"/>
      <c r="N113" s="184">
        <f t="shared" si="28"/>
        <v>1</v>
      </c>
      <c r="O113" s="184">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x14ac:dyDescent="0.4">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90">
        <f>SUMIFS(Table1[Estimação (horas)],Table1[Tabela],Plano_V3!E114,Table1[Campo],Plano_V3!F114)</f>
        <v>4.0999999999999996</v>
      </c>
      <c r="J114" s="190">
        <f t="shared" si="26"/>
        <v>0.51249999999999996</v>
      </c>
      <c r="K114" s="190">
        <f>SUMIFS(Table1[Horas efetivas],Table1[Tabela],Plano_V3!E114,Table1[Campo],Plano_V3!F114)</f>
        <v>4.0999999999999996</v>
      </c>
      <c r="L114" s="190">
        <f t="shared" si="27"/>
        <v>0.51249999999999996</v>
      </c>
      <c r="M114" s="184"/>
      <c r="N114" s="184">
        <f t="shared" si="28"/>
        <v>1</v>
      </c>
      <c r="O114" s="184">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x14ac:dyDescent="0.4">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90">
        <f>SUMIFS(Table1[Estimação (horas)],Table1[Tabela],Plano_V3!E115,Table1[Campo],Plano_V3!F115)</f>
        <v>4.0999999999999996</v>
      </c>
      <c r="J115" s="190">
        <f t="shared" si="26"/>
        <v>0.51249999999999996</v>
      </c>
      <c r="K115" s="190">
        <f>SUMIFS(Table1[Horas efetivas],Table1[Tabela],Plano_V3!E115,Table1[Campo],Plano_V3!F115)</f>
        <v>4.0999999999999996</v>
      </c>
      <c r="L115" s="190">
        <f t="shared" si="27"/>
        <v>0.51249999999999996</v>
      </c>
      <c r="M115" s="184"/>
      <c r="N115" s="184">
        <f t="shared" si="28"/>
        <v>1</v>
      </c>
      <c r="O115" s="184">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x14ac:dyDescent="0.4">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90">
        <f>SUMIFS(Table1[Estimação (horas)],Table1[Tabela],Plano_V3!E116,Table1[Campo],Plano_V3!F116)</f>
        <v>4.0999999999999996</v>
      </c>
      <c r="J116" s="190">
        <f t="shared" si="26"/>
        <v>0.51249999999999996</v>
      </c>
      <c r="K116" s="190">
        <f>SUMIFS(Table1[Horas efetivas],Table1[Tabela],Plano_V3!E116,Table1[Campo],Plano_V3!F116)</f>
        <v>4.0999999999999996</v>
      </c>
      <c r="L116" s="190">
        <f t="shared" si="27"/>
        <v>0.51249999999999996</v>
      </c>
      <c r="M116" s="184"/>
      <c r="N116" s="184">
        <f t="shared" si="28"/>
        <v>1</v>
      </c>
      <c r="O116" s="184">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x14ac:dyDescent="0.4">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90">
        <f>SUMIFS(Table1[Estimação (horas)],Table1[Tabela],Plano_V3!E117,Table1[Campo],Plano_V3!F117)</f>
        <v>4.0999999999999996</v>
      </c>
      <c r="J117" s="190">
        <f t="shared" si="26"/>
        <v>0.51249999999999996</v>
      </c>
      <c r="K117" s="190">
        <f>SUMIFS(Table1[Horas efetivas],Table1[Tabela],Plano_V3!E117,Table1[Campo],Plano_V3!F117)</f>
        <v>4.0999999999999996</v>
      </c>
      <c r="L117" s="190">
        <f t="shared" si="27"/>
        <v>0.51249999999999996</v>
      </c>
      <c r="M117" s="184"/>
      <c r="N117" s="184">
        <f t="shared" si="28"/>
        <v>1</v>
      </c>
      <c r="O117" s="184">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x14ac:dyDescent="0.4">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90">
        <f>SUMIFS(Table1[Estimação (horas)],Table1[Tabela],Plano_V3!E118,Table1[Campo],Plano_V3!F118)</f>
        <v>4.0999999999999996</v>
      </c>
      <c r="J118" s="190">
        <f t="shared" si="26"/>
        <v>0.51249999999999996</v>
      </c>
      <c r="K118" s="190">
        <f>SUMIFS(Table1[Horas efetivas],Table1[Tabela],Plano_V3!E118,Table1[Campo],Plano_V3!F118)</f>
        <v>4.0999999999999996</v>
      </c>
      <c r="L118" s="190">
        <f t="shared" si="27"/>
        <v>0.51249999999999996</v>
      </c>
      <c r="M118" s="184"/>
      <c r="N118" s="184">
        <f t="shared" si="28"/>
        <v>1</v>
      </c>
      <c r="O118" s="184">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x14ac:dyDescent="0.4">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90">
        <f>SUMIFS(Table1[Estimação (horas)],Table1[Tabela],Plano_V3!E119,Table1[Campo],Plano_V3!F119)</f>
        <v>4.0999999999999996</v>
      </c>
      <c r="J119" s="190">
        <f t="shared" si="26"/>
        <v>0.51249999999999996</v>
      </c>
      <c r="K119" s="190">
        <f>SUMIFS(Table1[Horas efetivas],Table1[Tabela],Plano_V3!E119,Table1[Campo],Plano_V3!F119)</f>
        <v>4.0999999999999996</v>
      </c>
      <c r="L119" s="190">
        <f t="shared" si="27"/>
        <v>0.51249999999999996</v>
      </c>
      <c r="M119" s="184"/>
      <c r="N119" s="184">
        <f t="shared" si="28"/>
        <v>1</v>
      </c>
      <c r="O119" s="184">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x14ac:dyDescent="0.4">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90">
        <f>SUMIFS(Table1[Estimação (horas)],Table1[Tabela],Plano_V3!E120,Table1[Campo],Plano_V3!F120)</f>
        <v>4.0999999999999996</v>
      </c>
      <c r="J120" s="190">
        <f t="shared" si="26"/>
        <v>0.51249999999999996</v>
      </c>
      <c r="K120" s="190">
        <f>SUMIFS(Table1[Horas efetivas],Table1[Tabela],Plano_V3!E120,Table1[Campo],Plano_V3!F120)</f>
        <v>4.0999999999999996</v>
      </c>
      <c r="L120" s="190">
        <f t="shared" si="27"/>
        <v>0.51249999999999996</v>
      </c>
      <c r="M120" s="184"/>
      <c r="N120" s="184">
        <f t="shared" si="28"/>
        <v>1</v>
      </c>
      <c r="O120" s="184">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x14ac:dyDescent="0.4">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90">
        <f>SUMIFS(Table1[Estimação (horas)],Table1[Tabela],Plano_V3!E121,Table1[Campo],Plano_V3!F121)</f>
        <v>4.0999999999999996</v>
      </c>
      <c r="J121" s="190">
        <f t="shared" si="26"/>
        <v>0.51249999999999996</v>
      </c>
      <c r="K121" s="190">
        <f>SUMIFS(Table1[Horas efetivas],Table1[Tabela],Plano_V3!E121,Table1[Campo],Plano_V3!F121)</f>
        <v>4.0999999999999996</v>
      </c>
      <c r="L121" s="190">
        <f t="shared" si="27"/>
        <v>0.51249999999999996</v>
      </c>
      <c r="M121" s="184"/>
      <c r="N121" s="184">
        <f t="shared" si="28"/>
        <v>1</v>
      </c>
      <c r="O121" s="184">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x14ac:dyDescent="0.4">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90">
        <f>SUMIFS(Table1[Estimação (horas)],Table1[Tabela],Plano_V3!E122,Table1[Campo],Plano_V3!F122)</f>
        <v>4.0999999999999996</v>
      </c>
      <c r="J122" s="190">
        <f t="shared" si="26"/>
        <v>0.51249999999999996</v>
      </c>
      <c r="K122" s="190">
        <f>SUMIFS(Table1[Horas efetivas],Table1[Tabela],Plano_V3!E122,Table1[Campo],Plano_V3!F122)</f>
        <v>4.0999999999999996</v>
      </c>
      <c r="L122" s="190">
        <f t="shared" si="27"/>
        <v>0.51249999999999996</v>
      </c>
      <c r="M122" s="184"/>
      <c r="N122" s="184">
        <f t="shared" si="28"/>
        <v>1</v>
      </c>
      <c r="O122" s="184">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x14ac:dyDescent="0.4">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90">
        <f>SUMIFS(Table1[Estimação (horas)],Table1[Tabela],Plano_V3!E123,Table1[Campo],Plano_V3!F123)</f>
        <v>4.0999999999999996</v>
      </c>
      <c r="J123" s="190">
        <f t="shared" si="26"/>
        <v>0.51249999999999996</v>
      </c>
      <c r="K123" s="190">
        <f>SUMIFS(Table1[Horas efetivas],Table1[Tabela],Plano_V3!E123,Table1[Campo],Plano_V3!F123)</f>
        <v>4.0999999999999996</v>
      </c>
      <c r="L123" s="190">
        <f t="shared" si="27"/>
        <v>0.51249999999999996</v>
      </c>
      <c r="M123" s="184"/>
      <c r="N123" s="184">
        <f t="shared" si="28"/>
        <v>1</v>
      </c>
      <c r="O123" s="184">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x14ac:dyDescent="0.4">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90">
        <f>SUMIFS(Table1[Estimação (horas)],Table1[Tabela],Plano_V3!E124,Table1[Campo],Plano_V3!F124)</f>
        <v>4.0999999999999996</v>
      </c>
      <c r="J124" s="190">
        <f t="shared" si="26"/>
        <v>0.51249999999999996</v>
      </c>
      <c r="K124" s="190">
        <f>SUMIFS(Table1[Horas efetivas],Table1[Tabela],Plano_V3!E124,Table1[Campo],Plano_V3!F124)</f>
        <v>0</v>
      </c>
      <c r="L124" s="190">
        <f t="shared" si="27"/>
        <v>0</v>
      </c>
      <c r="M124" s="184"/>
      <c r="N124" s="184">
        <f t="shared" si="28"/>
        <v>0</v>
      </c>
      <c r="O124" s="184">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x14ac:dyDescent="0.4">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90">
        <f>SUMIFS(Table1[Estimação (horas)],Table1[Tabela],Plano_V3!E125,Table1[Campo],Plano_V3!F125)</f>
        <v>8.1</v>
      </c>
      <c r="J125" s="190">
        <f t="shared" si="26"/>
        <v>1.0125</v>
      </c>
      <c r="K125" s="190">
        <f>SUMIFS(Table1[Horas efetivas],Table1[Tabela],Plano_V3!E125,Table1[Campo],Plano_V3!F125)</f>
        <v>8.1</v>
      </c>
      <c r="L125" s="190">
        <f t="shared" si="27"/>
        <v>1.0125</v>
      </c>
      <c r="M125" s="184"/>
      <c r="N125" s="184">
        <f t="shared" si="28"/>
        <v>1</v>
      </c>
      <c r="O125" s="184">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x14ac:dyDescent="0.4">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90">
        <f>SUMIFS(Table1[Estimação (horas)],Table1[Tabela],Plano_V3!E126,Table1[Campo],Plano_V3!F126)</f>
        <v>8.1</v>
      </c>
      <c r="J126" s="190">
        <f t="shared" si="26"/>
        <v>1.0125</v>
      </c>
      <c r="K126" s="190">
        <f>SUMIFS(Table1[Horas efetivas],Table1[Tabela],Plano_V3!E126,Table1[Campo],Plano_V3!F126)</f>
        <v>8.1</v>
      </c>
      <c r="L126" s="190">
        <f t="shared" si="27"/>
        <v>1.0125</v>
      </c>
      <c r="M126" s="184"/>
      <c r="N126" s="184">
        <f t="shared" si="28"/>
        <v>1</v>
      </c>
      <c r="O126" s="184">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x14ac:dyDescent="0.4">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90">
        <f>SUMIFS(Table1[Estimação (horas)],Table1[Tabela],Plano_V3!E127,Table1[Campo],Plano_V3!F127)</f>
        <v>4.0999999999999996</v>
      </c>
      <c r="J127" s="190">
        <f t="shared" si="26"/>
        <v>0.51249999999999996</v>
      </c>
      <c r="K127" s="190">
        <f>SUMIFS(Table1[Horas efetivas],Table1[Tabela],Plano_V3!E127,Table1[Campo],Plano_V3!F127)</f>
        <v>4.0999999999999996</v>
      </c>
      <c r="L127" s="190">
        <f t="shared" si="27"/>
        <v>0.51249999999999996</v>
      </c>
      <c r="M127" s="184"/>
      <c r="N127" s="184">
        <f t="shared" si="28"/>
        <v>1</v>
      </c>
      <c r="O127" s="184">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x14ac:dyDescent="0.4">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90">
        <f>SUMIFS(Table1[Estimação (horas)],Table1[Tabela],Plano_V3!E128,Table1[Campo],Plano_V3!F128)</f>
        <v>4.0999999999999996</v>
      </c>
      <c r="J128" s="190">
        <f t="shared" si="26"/>
        <v>0.51249999999999996</v>
      </c>
      <c r="K128" s="190">
        <f>SUMIFS(Table1[Horas efetivas],Table1[Tabela],Plano_V3!E128,Table1[Campo],Plano_V3!F128)</f>
        <v>4.0999999999999996</v>
      </c>
      <c r="L128" s="190">
        <f t="shared" si="27"/>
        <v>0.51249999999999996</v>
      </c>
      <c r="M128" s="184"/>
      <c r="N128" s="184">
        <f t="shared" si="28"/>
        <v>1</v>
      </c>
      <c r="O128" s="184">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x14ac:dyDescent="0.4">
      <c r="A129" s="30" t="str">
        <f t="shared" si="25"/>
        <v>PROPERTYCGARANT_BEM</v>
      </c>
      <c r="B129" s="68"/>
      <c r="C129" s="69"/>
      <c r="D129" s="65" t="s">
        <v>40</v>
      </c>
      <c r="E129" s="67" t="s">
        <v>94</v>
      </c>
      <c r="F129" s="67" t="s">
        <v>1943</v>
      </c>
      <c r="G129" s="65" t="str">
        <f>INDEX(Auxiliar!$B$16:$B$24,MATCH(Plano_V3!H129,Auxiliar!$C$16:$C$24,0),1)</f>
        <v>6. Em implementação (re-especificação)</v>
      </c>
      <c r="H129" s="65">
        <f>VLOOKUP(A129,'Aux - pivots1'!$A:$B,2,0)</f>
        <v>7</v>
      </c>
      <c r="I129" s="190">
        <f>SUMIFS(Table1[Estimação (horas)],Table1[Tabela],Plano_V3!E129,Table1[Campo],Plano_V3!F129)</f>
        <v>4.0999999999999996</v>
      </c>
      <c r="J129" s="190">
        <f t="shared" ref="J129" si="29">I129/8</f>
        <v>0.51249999999999996</v>
      </c>
      <c r="K129" s="190">
        <f>SUMIFS(Table1[Horas efetivas],Table1[Tabela],Plano_V3!E129,Table1[Campo],Plano_V3!F129)</f>
        <v>1.0249999999999999</v>
      </c>
      <c r="L129" s="190">
        <f t="shared" ref="L129" si="30">K129/8</f>
        <v>0.12812499999999999</v>
      </c>
      <c r="M129" s="184"/>
      <c r="N129" s="184">
        <f t="shared" si="28"/>
        <v>0.25</v>
      </c>
      <c r="O129" s="184">
        <f t="shared" si="23"/>
        <v>0.25</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x14ac:dyDescent="0.4">
      <c r="A130" s="30" t="str">
        <f t="shared" si="25"/>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90">
        <f>SUMIFS(Table1[Estimação (horas)],Table1[Tabela],Plano_V3!E130,Table1[Campo],Plano_V3!F130)</f>
        <v>8</v>
      </c>
      <c r="J130" s="190">
        <f t="shared" si="26"/>
        <v>1</v>
      </c>
      <c r="K130" s="190">
        <f>SUMIFS(Table1[Horas efetivas],Table1[Tabela],Plano_V3!E130,Table1[Campo],Plano_V3!F130)</f>
        <v>8</v>
      </c>
      <c r="L130" s="190">
        <f t="shared" si="27"/>
        <v>1</v>
      </c>
      <c r="M130" s="184"/>
      <c r="N130" s="184">
        <f t="shared" si="28"/>
        <v>1</v>
      </c>
      <c r="O130" s="184">
        <f t="shared" si="23"/>
        <v>1</v>
      </c>
      <c r="P130" s="88" t="s">
        <v>124</v>
      </c>
      <c r="Q130" s="91">
        <f t="shared" si="24"/>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x14ac:dyDescent="0.4">
      <c r="A131" s="30" t="str">
        <f t="shared" si="25"/>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90">
        <f>SUMIFS(Table1[Estimação (horas)],Table1[Tabela],Plano_V3!E131,Table1[Campo],Plano_V3!F131)</f>
        <v>4.0999999999999996</v>
      </c>
      <c r="J131" s="190">
        <f t="shared" si="26"/>
        <v>0.51249999999999996</v>
      </c>
      <c r="K131" s="190">
        <f>SUMIFS(Table1[Horas efetivas],Table1[Tabela],Plano_V3!E131,Table1[Campo],Plano_V3!F131)</f>
        <v>4.0999999999999996</v>
      </c>
      <c r="L131" s="190">
        <f t="shared" si="27"/>
        <v>0.51249999999999996</v>
      </c>
      <c r="M131" s="184"/>
      <c r="N131" s="184">
        <f t="shared" si="28"/>
        <v>1</v>
      </c>
      <c r="O131" s="184">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x14ac:dyDescent="0.4">
      <c r="A132" s="30" t="str">
        <f t="shared" si="25"/>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90">
        <f>SUMIFS(Table1[Estimação (horas)],Table1[Tabela],Plano_V3!E132,Table1[Campo],Plano_V3!F132)</f>
        <v>4.0999999999999996</v>
      </c>
      <c r="J132" s="190">
        <f t="shared" si="26"/>
        <v>0.51249999999999996</v>
      </c>
      <c r="K132" s="190">
        <f>SUMIFS(Table1[Horas efetivas],Table1[Tabela],Plano_V3!E132,Table1[Campo],Plano_V3!F132)</f>
        <v>4.0999999999999996</v>
      </c>
      <c r="L132" s="190">
        <f t="shared" si="27"/>
        <v>0.51249999999999996</v>
      </c>
      <c r="M132" s="184"/>
      <c r="N132" s="184">
        <f t="shared" si="28"/>
        <v>1</v>
      </c>
      <c r="O132" s="184">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x14ac:dyDescent="0.4">
      <c r="A133" s="30" t="str">
        <f t="shared" si="25"/>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90">
        <f>SUMIFS(Table1[Estimação (horas)],Table1[Tabela],Plano_V3!E133,Table1[Campo],Plano_V3!F133)</f>
        <v>4.0999999999999996</v>
      </c>
      <c r="J133" s="190">
        <f t="shared" si="26"/>
        <v>0.51249999999999996</v>
      </c>
      <c r="K133" s="190">
        <f>SUMIFS(Table1[Horas efetivas],Table1[Tabela],Plano_V3!E133,Table1[Campo],Plano_V3!F133)</f>
        <v>4.0999999999999996</v>
      </c>
      <c r="L133" s="190">
        <f t="shared" si="27"/>
        <v>0.51249999999999996</v>
      </c>
      <c r="M133" s="184"/>
      <c r="N133" s="184">
        <f t="shared" si="28"/>
        <v>1</v>
      </c>
      <c r="O133" s="184">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x14ac:dyDescent="0.4">
      <c r="A134" s="30" t="str">
        <f t="shared" si="25"/>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90">
        <f>SUMIFS(Table1[Estimação (horas)],Table1[Tabela],Plano_V3!E134,Table1[Campo],Plano_V3!F134)</f>
        <v>4.0999999999999996</v>
      </c>
      <c r="J134" s="190">
        <f t="shared" si="26"/>
        <v>0.51249999999999996</v>
      </c>
      <c r="K134" s="190">
        <f>SUMIFS(Table1[Horas efetivas],Table1[Tabela],Plano_V3!E134,Table1[Campo],Plano_V3!F134)</f>
        <v>4.0999999999999996</v>
      </c>
      <c r="L134" s="190">
        <f t="shared" si="27"/>
        <v>0.51249999999999996</v>
      </c>
      <c r="M134" s="184"/>
      <c r="N134" s="184">
        <f t="shared" si="28"/>
        <v>1</v>
      </c>
      <c r="O134" s="184">
        <f t="shared" si="23"/>
        <v>1</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x14ac:dyDescent="0.4">
      <c r="A135" s="30" t="str">
        <f t="shared" si="25"/>
        <v>PROPERTY_ENERGY_CERTIFICATELAND_REGISTRY_OFFICE_CODE</v>
      </c>
      <c r="B135" s="68" t="s">
        <v>26</v>
      </c>
      <c r="C135" s="69" t="s">
        <v>54</v>
      </c>
      <c r="D135" s="65" t="s">
        <v>40</v>
      </c>
      <c r="E135" s="67" t="s">
        <v>123</v>
      </c>
      <c r="F135" s="67" t="s">
        <v>125</v>
      </c>
      <c r="G135" s="65" t="str">
        <f>INDEX(Auxiliar!$B$16:$B$24,MATCH(Plano_V3!H135,Auxiliar!$C$16:$C$24,0),1)</f>
        <v>6. Em implementação (re-especificação)</v>
      </c>
      <c r="H135" s="65">
        <f>VLOOKUP(A135,'Aux - pivots1'!$A:$B,2,0)</f>
        <v>7</v>
      </c>
      <c r="I135" s="190">
        <f>SUMIFS(Table1[Estimação (horas)],Table1[Tabela],Plano_V3!E135,Table1[Campo],Plano_V3!F135)</f>
        <v>4.0999999999999996</v>
      </c>
      <c r="J135" s="190">
        <f t="shared" si="26"/>
        <v>0.51249999999999996</v>
      </c>
      <c r="K135" s="190">
        <f>SUMIFS(Table1[Horas efetivas],Table1[Tabela],Plano_V3!E135,Table1[Campo],Plano_V3!F135)</f>
        <v>1.0249999999999999</v>
      </c>
      <c r="L135" s="190">
        <f t="shared" si="27"/>
        <v>0.12812499999999999</v>
      </c>
      <c r="M135" s="184"/>
      <c r="N135" s="184">
        <f t="shared" si="28"/>
        <v>0.25</v>
      </c>
      <c r="O135" s="184">
        <f t="shared" si="23"/>
        <v>0.25</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x14ac:dyDescent="0.4">
      <c r="A136" s="30" t="str">
        <f t="shared" si="25"/>
        <v>PROPERTY_ENERGY_CERTIFICATEPROPERTY_IDENTIFICATION_CODE</v>
      </c>
      <c r="B136" s="68" t="s">
        <v>26</v>
      </c>
      <c r="C136" s="69" t="s">
        <v>54</v>
      </c>
      <c r="D136" s="65" t="s">
        <v>40</v>
      </c>
      <c r="E136" s="67" t="s">
        <v>123</v>
      </c>
      <c r="F136" s="67" t="s">
        <v>126</v>
      </c>
      <c r="G136" s="65" t="str">
        <f>INDEX(Auxiliar!$B$16:$B$24,MATCH(Plano_V3!H136,Auxiliar!$C$16:$C$24,0),1)</f>
        <v>6. Em implementação (re-especificação)</v>
      </c>
      <c r="H136" s="65">
        <f>VLOOKUP(A136,'Aux - pivots1'!$A:$B,2,0)</f>
        <v>7</v>
      </c>
      <c r="I136" s="190">
        <f>SUMIFS(Table1[Estimação (horas)],Table1[Tabela],Plano_V3!E136,Table1[Campo],Plano_V3!F136)</f>
        <v>4.0999999999999996</v>
      </c>
      <c r="J136" s="190">
        <f t="shared" si="26"/>
        <v>0.51249999999999996</v>
      </c>
      <c r="K136" s="190">
        <f>SUMIFS(Table1[Horas efetivas],Table1[Tabela],Plano_V3!E136,Table1[Campo],Plano_V3!F136)</f>
        <v>1.0249999999999999</v>
      </c>
      <c r="L136" s="190">
        <f t="shared" si="27"/>
        <v>0.12812499999999999</v>
      </c>
      <c r="M136" s="184"/>
      <c r="N136" s="184">
        <f t="shared" si="28"/>
        <v>0.25</v>
      </c>
      <c r="O136" s="184">
        <f t="shared" si="23"/>
        <v>0.25</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x14ac:dyDescent="0.4">
      <c r="A137" s="30" t="str">
        <f t="shared" si="25"/>
        <v>PROPERTY_ENERGY_CERTIFICATEENERGY_CERTIFICATION_SYSTEM_CODE</v>
      </c>
      <c r="B137" s="68" t="s">
        <v>26</v>
      </c>
      <c r="C137" s="69" t="s">
        <v>54</v>
      </c>
      <c r="D137" s="65" t="s">
        <v>40</v>
      </c>
      <c r="E137" s="67" t="s">
        <v>123</v>
      </c>
      <c r="F137" s="67" t="s">
        <v>127</v>
      </c>
      <c r="G137" s="65" t="str">
        <f>INDEX(Auxiliar!$B$16:$B$24,MATCH(Plano_V3!H137,Auxiliar!$C$16:$C$24,0),1)</f>
        <v>6. Em implementação (re-especificação)</v>
      </c>
      <c r="H137" s="65">
        <f>VLOOKUP(A137,'Aux - pivots1'!$A:$B,2,0)</f>
        <v>7</v>
      </c>
      <c r="I137" s="190">
        <f>SUMIFS(Table1[Estimação (horas)],Table1[Tabela],Plano_V3!E137,Table1[Campo],Plano_V3!F137)</f>
        <v>4.0999999999999996</v>
      </c>
      <c r="J137" s="190">
        <f t="shared" si="26"/>
        <v>0.51249999999999996</v>
      </c>
      <c r="K137" s="190">
        <f>SUMIFS(Table1[Horas efetivas],Table1[Tabela],Plano_V3!E137,Table1[Campo],Plano_V3!F137)</f>
        <v>1.0249999999999999</v>
      </c>
      <c r="L137" s="190">
        <f t="shared" si="27"/>
        <v>0.12812499999999999</v>
      </c>
      <c r="M137" s="184"/>
      <c r="N137" s="184">
        <f t="shared" si="28"/>
        <v>0.25</v>
      </c>
      <c r="O137" s="184">
        <f t="shared" si="23"/>
        <v>0.25</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x14ac:dyDescent="0.4">
      <c r="A138" s="30" t="str">
        <f t="shared" si="25"/>
        <v>PROPERTY_ENERGY_CERTIFICATEEPC_ISSUING_DATE</v>
      </c>
      <c r="B138" s="68" t="s">
        <v>26</v>
      </c>
      <c r="C138" s="69" t="s">
        <v>54</v>
      </c>
      <c r="D138" s="65" t="s">
        <v>40</v>
      </c>
      <c r="E138" s="67" t="s">
        <v>123</v>
      </c>
      <c r="F138" s="67" t="s">
        <v>128</v>
      </c>
      <c r="G138" s="65" t="str">
        <f>INDEX(Auxiliar!$B$16:$B$24,MATCH(Plano_V3!H138,Auxiliar!$C$16:$C$24,0),1)</f>
        <v>6. Em implementação (re-especificação)</v>
      </c>
      <c r="H138" s="65">
        <f>VLOOKUP(A138,'Aux - pivots1'!$A:$B,2,0)</f>
        <v>7</v>
      </c>
      <c r="I138" s="190">
        <f>SUMIFS(Table1[Estimação (horas)],Table1[Tabela],Plano_V3!E138,Table1[Campo],Plano_V3!F138)</f>
        <v>4.0999999999999996</v>
      </c>
      <c r="J138" s="190">
        <f t="shared" si="26"/>
        <v>0.51249999999999996</v>
      </c>
      <c r="K138" s="190">
        <f>SUMIFS(Table1[Horas efetivas],Table1[Tabela],Plano_V3!E138,Table1[Campo],Plano_V3!F138)</f>
        <v>1.0249999999999999</v>
      </c>
      <c r="L138" s="190">
        <f t="shared" si="27"/>
        <v>0.12812499999999999</v>
      </c>
      <c r="M138" s="184"/>
      <c r="N138" s="184">
        <f t="shared" si="28"/>
        <v>0.25</v>
      </c>
      <c r="O138" s="184">
        <f t="shared" si="23"/>
        <v>0.25</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x14ac:dyDescent="0.4">
      <c r="A139" s="30" t="str">
        <f t="shared" si="25"/>
        <v>PROPERTY_ENERGY_CERTIFICATEEPC_EXPIRATION_DATE</v>
      </c>
      <c r="B139" s="68" t="s">
        <v>26</v>
      </c>
      <c r="C139" s="69" t="s">
        <v>54</v>
      </c>
      <c r="D139" s="65" t="s">
        <v>40</v>
      </c>
      <c r="E139" s="67" t="s">
        <v>123</v>
      </c>
      <c r="F139" s="67" t="s">
        <v>129</v>
      </c>
      <c r="G139" s="65" t="str">
        <f>INDEX(Auxiliar!$B$16:$B$24,MATCH(Plano_V3!H139,Auxiliar!$C$16:$C$24,0),1)</f>
        <v>6. Em implementação (re-especificação)</v>
      </c>
      <c r="H139" s="65">
        <f>VLOOKUP(A139,'Aux - pivots1'!$A:$B,2,0)</f>
        <v>7</v>
      </c>
      <c r="I139" s="190">
        <f>SUMIFS(Table1[Estimação (horas)],Table1[Tabela],Plano_V3!E139,Table1[Campo],Plano_V3!F139)</f>
        <v>4.0999999999999996</v>
      </c>
      <c r="J139" s="190">
        <f t="shared" si="26"/>
        <v>0.51249999999999996</v>
      </c>
      <c r="K139" s="190">
        <f>SUMIFS(Table1[Horas efetivas],Table1[Tabela],Plano_V3!E139,Table1[Campo],Plano_V3!F139)</f>
        <v>1.0249999999999999</v>
      </c>
      <c r="L139" s="190">
        <f t="shared" si="27"/>
        <v>0.12812499999999999</v>
      </c>
      <c r="M139" s="184"/>
      <c r="N139" s="184">
        <f t="shared" si="28"/>
        <v>0.25</v>
      </c>
      <c r="O139" s="184">
        <f t="shared" si="23"/>
        <v>0.25</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x14ac:dyDescent="0.4">
      <c r="A140" s="30" t="str">
        <f t="shared" si="25"/>
        <v>PROPERTY_ENERGY_CERTIFICATEEPC</v>
      </c>
      <c r="B140" s="68" t="s">
        <v>26</v>
      </c>
      <c r="C140" s="69" t="s">
        <v>54</v>
      </c>
      <c r="D140" s="65" t="s">
        <v>40</v>
      </c>
      <c r="E140" s="67" t="s">
        <v>123</v>
      </c>
      <c r="F140" s="67" t="s">
        <v>47</v>
      </c>
      <c r="G140" s="65" t="str">
        <f>INDEX(Auxiliar!$B$16:$B$24,MATCH(Plano_V3!H140,Auxiliar!$C$16:$C$24,0),1)</f>
        <v>6. Em implementação (re-especificação)</v>
      </c>
      <c r="H140" s="65">
        <f>VLOOKUP(A140,'Aux - pivots1'!$A:$B,2,0)</f>
        <v>7</v>
      </c>
      <c r="I140" s="190">
        <f>SUMIFS(Table1[Estimação (horas)],Table1[Tabela],Plano_V3!E140,Table1[Campo],Plano_V3!F140)</f>
        <v>4.0999999999999996</v>
      </c>
      <c r="J140" s="190">
        <f t="shared" si="26"/>
        <v>0.51249999999999996</v>
      </c>
      <c r="K140" s="190">
        <f>SUMIFS(Table1[Horas efetivas],Table1[Tabela],Plano_V3!E140,Table1[Campo],Plano_V3!F140)</f>
        <v>1.0249999999999999</v>
      </c>
      <c r="L140" s="190">
        <f t="shared" si="27"/>
        <v>0.12812499999999999</v>
      </c>
      <c r="M140" s="184"/>
      <c r="N140" s="184">
        <f t="shared" si="28"/>
        <v>0.25</v>
      </c>
      <c r="O140" s="184">
        <f t="shared" si="23"/>
        <v>0.25</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x14ac:dyDescent="0.4">
      <c r="A141" s="30" t="str">
        <f t="shared" si="25"/>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90">
        <f>SUMIFS(Table1[Estimação (horas)],Table1[Tabela],Plano_V3!E141,Table1[Campo],Plano_V3!F141)</f>
        <v>4.0999999999999996</v>
      </c>
      <c r="J141" s="190">
        <f t="shared" si="26"/>
        <v>0.51249999999999996</v>
      </c>
      <c r="K141" s="190">
        <f>SUMIFS(Table1[Horas efetivas],Table1[Tabela],Plano_V3!E141,Table1[Campo],Plano_V3!F141)</f>
        <v>4.0999999999999996</v>
      </c>
      <c r="L141" s="190">
        <f t="shared" si="27"/>
        <v>0.51249999999999996</v>
      </c>
      <c r="M141" s="184"/>
      <c r="N141" s="184">
        <f t="shared" si="28"/>
        <v>1</v>
      </c>
      <c r="O141" s="184">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x14ac:dyDescent="0.4">
      <c r="A142" s="30" t="str">
        <f t="shared" si="25"/>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90">
        <f>SUMIFS(Table1[Estimação (horas)],Table1[Tabela],Plano_V3!E142,Table1[Campo],Plano_V3!F142)</f>
        <v>4.0999999999999996</v>
      </c>
      <c r="J142" s="190">
        <f t="shared" si="26"/>
        <v>0.51249999999999996</v>
      </c>
      <c r="K142" s="190">
        <f>SUMIFS(Table1[Horas efetivas],Table1[Tabela],Plano_V3!E142,Table1[Campo],Plano_V3!F142)</f>
        <v>4.0999999999999996</v>
      </c>
      <c r="L142" s="190">
        <f t="shared" si="27"/>
        <v>0.51249999999999996</v>
      </c>
      <c r="M142" s="184"/>
      <c r="N142" s="184">
        <f t="shared" si="28"/>
        <v>1</v>
      </c>
      <c r="O142" s="184">
        <f t="shared" si="23"/>
        <v>1</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x14ac:dyDescent="0.4">
      <c r="A143" s="30" t="str">
        <f t="shared" si="25"/>
        <v>PROPERTY_ENERGY_CERTIFICATEENERGY_EFFICIENCY_IND</v>
      </c>
      <c r="B143" s="68" t="s">
        <v>26</v>
      </c>
      <c r="C143" s="69" t="s">
        <v>54</v>
      </c>
      <c r="D143" s="65" t="s">
        <v>40</v>
      </c>
      <c r="E143" s="67" t="s">
        <v>123</v>
      </c>
      <c r="F143" s="67" t="s">
        <v>132</v>
      </c>
      <c r="G143" s="65" t="str">
        <f>INDEX(Auxiliar!$B$16:$B$24,MATCH(Plano_V3!H143,Auxiliar!$C$16:$C$24,0),1)</f>
        <v>6. Em implementação (re-especificação)</v>
      </c>
      <c r="H143" s="65">
        <f>VLOOKUP(A143,'Aux - pivots1'!$A:$B,2,0)</f>
        <v>7</v>
      </c>
      <c r="I143" s="190">
        <f>SUMIFS(Table1[Estimação (horas)],Table1[Tabela],Plano_V3!E143,Table1[Campo],Plano_V3!F143)</f>
        <v>4.0999999999999996</v>
      </c>
      <c r="J143" s="190">
        <f t="shared" si="26"/>
        <v>0.51249999999999996</v>
      </c>
      <c r="K143" s="190">
        <f>SUMIFS(Table1[Horas efetivas],Table1[Tabela],Plano_V3!E143,Table1[Campo],Plano_V3!F143)</f>
        <v>1.0249999999999999</v>
      </c>
      <c r="L143" s="190">
        <f t="shared" si="27"/>
        <v>0.12812499999999999</v>
      </c>
      <c r="M143" s="184"/>
      <c r="N143" s="184">
        <f t="shared" si="28"/>
        <v>0.25</v>
      </c>
      <c r="O143" s="184">
        <f t="shared" si="23"/>
        <v>0.25</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x14ac:dyDescent="0.4">
      <c r="A144" s="30" t="str">
        <f t="shared" si="25"/>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90">
        <f>SUMIFS(Table1[Estimação (horas)],Table1[Tabela],Plano_V3!E144,Table1[Campo],Plano_V3!F144)</f>
        <v>4.0999999999999996</v>
      </c>
      <c r="J144" s="190">
        <f t="shared" si="26"/>
        <v>0.51249999999999996</v>
      </c>
      <c r="K144" s="190">
        <f>SUMIFS(Table1[Horas efetivas],Table1[Tabela],Plano_V3!E144,Table1[Campo],Plano_V3!F144)</f>
        <v>4.0999999999999996</v>
      </c>
      <c r="L144" s="190">
        <f t="shared" si="27"/>
        <v>0.51249999999999996</v>
      </c>
      <c r="M144" s="184"/>
      <c r="N144" s="184">
        <f t="shared" si="28"/>
        <v>1</v>
      </c>
      <c r="O144" s="184">
        <f t="shared" si="23"/>
        <v>1</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x14ac:dyDescent="0.4">
      <c r="A145" s="30" t="str">
        <f t="shared" si="25"/>
        <v>PROPERTY_ENERGY_CERTIFICATENZEB_IND</v>
      </c>
      <c r="B145" s="68" t="s">
        <v>26</v>
      </c>
      <c r="C145" s="69" t="s">
        <v>54</v>
      </c>
      <c r="D145" s="65" t="s">
        <v>40</v>
      </c>
      <c r="E145" s="67" t="s">
        <v>123</v>
      </c>
      <c r="F145" s="67" t="s">
        <v>134</v>
      </c>
      <c r="G145" s="65" t="str">
        <f>INDEX(Auxiliar!$B$16:$B$24,MATCH(Plano_V3!H145,Auxiliar!$C$16:$C$24,0),1)</f>
        <v>6. Em implementação (re-especificação)</v>
      </c>
      <c r="H145" s="65">
        <f>VLOOKUP(A145,'Aux - pivots1'!$A:$B,2,0)</f>
        <v>7</v>
      </c>
      <c r="I145" s="190">
        <f>SUMIFS(Table1[Estimação (horas)],Table1[Tabela],Plano_V3!E145,Table1[Campo],Plano_V3!F145)</f>
        <v>4.0999999999999996</v>
      </c>
      <c r="J145" s="190">
        <f t="shared" si="26"/>
        <v>0.51249999999999996</v>
      </c>
      <c r="K145" s="190">
        <f>SUMIFS(Table1[Horas efetivas],Table1[Tabela],Plano_V3!E145,Table1[Campo],Plano_V3!F145)</f>
        <v>1.0249999999999999</v>
      </c>
      <c r="L145" s="190">
        <f t="shared" si="27"/>
        <v>0.12812499999999999</v>
      </c>
      <c r="M145" s="184"/>
      <c r="N145" s="184">
        <f t="shared" si="28"/>
        <v>0.25</v>
      </c>
      <c r="O145" s="184">
        <f t="shared" si="23"/>
        <v>0.25</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x14ac:dyDescent="0.4">
      <c r="A146" s="30" t="str">
        <f t="shared" si="25"/>
        <v>PROPERTY_ENERGY_CERTIFICATEACTUAL_VALUE_IND</v>
      </c>
      <c r="B146" s="68" t="s">
        <v>26</v>
      </c>
      <c r="C146" s="69" t="s">
        <v>54</v>
      </c>
      <c r="D146" s="65" t="s">
        <v>40</v>
      </c>
      <c r="E146" s="67" t="s">
        <v>123</v>
      </c>
      <c r="F146" s="67" t="s">
        <v>49</v>
      </c>
      <c r="G146" s="65" t="str">
        <f>INDEX(Auxiliar!$B$16:$B$24,MATCH(Plano_V3!H146,Auxiliar!$C$16:$C$24,0),1)</f>
        <v>6. Em implementação (re-especificação)</v>
      </c>
      <c r="H146" s="65">
        <f>VLOOKUP(A146,'Aux - pivots1'!$A:$B,2,0)</f>
        <v>7</v>
      </c>
      <c r="I146" s="190">
        <f>SUMIFS(Table1[Estimação (horas)],Table1[Tabela],Plano_V3!E146,Table1[Campo],Plano_V3!F146)</f>
        <v>4.0999999999999996</v>
      </c>
      <c r="J146" s="190">
        <f t="shared" si="26"/>
        <v>0.51249999999999996</v>
      </c>
      <c r="K146" s="190">
        <f>SUMIFS(Table1[Horas efetivas],Table1[Tabela],Plano_V3!E146,Table1[Campo],Plano_V3!F146)</f>
        <v>1.0249999999999999</v>
      </c>
      <c r="L146" s="190">
        <f t="shared" si="27"/>
        <v>0.12812499999999999</v>
      </c>
      <c r="M146" s="184"/>
      <c r="N146" s="184">
        <f t="shared" si="28"/>
        <v>0.25</v>
      </c>
      <c r="O146" s="184">
        <f t="shared" si="23"/>
        <v>0.25</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x14ac:dyDescent="0.4">
      <c r="A147" s="30" t="str">
        <f t="shared" si="25"/>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90">
        <f>SUMIFS(Table1[Estimação (horas)],Table1[Tabela],Plano_V3!E147,Table1[Campo],Plano_V3!F147)</f>
        <v>4.0999999999999996</v>
      </c>
      <c r="J147" s="190">
        <f t="shared" si="26"/>
        <v>0.51249999999999996</v>
      </c>
      <c r="K147" s="190">
        <f>SUMIFS(Table1[Horas efetivas],Table1[Tabela],Plano_V3!E147,Table1[Campo],Plano_V3!F147)</f>
        <v>4.0999999999999996</v>
      </c>
      <c r="L147" s="190">
        <f t="shared" si="27"/>
        <v>0.51249999999999996</v>
      </c>
      <c r="M147" s="184"/>
      <c r="N147" s="184">
        <f t="shared" si="28"/>
        <v>1</v>
      </c>
      <c r="O147" s="184">
        <f t="shared" si="23"/>
        <v>1</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x14ac:dyDescent="0.4">
      <c r="A148" s="30" t="str">
        <f t="shared" si="25"/>
        <v>PROPERTY_ENERGY_CERTIFICATESOURCE_CODE</v>
      </c>
      <c r="B148" s="68" t="s">
        <v>26</v>
      </c>
      <c r="C148" s="69" t="s">
        <v>54</v>
      </c>
      <c r="D148" s="65" t="s">
        <v>40</v>
      </c>
      <c r="E148" s="67" t="s">
        <v>123</v>
      </c>
      <c r="F148" s="67" t="s">
        <v>87</v>
      </c>
      <c r="G148" s="65" t="str">
        <f>INDEX(Auxiliar!$B$16:$B$24,MATCH(Plano_V3!H148,Auxiliar!$C$16:$C$24,0),1)</f>
        <v>6. Em implementação (re-especificação)</v>
      </c>
      <c r="H148" s="65">
        <f>VLOOKUP(A148,'Aux - pivots1'!$A:$B,2,0)</f>
        <v>7</v>
      </c>
      <c r="I148" s="190">
        <f>SUMIFS(Table1[Estimação (horas)],Table1[Tabela],Plano_V3!E148,Table1[Campo],Plano_V3!F148)</f>
        <v>4.0999999999999996</v>
      </c>
      <c r="J148" s="190">
        <f t="shared" si="26"/>
        <v>0.51249999999999996</v>
      </c>
      <c r="K148" s="190">
        <f>SUMIFS(Table1[Horas efetivas],Table1[Tabela],Plano_V3!E148,Table1[Campo],Plano_V3!F148)</f>
        <v>1.0249999999999999</v>
      </c>
      <c r="L148" s="190">
        <f t="shared" si="27"/>
        <v>0.12812499999999999</v>
      </c>
      <c r="M148" s="184"/>
      <c r="N148" s="184">
        <f t="shared" si="28"/>
        <v>0.25</v>
      </c>
      <c r="O148" s="184">
        <f t="shared" si="23"/>
        <v>0.25</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x14ac:dyDescent="0.4">
      <c r="A149" s="30" t="str">
        <f t="shared" si="25"/>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90">
        <f>SUMIFS(Table1[Estimação (horas)],Table1[Tabela],Plano_V3!E149,Table1[Campo],Plano_V3!F149)</f>
        <v>4.0999999999999996</v>
      </c>
      <c r="J149" s="190">
        <f t="shared" si="26"/>
        <v>0.51249999999999996</v>
      </c>
      <c r="K149" s="190">
        <f>SUMIFS(Table1[Horas efetivas],Table1[Tabela],Plano_V3!E149,Table1[Campo],Plano_V3!F149)</f>
        <v>4.0999999999999996</v>
      </c>
      <c r="L149" s="190">
        <f t="shared" si="27"/>
        <v>0.51249999999999996</v>
      </c>
      <c r="M149" s="184"/>
      <c r="N149" s="184">
        <f t="shared" si="28"/>
        <v>1</v>
      </c>
      <c r="O149" s="184">
        <f t="shared" si="23"/>
        <v>1</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x14ac:dyDescent="0.4">
      <c r="A150" s="30" t="str">
        <f t="shared" si="25"/>
        <v>PROPERTY_ENERGY_CERTIFICATECERTIFICATE_TYPE</v>
      </c>
      <c r="B150" s="68" t="s">
        <v>26</v>
      </c>
      <c r="C150" s="69" t="s">
        <v>54</v>
      </c>
      <c r="D150" s="65" t="s">
        <v>40</v>
      </c>
      <c r="E150" s="67" t="s">
        <v>123</v>
      </c>
      <c r="F150" s="67" t="s">
        <v>136</v>
      </c>
      <c r="G150" s="65" t="str">
        <f>INDEX(Auxiliar!$B$16:$B$24,MATCH(Plano_V3!H150,Auxiliar!$C$16:$C$24,0),1)</f>
        <v>6. Em implementação (re-especificação)</v>
      </c>
      <c r="H150" s="65">
        <f>VLOOKUP(A150,'Aux - pivots1'!$A:$B,2,0)</f>
        <v>7</v>
      </c>
      <c r="I150" s="190">
        <f>SUMIFS(Table1[Estimação (horas)],Table1[Tabela],Plano_V3!E150,Table1[Campo],Plano_V3!F150)</f>
        <v>4.0999999999999996</v>
      </c>
      <c r="J150" s="190">
        <f t="shared" si="26"/>
        <v>0.51249999999999996</v>
      </c>
      <c r="K150" s="190">
        <f>SUMIFS(Table1[Horas efetivas],Table1[Tabela],Plano_V3!E150,Table1[Campo],Plano_V3!F150)</f>
        <v>1.0249999999999999</v>
      </c>
      <c r="L150" s="190">
        <f t="shared" si="27"/>
        <v>0.12812499999999999</v>
      </c>
      <c r="M150" s="184"/>
      <c r="N150" s="184">
        <f t="shared" si="28"/>
        <v>0.25</v>
      </c>
      <c r="O150" s="184">
        <f t="shared" si="23"/>
        <v>0.25</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x14ac:dyDescent="0.4">
      <c r="A151" s="30" t="str">
        <f t="shared" si="25"/>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90">
        <f>SUMIFS(Table1[Estimação (horas)],Table1[Tabela],Plano_V3!E151,Table1[Campo],Plano_V3!F151)</f>
        <v>4.0999999999999996</v>
      </c>
      <c r="J151" s="190">
        <f t="shared" si="26"/>
        <v>0.51249999999999996</v>
      </c>
      <c r="K151" s="190">
        <f>SUMIFS(Table1[Horas efetivas],Table1[Tabela],Plano_V3!E151,Table1[Campo],Plano_V3!F151)</f>
        <v>4.0999999999999996</v>
      </c>
      <c r="L151" s="190">
        <f t="shared" si="27"/>
        <v>0.51249999999999996</v>
      </c>
      <c r="M151" s="184"/>
      <c r="N151" s="184">
        <f t="shared" si="28"/>
        <v>1</v>
      </c>
      <c r="O151" s="184">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x14ac:dyDescent="0.4">
      <c r="A152" s="30" t="str">
        <f t="shared" si="25"/>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90">
        <f>SUMIFS(Table1[Estimação (horas)],Table1[Tabela],Plano_V3!E152,Table1[Campo],Plano_V3!F152)</f>
        <v>4.0999999999999996</v>
      </c>
      <c r="J152" s="190">
        <f t="shared" si="26"/>
        <v>0.51249999999999996</v>
      </c>
      <c r="K152" s="190">
        <f>SUMIFS(Table1[Horas efetivas],Table1[Tabela],Plano_V3!E152,Table1[Campo],Plano_V3!F152)</f>
        <v>4.0999999999999996</v>
      </c>
      <c r="L152" s="190">
        <f t="shared" si="27"/>
        <v>0.51249999999999996</v>
      </c>
      <c r="M152" s="184"/>
      <c r="N152" s="184">
        <f t="shared" si="28"/>
        <v>1</v>
      </c>
      <c r="O152" s="184">
        <f t="shared" si="23"/>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x14ac:dyDescent="0.4">
      <c r="A153" s="30" t="str">
        <f t="shared" si="25"/>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90">
        <f>SUMIFS(Table1[Estimação (horas)],Table1[Tabela],Plano_V3!E153,Table1[Campo],Plano_V3!F153)</f>
        <v>4.0999999999999996</v>
      </c>
      <c r="J153" s="190">
        <f t="shared" si="26"/>
        <v>0.51249999999999996</v>
      </c>
      <c r="K153" s="190">
        <f>SUMIFS(Table1[Horas efetivas],Table1[Tabela],Plano_V3!E153,Table1[Campo],Plano_V3!F153)</f>
        <v>4.0999999999999996</v>
      </c>
      <c r="L153" s="190">
        <f t="shared" si="27"/>
        <v>0.51249999999999996</v>
      </c>
      <c r="M153" s="184"/>
      <c r="N153" s="184">
        <f t="shared" si="28"/>
        <v>1</v>
      </c>
      <c r="O153" s="184">
        <f t="shared" ref="O153:O216" si="31">N153-M153</f>
        <v>1</v>
      </c>
      <c r="P153" s="88" t="s">
        <v>124</v>
      </c>
      <c r="Q153" s="91">
        <f t="shared" si="24"/>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x14ac:dyDescent="0.4">
      <c r="A154" s="30" t="str">
        <f t="shared" si="25"/>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90">
        <f>SUMIFS(Table1[Estimação (horas)],Table1[Tabela],Plano_V3!E154,Table1[Campo],Plano_V3!F154)</f>
        <v>4.0999999999999996</v>
      </c>
      <c r="J154" s="190">
        <f t="shared" si="26"/>
        <v>0.51249999999999996</v>
      </c>
      <c r="K154" s="190">
        <f>SUMIFS(Table1[Horas efetivas],Table1[Tabela],Plano_V3!E154,Table1[Campo],Plano_V3!F154)</f>
        <v>4.0999999999999996</v>
      </c>
      <c r="L154" s="190">
        <f t="shared" si="27"/>
        <v>0.51249999999999996</v>
      </c>
      <c r="M154" s="184"/>
      <c r="N154" s="184">
        <f t="shared" si="28"/>
        <v>1</v>
      </c>
      <c r="O154" s="184">
        <f t="shared" si="31"/>
        <v>1</v>
      </c>
      <c r="P154" s="88" t="s">
        <v>124</v>
      </c>
      <c r="Q154" s="91">
        <f t="shared" ref="Q154:Q224" si="32">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x14ac:dyDescent="0.4">
      <c r="A155" s="30" t="str">
        <f t="shared" si="25"/>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90">
        <f>SUMIFS(Table1[Estimação (horas)],Table1[Tabela],Plano_V3!E155,Table1[Campo],Plano_V3!F155)</f>
        <v>4.0999999999999996</v>
      </c>
      <c r="J155" s="190">
        <f t="shared" si="26"/>
        <v>0.51249999999999996</v>
      </c>
      <c r="K155" s="190">
        <f>SUMIFS(Table1[Horas efetivas],Table1[Tabela],Plano_V3!E155,Table1[Campo],Plano_V3!F155)</f>
        <v>4.0999999999999996</v>
      </c>
      <c r="L155" s="190">
        <f t="shared" si="27"/>
        <v>0.51249999999999996</v>
      </c>
      <c r="M155" s="184"/>
      <c r="N155" s="184">
        <f t="shared" si="28"/>
        <v>1</v>
      </c>
      <c r="O155" s="184">
        <f t="shared" si="31"/>
        <v>1</v>
      </c>
      <c r="P155" s="88" t="s">
        <v>124</v>
      </c>
      <c r="Q155" s="91">
        <f t="shared" si="32"/>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x14ac:dyDescent="0.4">
      <c r="A156" s="30" t="str">
        <f t="shared" ref="A156:A226" si="33">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90">
        <f>SUMIFS(Table1[Estimação (horas)],Table1[Tabela],Plano_V3!E156,Table1[Campo],Plano_V3!F156)</f>
        <v>4.0999999999999996</v>
      </c>
      <c r="J156" s="190">
        <f t="shared" si="26"/>
        <v>0.51249999999999996</v>
      </c>
      <c r="K156" s="190">
        <f>SUMIFS(Table1[Horas efetivas],Table1[Tabela],Plano_V3!E156,Table1[Campo],Plano_V3!F156)</f>
        <v>4.0999999999999996</v>
      </c>
      <c r="L156" s="190">
        <f t="shared" si="27"/>
        <v>0.51249999999999996</v>
      </c>
      <c r="M156" s="184"/>
      <c r="N156" s="184">
        <f t="shared" si="28"/>
        <v>1</v>
      </c>
      <c r="O156" s="184">
        <f t="shared" si="31"/>
        <v>1</v>
      </c>
      <c r="P156" s="88" t="s">
        <v>124</v>
      </c>
      <c r="Q156" s="91">
        <f t="shared" si="32"/>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x14ac:dyDescent="0.4">
      <c r="A157" s="30" t="str">
        <f t="shared" si="33"/>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90">
        <f>SUMIFS(Table1[Estimação (horas)],Table1[Tabela],Plano_V3!E157,Table1[Campo],Plano_V3!F157)</f>
        <v>4.0999999999999996</v>
      </c>
      <c r="J157" s="190">
        <f t="shared" si="26"/>
        <v>0.51249999999999996</v>
      </c>
      <c r="K157" s="190">
        <f>SUMIFS(Table1[Horas efetivas],Table1[Tabela],Plano_V3!E157,Table1[Campo],Plano_V3!F157)</f>
        <v>4.0999999999999996</v>
      </c>
      <c r="L157" s="190">
        <f t="shared" si="27"/>
        <v>0.51249999999999996</v>
      </c>
      <c r="M157" s="184"/>
      <c r="N157" s="184">
        <f t="shared" si="28"/>
        <v>1</v>
      </c>
      <c r="O157" s="184">
        <f t="shared" si="31"/>
        <v>1</v>
      </c>
      <c r="P157" s="88" t="s">
        <v>124</v>
      </c>
      <c r="Q157" s="91">
        <f t="shared" si="32"/>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x14ac:dyDescent="0.4">
      <c r="A158" s="30" t="str">
        <f t="shared" si="33"/>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90">
        <f>SUMIFS(Table1[Estimação (horas)],Table1[Tabela],Plano_V3!E158,Table1[Campo],Plano_V3!F158)</f>
        <v>4.0999999999999996</v>
      </c>
      <c r="J158" s="190">
        <f t="shared" si="26"/>
        <v>0.51249999999999996</v>
      </c>
      <c r="K158" s="190">
        <f>SUMIFS(Table1[Horas efetivas],Table1[Tabela],Plano_V3!E158,Table1[Campo],Plano_V3!F158)</f>
        <v>4.0999999999999996</v>
      </c>
      <c r="L158" s="190">
        <f t="shared" si="27"/>
        <v>0.51249999999999996</v>
      </c>
      <c r="M158" s="184"/>
      <c r="N158" s="184">
        <f t="shared" si="28"/>
        <v>1</v>
      </c>
      <c r="O158" s="184">
        <f t="shared" si="31"/>
        <v>1</v>
      </c>
      <c r="P158" s="88" t="s">
        <v>124</v>
      </c>
      <c r="Q158" s="91">
        <f t="shared" si="32"/>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x14ac:dyDescent="0.4">
      <c r="A159" s="30" t="str">
        <f t="shared" si="33"/>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90">
        <f>SUMIFS(Table1[Estimação (horas)],Table1[Tabela],Plano_V3!E159,Table1[Campo],Plano_V3!F159)</f>
        <v>4.0999999999999996</v>
      </c>
      <c r="J159" s="190">
        <f t="shared" si="26"/>
        <v>0.51249999999999996</v>
      </c>
      <c r="K159" s="190">
        <f>SUMIFS(Table1[Horas efetivas],Table1[Tabela],Plano_V3!E159,Table1[Campo],Plano_V3!F159)</f>
        <v>4.0999999999999996</v>
      </c>
      <c r="L159" s="190">
        <f t="shared" si="27"/>
        <v>0.51249999999999996</v>
      </c>
      <c r="M159" s="184"/>
      <c r="N159" s="184">
        <f t="shared" si="28"/>
        <v>1</v>
      </c>
      <c r="O159" s="184">
        <f t="shared" si="31"/>
        <v>1</v>
      </c>
      <c r="P159" s="88" t="s">
        <v>124</v>
      </c>
      <c r="Q159" s="91">
        <f t="shared" si="32"/>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x14ac:dyDescent="0.4">
      <c r="A160" s="30" t="str">
        <f t="shared" si="33"/>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90">
        <f>SUMIFS(Table1[Estimação (horas)],Table1[Tabela],Plano_V3!E160,Table1[Campo],Plano_V3!F160)</f>
        <v>4.0999999999999996</v>
      </c>
      <c r="J160" s="190">
        <f t="shared" si="26"/>
        <v>0.51249999999999996</v>
      </c>
      <c r="K160" s="190">
        <f>SUMIFS(Table1[Horas efetivas],Table1[Tabela],Plano_V3!E160,Table1[Campo],Plano_V3!F160)</f>
        <v>4.0999999999999996</v>
      </c>
      <c r="L160" s="190">
        <f t="shared" si="27"/>
        <v>0.51249999999999996</v>
      </c>
      <c r="M160" s="184"/>
      <c r="N160" s="184">
        <f t="shared" si="28"/>
        <v>1</v>
      </c>
      <c r="O160" s="184">
        <f t="shared" si="31"/>
        <v>1</v>
      </c>
      <c r="P160" s="88" t="s">
        <v>124</v>
      </c>
      <c r="Q160" s="91">
        <f t="shared" si="32"/>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x14ac:dyDescent="0.4">
      <c r="A161" s="30" t="str">
        <f t="shared" si="33"/>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90">
        <f>SUMIFS(Table1[Estimação (horas)],Table1[Tabela],Plano_V3!E161,Table1[Campo],Plano_V3!F161)</f>
        <v>4.0999999999999996</v>
      </c>
      <c r="J161" s="190">
        <f t="shared" si="26"/>
        <v>0.51249999999999996</v>
      </c>
      <c r="K161" s="190">
        <f>SUMIFS(Table1[Horas efetivas],Table1[Tabela],Plano_V3!E161,Table1[Campo],Plano_V3!F161)</f>
        <v>4.0999999999999996</v>
      </c>
      <c r="L161" s="190">
        <f t="shared" si="27"/>
        <v>0.51249999999999996</v>
      </c>
      <c r="M161" s="184"/>
      <c r="N161" s="184">
        <f t="shared" si="28"/>
        <v>1</v>
      </c>
      <c r="O161" s="184">
        <f t="shared" si="31"/>
        <v>1</v>
      </c>
      <c r="P161" s="88" t="s">
        <v>124</v>
      </c>
      <c r="Q161" s="91">
        <f t="shared" si="32"/>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x14ac:dyDescent="0.4">
      <c r="A162" s="30" t="str">
        <f t="shared" si="33"/>
        <v>PROPERTY_ENERGY_CERTIFICATEENERGY_CONSUMPTION_VALUE_YEAR</v>
      </c>
      <c r="B162" s="68" t="s">
        <v>26</v>
      </c>
      <c r="C162" s="69" t="s">
        <v>54</v>
      </c>
      <c r="D162" s="65" t="s">
        <v>40</v>
      </c>
      <c r="E162" s="67" t="s">
        <v>123</v>
      </c>
      <c r="F162" s="67" t="s">
        <v>51</v>
      </c>
      <c r="G162" s="65" t="str">
        <f>INDEX(Auxiliar!$B$16:$B$24,MATCH(Plano_V3!H162,Auxiliar!$C$16:$C$24,0),1)</f>
        <v>6. Em implementação (re-especificação)</v>
      </c>
      <c r="H162" s="65">
        <f>VLOOKUP(A162,'Aux - pivots1'!$A:$B,2,0)</f>
        <v>7</v>
      </c>
      <c r="I162" s="190">
        <f>SUMIFS(Table1[Estimação (horas)],Table1[Tabela],Plano_V3!E162,Table1[Campo],Plano_V3!F162)</f>
        <v>4.0999999999999996</v>
      </c>
      <c r="J162" s="190">
        <f t="shared" si="26"/>
        <v>0.51249999999999996</v>
      </c>
      <c r="K162" s="190">
        <f>SUMIFS(Table1[Horas efetivas],Table1[Tabela],Plano_V3!E162,Table1[Campo],Plano_V3!F162)</f>
        <v>1.0249999999999999</v>
      </c>
      <c r="L162" s="190">
        <f t="shared" si="27"/>
        <v>0.12812499999999999</v>
      </c>
      <c r="M162" s="184"/>
      <c r="N162" s="184">
        <f t="shared" si="28"/>
        <v>0.25</v>
      </c>
      <c r="O162" s="184">
        <f t="shared" si="31"/>
        <v>0.25</v>
      </c>
      <c r="P162" s="88" t="s">
        <v>124</v>
      </c>
      <c r="Q162" s="91">
        <f t="shared" si="32"/>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x14ac:dyDescent="0.4">
      <c r="A163" s="30" t="str">
        <f t="shared" si="33"/>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90">
        <f>SUMIFS(Table1[Estimação (horas)],Table1[Tabela],Plano_V3!E163,Table1[Campo],Plano_V3!F163)</f>
        <v>4.0999999999999996</v>
      </c>
      <c r="J163" s="190">
        <f t="shared" si="26"/>
        <v>0.51249999999999996</v>
      </c>
      <c r="K163" s="190">
        <f>SUMIFS(Table1[Horas efetivas],Table1[Tabela],Plano_V3!E163,Table1[Campo],Plano_V3!F163)</f>
        <v>4.0999999999999996</v>
      </c>
      <c r="L163" s="190">
        <f t="shared" si="27"/>
        <v>0.51249999999999996</v>
      </c>
      <c r="M163" s="184"/>
      <c r="N163" s="184">
        <f t="shared" si="28"/>
        <v>1</v>
      </c>
      <c r="O163" s="184">
        <f t="shared" si="31"/>
        <v>1</v>
      </c>
      <c r="P163" s="88" t="s">
        <v>124</v>
      </c>
      <c r="Q163" s="91">
        <f t="shared" si="32"/>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x14ac:dyDescent="0.4">
      <c r="A164" s="30" t="str">
        <f t="shared" si="33"/>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90">
        <f>SUMIFS(Table1[Estimação (horas)],Table1[Tabela],Plano_V3!E164,Table1[Campo],Plano_V3!F164)</f>
        <v>4.0999999999999996</v>
      </c>
      <c r="J164" s="190">
        <f t="shared" si="26"/>
        <v>0.51249999999999996</v>
      </c>
      <c r="K164" s="190">
        <f>SUMIFS(Table1[Horas efetivas],Table1[Tabela],Plano_V3!E164,Table1[Campo],Plano_V3!F164)</f>
        <v>4.0999999999999996</v>
      </c>
      <c r="L164" s="190">
        <f t="shared" si="27"/>
        <v>0.51249999999999996</v>
      </c>
      <c r="M164" s="184"/>
      <c r="N164" s="184">
        <f t="shared" si="28"/>
        <v>1</v>
      </c>
      <c r="O164" s="184">
        <f t="shared" si="31"/>
        <v>1</v>
      </c>
      <c r="P164" s="88" t="s">
        <v>124</v>
      </c>
      <c r="Q164" s="91">
        <f t="shared" si="32"/>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x14ac:dyDescent="0.4">
      <c r="A165" s="30" t="str">
        <f t="shared" si="33"/>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90">
        <f>SUMIFS(Table1[Estimação (horas)],Table1[Tabela],Plano_V3!E165,Table1[Campo],Plano_V3!F165)</f>
        <v>4.0999999999999996</v>
      </c>
      <c r="J165" s="190">
        <f t="shared" si="26"/>
        <v>0.51249999999999996</v>
      </c>
      <c r="K165" s="190">
        <f>SUMIFS(Table1[Horas efetivas],Table1[Tabela],Plano_V3!E165,Table1[Campo],Plano_V3!F165)</f>
        <v>4.0999999999999996</v>
      </c>
      <c r="L165" s="190">
        <f t="shared" si="27"/>
        <v>0.51249999999999996</v>
      </c>
      <c r="M165" s="184"/>
      <c r="N165" s="184">
        <f t="shared" si="28"/>
        <v>1</v>
      </c>
      <c r="O165" s="184">
        <f t="shared" si="31"/>
        <v>1</v>
      </c>
      <c r="P165" s="88" t="s">
        <v>124</v>
      </c>
      <c r="Q165" s="91">
        <f t="shared" si="32"/>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x14ac:dyDescent="0.4">
      <c r="A166" s="30" t="str">
        <f t="shared" si="33"/>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90">
        <f>SUMIFS(Table1[Estimação (horas)],Table1[Tabela],Plano_V3!E166,Table1[Campo],Plano_V3!F166)</f>
        <v>4.0999999999999996</v>
      </c>
      <c r="J166" s="190">
        <f t="shared" si="26"/>
        <v>0.51249999999999996</v>
      </c>
      <c r="K166" s="190">
        <f>SUMIFS(Table1[Horas efetivas],Table1[Tabela],Plano_V3!E166,Table1[Campo],Plano_V3!F166)</f>
        <v>4.0999999999999996</v>
      </c>
      <c r="L166" s="190">
        <f t="shared" si="27"/>
        <v>0.51249999999999996</v>
      </c>
      <c r="M166" s="184"/>
      <c r="N166" s="184">
        <f t="shared" si="28"/>
        <v>1</v>
      </c>
      <c r="O166" s="184">
        <f t="shared" si="31"/>
        <v>1</v>
      </c>
      <c r="P166" s="88" t="s">
        <v>124</v>
      </c>
      <c r="Q166" s="91">
        <f t="shared" si="32"/>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x14ac:dyDescent="0.4">
      <c r="A167" s="30" t="str">
        <f t="shared" si="33"/>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90">
        <f>SUMIFS(Table1[Estimação (horas)],Table1[Tabela],Plano_V3!E167,Table1[Campo],Plano_V3!F167)</f>
        <v>4.0999999999999996</v>
      </c>
      <c r="J167" s="190">
        <f t="shared" si="26"/>
        <v>0.51249999999999996</v>
      </c>
      <c r="K167" s="190">
        <f>SUMIFS(Table1[Horas efetivas],Table1[Tabela],Plano_V3!E167,Table1[Campo],Plano_V3!F167)</f>
        <v>4.0999999999999996</v>
      </c>
      <c r="L167" s="190">
        <f t="shared" si="27"/>
        <v>0.51249999999999996</v>
      </c>
      <c r="M167" s="184"/>
      <c r="N167" s="184">
        <f t="shared" si="28"/>
        <v>1</v>
      </c>
      <c r="O167" s="184">
        <f t="shared" si="31"/>
        <v>1</v>
      </c>
      <c r="P167" s="88" t="s">
        <v>124</v>
      </c>
      <c r="Q167" s="91">
        <f t="shared" si="32"/>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x14ac:dyDescent="0.4">
      <c r="A168" s="30" t="str">
        <f t="shared" si="33"/>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90">
        <f>SUMIFS(Table1[Estimação (horas)],Table1[Tabela],Plano_V3!E168,Table1[Campo],Plano_V3!F168)</f>
        <v>4.0999999999999996</v>
      </c>
      <c r="J168" s="190">
        <f t="shared" si="26"/>
        <v>0.51249999999999996</v>
      </c>
      <c r="K168" s="190">
        <f>SUMIFS(Table1[Horas efetivas],Table1[Tabela],Plano_V3!E168,Table1[Campo],Plano_V3!F168)</f>
        <v>4.0999999999999996</v>
      </c>
      <c r="L168" s="190">
        <f t="shared" si="27"/>
        <v>0.51249999999999996</v>
      </c>
      <c r="M168" s="184"/>
      <c r="N168" s="184">
        <f t="shared" si="28"/>
        <v>1</v>
      </c>
      <c r="O168" s="184">
        <f t="shared" si="31"/>
        <v>1</v>
      </c>
      <c r="P168" s="88" t="s">
        <v>124</v>
      </c>
      <c r="Q168" s="91">
        <f t="shared" si="32"/>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x14ac:dyDescent="0.4">
      <c r="A169" s="30" t="str">
        <f t="shared" si="33"/>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90">
        <f>SUMIFS(Table1[Estimação (horas)],Table1[Tabela],Plano_V3!E169,Table1[Campo],Plano_V3!F169)</f>
        <v>4.0999999999999996</v>
      </c>
      <c r="J169" s="190">
        <f t="shared" si="26"/>
        <v>0.51249999999999996</v>
      </c>
      <c r="K169" s="190">
        <f>SUMIFS(Table1[Horas efetivas],Table1[Tabela],Plano_V3!E169,Table1[Campo],Plano_V3!F169)</f>
        <v>4.0999999999999996</v>
      </c>
      <c r="L169" s="190">
        <f t="shared" si="27"/>
        <v>0.51249999999999996</v>
      </c>
      <c r="M169" s="184"/>
      <c r="N169" s="184">
        <f t="shared" si="28"/>
        <v>1</v>
      </c>
      <c r="O169" s="184">
        <f t="shared" si="31"/>
        <v>1</v>
      </c>
      <c r="P169" s="88" t="s">
        <v>124</v>
      </c>
      <c r="Q169" s="91">
        <f t="shared" si="32"/>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x14ac:dyDescent="0.4">
      <c r="A170" s="30" t="str">
        <f t="shared" si="33"/>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90">
        <f>SUMIFS(Table1[Estimação (horas)],Table1[Tabela],Plano_V3!E170,Table1[Campo],Plano_V3!F170)</f>
        <v>4.0999999999999996</v>
      </c>
      <c r="J170" s="190">
        <f t="shared" ref="J170:J202" si="34">I170/8</f>
        <v>0.51249999999999996</v>
      </c>
      <c r="K170" s="190">
        <f>SUMIFS(Table1[Horas efetivas],Table1[Tabela],Plano_V3!E170,Table1[Campo],Plano_V3!F170)</f>
        <v>4.0999999999999996</v>
      </c>
      <c r="L170" s="190">
        <f t="shared" ref="L170:L202" si="35">K170/8</f>
        <v>0.51249999999999996</v>
      </c>
      <c r="M170" s="184"/>
      <c r="N170" s="184">
        <f t="shared" ref="N170:N203" si="36">L170/J170</f>
        <v>1</v>
      </c>
      <c r="O170" s="184">
        <f t="shared" si="31"/>
        <v>1</v>
      </c>
      <c r="P170" s="88" t="s">
        <v>124</v>
      </c>
      <c r="Q170" s="91">
        <f t="shared" si="32"/>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x14ac:dyDescent="0.4">
      <c r="A171" s="30" t="str">
        <f t="shared" si="33"/>
        <v>PROPERTY_ENERGY_CERTIFICATECARBON_EMISSION_VALUE_YEAR</v>
      </c>
      <c r="B171" s="68" t="s">
        <v>26</v>
      </c>
      <c r="C171" s="69" t="s">
        <v>54</v>
      </c>
      <c r="D171" s="65" t="s">
        <v>40</v>
      </c>
      <c r="E171" s="67" t="s">
        <v>123</v>
      </c>
      <c r="F171" s="67" t="s">
        <v>52</v>
      </c>
      <c r="G171" s="65" t="str">
        <f>INDEX(Auxiliar!$B$16:$B$24,MATCH(Plano_V3!H171,Auxiliar!$C$16:$C$24,0),1)</f>
        <v>6. Em implementação (re-especificação)</v>
      </c>
      <c r="H171" s="65">
        <f>VLOOKUP(A171,'Aux - pivots1'!$A:$B,2,0)</f>
        <v>7</v>
      </c>
      <c r="I171" s="190">
        <f>SUMIFS(Table1[Estimação (horas)],Table1[Tabela],Plano_V3!E171,Table1[Campo],Plano_V3!F171)</f>
        <v>4.0999999999999996</v>
      </c>
      <c r="J171" s="190">
        <f t="shared" si="34"/>
        <v>0.51249999999999996</v>
      </c>
      <c r="K171" s="190">
        <f>SUMIFS(Table1[Horas efetivas],Table1[Tabela],Plano_V3!E171,Table1[Campo],Plano_V3!F171)</f>
        <v>1.0249999999999999</v>
      </c>
      <c r="L171" s="190">
        <f t="shared" si="35"/>
        <v>0.12812499999999999</v>
      </c>
      <c r="M171" s="184"/>
      <c r="N171" s="184">
        <f t="shared" si="36"/>
        <v>0.25</v>
      </c>
      <c r="O171" s="184">
        <f t="shared" si="31"/>
        <v>0.25</v>
      </c>
      <c r="P171" s="88" t="s">
        <v>124</v>
      </c>
      <c r="Q171" s="91">
        <f t="shared" si="32"/>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x14ac:dyDescent="0.4">
      <c r="A172" s="30" t="str">
        <f t="shared" si="33"/>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90">
        <f>SUMIFS(Table1[Estimação (horas)],Table1[Tabela],Plano_V3!E172,Table1[Campo],Plano_V3!F172)</f>
        <v>4.0999999999999996</v>
      </c>
      <c r="J172" s="190">
        <f t="shared" si="34"/>
        <v>0.51249999999999996</v>
      </c>
      <c r="K172" s="190">
        <f>SUMIFS(Table1[Horas efetivas],Table1[Tabela],Plano_V3!E172,Table1[Campo],Plano_V3!F172)</f>
        <v>4.0999999999999996</v>
      </c>
      <c r="L172" s="190">
        <f t="shared" si="35"/>
        <v>0.51249999999999996</v>
      </c>
      <c r="M172" s="184"/>
      <c r="N172" s="184">
        <f t="shared" si="36"/>
        <v>1</v>
      </c>
      <c r="O172" s="184">
        <f t="shared" si="31"/>
        <v>1</v>
      </c>
      <c r="P172" s="88" t="s">
        <v>124</v>
      </c>
      <c r="Q172" s="91">
        <f t="shared" si="32"/>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x14ac:dyDescent="0.4">
      <c r="A173" s="30" t="str">
        <f t="shared" si="33"/>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90">
        <f>SUMIFS(Table1[Estimação (horas)],Table1[Tabela],Plano_V3!E173,Table1[Campo],Plano_V3!F173)</f>
        <v>4.0999999999999996</v>
      </c>
      <c r="J173" s="190">
        <f t="shared" si="34"/>
        <v>0.51249999999999996</v>
      </c>
      <c r="K173" s="190">
        <f>SUMIFS(Table1[Horas efetivas],Table1[Tabela],Plano_V3!E173,Table1[Campo],Plano_V3!F173)</f>
        <v>4.0999999999999996</v>
      </c>
      <c r="L173" s="190">
        <f t="shared" si="35"/>
        <v>0.51249999999999996</v>
      </c>
      <c r="M173" s="184"/>
      <c r="N173" s="184">
        <f t="shared" si="36"/>
        <v>1</v>
      </c>
      <c r="O173" s="184">
        <f t="shared" si="31"/>
        <v>1</v>
      </c>
      <c r="P173" s="88" t="s">
        <v>124</v>
      </c>
      <c r="Q173" s="91">
        <f t="shared" si="32"/>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x14ac:dyDescent="0.4">
      <c r="A174" s="30" t="str">
        <f t="shared" si="33"/>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90">
        <f>SUMIFS(Table1[Estimação (horas)],Table1[Tabela],Plano_V3!E174,Table1[Campo],Plano_V3!F174)</f>
        <v>4.0999999999999996</v>
      </c>
      <c r="J174" s="190">
        <f t="shared" si="34"/>
        <v>0.51249999999999996</v>
      </c>
      <c r="K174" s="190">
        <f>SUMIFS(Table1[Horas efetivas],Table1[Tabela],Plano_V3!E174,Table1[Campo],Plano_V3!F174)</f>
        <v>4.0999999999999996</v>
      </c>
      <c r="L174" s="190">
        <f t="shared" si="35"/>
        <v>0.51249999999999996</v>
      </c>
      <c r="M174" s="184"/>
      <c r="N174" s="184">
        <f t="shared" si="36"/>
        <v>1</v>
      </c>
      <c r="O174" s="184">
        <f t="shared" si="31"/>
        <v>1</v>
      </c>
      <c r="P174" s="88" t="s">
        <v>124</v>
      </c>
      <c r="Q174" s="91">
        <f t="shared" si="32"/>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x14ac:dyDescent="0.4">
      <c r="A175" s="30" t="str">
        <f t="shared" si="33"/>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90">
        <f>SUMIFS(Table1[Estimação (horas)],Table1[Tabela],Plano_V3!E175,Table1[Campo],Plano_V3!F175)</f>
        <v>4.0999999999999996</v>
      </c>
      <c r="J175" s="190">
        <f t="shared" si="34"/>
        <v>0.51249999999999996</v>
      </c>
      <c r="K175" s="190">
        <f>SUMIFS(Table1[Horas efetivas],Table1[Tabela],Plano_V3!E175,Table1[Campo],Plano_V3!F175)</f>
        <v>4.0999999999999996</v>
      </c>
      <c r="L175" s="190">
        <f t="shared" si="35"/>
        <v>0.51249999999999996</v>
      </c>
      <c r="M175" s="184"/>
      <c r="N175" s="184">
        <f t="shared" si="36"/>
        <v>1</v>
      </c>
      <c r="O175" s="184">
        <f t="shared" si="31"/>
        <v>1</v>
      </c>
      <c r="P175" s="88" t="s">
        <v>124</v>
      </c>
      <c r="Q175" s="91">
        <f t="shared" si="32"/>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x14ac:dyDescent="0.4">
      <c r="A176" s="30" t="str">
        <f t="shared" si="33"/>
        <v>PROPERTY_ENERGY_CERTIFICATEREN_ENERGY_PRODUCED_VALUE</v>
      </c>
      <c r="B176" s="68" t="s">
        <v>26</v>
      </c>
      <c r="C176" s="69" t="s">
        <v>54</v>
      </c>
      <c r="D176" s="65" t="s">
        <v>40</v>
      </c>
      <c r="E176" s="67" t="s">
        <v>123</v>
      </c>
      <c r="F176" s="67" t="s">
        <v>160</v>
      </c>
      <c r="G176" s="65" t="str">
        <f>INDEX(Auxiliar!$B$16:$B$24,MATCH(Plano_V3!H176,Auxiliar!$C$16:$C$24,0),1)</f>
        <v>6. Em implementação (re-especificação)</v>
      </c>
      <c r="H176" s="65">
        <f>VLOOKUP(A176,'Aux - pivots1'!$A:$B,2,0)</f>
        <v>7</v>
      </c>
      <c r="I176" s="190">
        <f>SUMIFS(Table1[Estimação (horas)],Table1[Tabela],Plano_V3!E176,Table1[Campo],Plano_V3!F176)</f>
        <v>4.0999999999999996</v>
      </c>
      <c r="J176" s="190">
        <f t="shared" si="34"/>
        <v>0.51249999999999996</v>
      </c>
      <c r="K176" s="190">
        <f>SUMIFS(Table1[Horas efetivas],Table1[Tabela],Plano_V3!E176,Table1[Campo],Plano_V3!F176)</f>
        <v>1.0249999999999999</v>
      </c>
      <c r="L176" s="190">
        <f t="shared" si="35"/>
        <v>0.12812499999999999</v>
      </c>
      <c r="M176" s="184"/>
      <c r="N176" s="184">
        <f t="shared" si="36"/>
        <v>0.25</v>
      </c>
      <c r="O176" s="184">
        <f t="shared" si="31"/>
        <v>0.25</v>
      </c>
      <c r="P176" s="88" t="s">
        <v>124</v>
      </c>
      <c r="Q176" s="91">
        <f t="shared" si="32"/>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x14ac:dyDescent="0.4">
      <c r="A177" s="30" t="str">
        <f t="shared" si="33"/>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90">
        <f>SUMIFS(Table1[Estimação (horas)],Table1[Tabela],Plano_V3!E177,Table1[Campo],Plano_V3!F177)</f>
        <v>4.0999999999999996</v>
      </c>
      <c r="J177" s="190">
        <f t="shared" si="34"/>
        <v>0.51249999999999996</v>
      </c>
      <c r="K177" s="190">
        <f>SUMIFS(Table1[Horas efetivas],Table1[Tabela],Plano_V3!E177,Table1[Campo],Plano_V3!F177)</f>
        <v>4.0999999999999996</v>
      </c>
      <c r="L177" s="190">
        <f t="shared" si="35"/>
        <v>0.51249999999999996</v>
      </c>
      <c r="M177" s="184"/>
      <c r="N177" s="184">
        <f t="shared" si="36"/>
        <v>1</v>
      </c>
      <c r="O177" s="184">
        <f t="shared" si="31"/>
        <v>1</v>
      </c>
      <c r="P177" s="88" t="s">
        <v>124</v>
      </c>
      <c r="Q177" s="91">
        <f t="shared" si="32"/>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x14ac:dyDescent="0.4">
      <c r="A178" s="30" t="str">
        <f t="shared" si="33"/>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90">
        <f>SUMIFS(Table1[Estimação (horas)],Table1[Tabela],Plano_V3!E178,Table1[Campo],Plano_V3!F178)</f>
        <v>4.0999999999999996</v>
      </c>
      <c r="J178" s="190">
        <f t="shared" si="34"/>
        <v>0.51249999999999996</v>
      </c>
      <c r="K178" s="190">
        <f>SUMIFS(Table1[Horas efetivas],Table1[Tabela],Plano_V3!E178,Table1[Campo],Plano_V3!F178)</f>
        <v>4.0999999999999996</v>
      </c>
      <c r="L178" s="190">
        <f t="shared" si="35"/>
        <v>0.51249999999999996</v>
      </c>
      <c r="M178" s="184"/>
      <c r="N178" s="184">
        <f t="shared" si="36"/>
        <v>1</v>
      </c>
      <c r="O178" s="184">
        <f t="shared" si="31"/>
        <v>1</v>
      </c>
      <c r="P178" s="88" t="s">
        <v>124</v>
      </c>
      <c r="Q178" s="91">
        <f t="shared" si="32"/>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x14ac:dyDescent="0.4">
      <c r="A179" s="30" t="str">
        <f t="shared" si="33"/>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90">
        <f>SUMIFS(Table1[Estimação (horas)],Table1[Tabela],Plano_V3!E179,Table1[Campo],Plano_V3!F179)</f>
        <v>4.0999999999999996</v>
      </c>
      <c r="J179" s="190">
        <f t="shared" si="34"/>
        <v>0.51249999999999996</v>
      </c>
      <c r="K179" s="190">
        <f>SUMIFS(Table1[Horas efetivas],Table1[Tabela],Plano_V3!E179,Table1[Campo],Plano_V3!F179)</f>
        <v>4.0999999999999996</v>
      </c>
      <c r="L179" s="190">
        <f t="shared" si="35"/>
        <v>0.51249999999999996</v>
      </c>
      <c r="M179" s="184"/>
      <c r="N179" s="184">
        <f t="shared" si="36"/>
        <v>1</v>
      </c>
      <c r="O179" s="184">
        <f t="shared" si="31"/>
        <v>1</v>
      </c>
      <c r="P179" s="88" t="s">
        <v>124</v>
      </c>
      <c r="Q179" s="91">
        <f t="shared" si="32"/>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x14ac:dyDescent="0.4">
      <c r="A180" s="30" t="str">
        <f t="shared" si="33"/>
        <v>PROPERTY_ENERGY_CERTIFICATEPRIMARY_ENERGY_REQ_VALUE</v>
      </c>
      <c r="B180" s="68" t="s">
        <v>26</v>
      </c>
      <c r="C180" s="69" t="s">
        <v>54</v>
      </c>
      <c r="D180" s="65" t="s">
        <v>40</v>
      </c>
      <c r="E180" s="67" t="s">
        <v>123</v>
      </c>
      <c r="F180" s="67" t="s">
        <v>164</v>
      </c>
      <c r="G180" s="65" t="str">
        <f>INDEX(Auxiliar!$B$16:$B$24,MATCH(Plano_V3!H180,Auxiliar!$C$16:$C$24,0),1)</f>
        <v>6. Em implementação (re-especificação)</v>
      </c>
      <c r="H180" s="65">
        <f>VLOOKUP(A180,'Aux - pivots1'!$A:$B,2,0)</f>
        <v>7</v>
      </c>
      <c r="I180" s="190">
        <f>SUMIFS(Table1[Estimação (horas)],Table1[Tabela],Plano_V3!E180,Table1[Campo],Plano_V3!F180)</f>
        <v>4.0999999999999996</v>
      </c>
      <c r="J180" s="190">
        <f t="shared" si="34"/>
        <v>0.51249999999999996</v>
      </c>
      <c r="K180" s="190">
        <f>SUMIFS(Table1[Horas efetivas],Table1[Tabela],Plano_V3!E180,Table1[Campo],Plano_V3!F180)</f>
        <v>1.0249999999999999</v>
      </c>
      <c r="L180" s="190">
        <f t="shared" si="35"/>
        <v>0.12812499999999999</v>
      </c>
      <c r="M180" s="184"/>
      <c r="N180" s="184">
        <f t="shared" si="36"/>
        <v>0.25</v>
      </c>
      <c r="O180" s="184">
        <f t="shared" si="31"/>
        <v>0.25</v>
      </c>
      <c r="P180" s="88" t="s">
        <v>124</v>
      </c>
      <c r="Q180" s="91">
        <f t="shared" si="32"/>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x14ac:dyDescent="0.4">
      <c r="A181" s="30" t="str">
        <f t="shared" si="33"/>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90">
        <f>SUMIFS(Table1[Estimação (horas)],Table1[Tabela],Plano_V3!E181,Table1[Campo],Plano_V3!F181)</f>
        <v>4.0999999999999996</v>
      </c>
      <c r="J181" s="190">
        <f t="shared" si="34"/>
        <v>0.51249999999999996</v>
      </c>
      <c r="K181" s="190">
        <f>SUMIFS(Table1[Horas efetivas],Table1[Tabela],Plano_V3!E181,Table1[Campo],Plano_V3!F181)</f>
        <v>4.0999999999999996</v>
      </c>
      <c r="L181" s="190">
        <f t="shared" si="35"/>
        <v>0.51249999999999996</v>
      </c>
      <c r="M181" s="184"/>
      <c r="N181" s="184">
        <f t="shared" si="36"/>
        <v>1</v>
      </c>
      <c r="O181" s="184">
        <f t="shared" si="31"/>
        <v>1</v>
      </c>
      <c r="P181" s="88" t="s">
        <v>124</v>
      </c>
      <c r="Q181" s="91">
        <f t="shared" si="32"/>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x14ac:dyDescent="0.4">
      <c r="A182" s="30" t="str">
        <f t="shared" si="33"/>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90">
        <f>SUMIFS(Table1[Estimação (horas)],Table1[Tabela],Plano_V3!E182,Table1[Campo],Plano_V3!F182)</f>
        <v>4.0999999999999996</v>
      </c>
      <c r="J182" s="190">
        <f t="shared" si="34"/>
        <v>0.51249999999999996</v>
      </c>
      <c r="K182" s="190">
        <f>SUMIFS(Table1[Horas efetivas],Table1[Tabela],Plano_V3!E182,Table1[Campo],Plano_V3!F182)</f>
        <v>4.0999999999999996</v>
      </c>
      <c r="L182" s="190">
        <f t="shared" si="35"/>
        <v>0.51249999999999996</v>
      </c>
      <c r="M182" s="184"/>
      <c r="N182" s="184">
        <f t="shared" si="36"/>
        <v>1</v>
      </c>
      <c r="O182" s="184">
        <f t="shared" si="31"/>
        <v>1</v>
      </c>
      <c r="P182" s="88" t="s">
        <v>124</v>
      </c>
      <c r="Q182" s="91">
        <f t="shared" si="32"/>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x14ac:dyDescent="0.4">
      <c r="A183" s="30" t="str">
        <f t="shared" si="33"/>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90">
        <f>SUMIFS(Table1[Estimação (horas)],Table1[Tabela],Plano_V3!E183,Table1[Campo],Plano_V3!F183)</f>
        <v>4.0999999999999996</v>
      </c>
      <c r="J183" s="190">
        <f t="shared" si="34"/>
        <v>0.51249999999999996</v>
      </c>
      <c r="K183" s="190">
        <f>SUMIFS(Table1[Horas efetivas],Table1[Tabela],Plano_V3!E183,Table1[Campo],Plano_V3!F183)</f>
        <v>4.0999999999999996</v>
      </c>
      <c r="L183" s="190">
        <f t="shared" si="35"/>
        <v>0.51249999999999996</v>
      </c>
      <c r="M183" s="184"/>
      <c r="N183" s="184">
        <f t="shared" si="36"/>
        <v>1</v>
      </c>
      <c r="O183" s="184">
        <f t="shared" si="31"/>
        <v>1</v>
      </c>
      <c r="P183" s="88" t="s">
        <v>124</v>
      </c>
      <c r="Q183" s="91">
        <f t="shared" si="32"/>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x14ac:dyDescent="0.4">
      <c r="A184" s="30" t="str">
        <f t="shared" si="33"/>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90">
        <f>SUMIFS(Table1[Estimação (horas)],Table1[Tabela],Plano_V3!E184,Table1[Campo],Plano_V3!F184)</f>
        <v>4.0999999999999996</v>
      </c>
      <c r="J184" s="190">
        <f t="shared" si="34"/>
        <v>0.51249999999999996</v>
      </c>
      <c r="K184" s="190">
        <f>SUMIFS(Table1[Horas efetivas],Table1[Tabela],Plano_V3!E184,Table1[Campo],Plano_V3!F184)</f>
        <v>4.0999999999999996</v>
      </c>
      <c r="L184" s="190">
        <f t="shared" si="35"/>
        <v>0.51249999999999996</v>
      </c>
      <c r="M184" s="184"/>
      <c r="N184" s="184">
        <f t="shared" si="36"/>
        <v>1</v>
      </c>
      <c r="O184" s="184">
        <f t="shared" si="31"/>
        <v>1</v>
      </c>
      <c r="P184" s="88" t="s">
        <v>124</v>
      </c>
      <c r="Q184" s="91">
        <f t="shared" si="32"/>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x14ac:dyDescent="0.4">
      <c r="A185" s="30" t="str">
        <f t="shared" si="33"/>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90">
        <f>SUMIFS(Table1[Estimação (horas)],Table1[Tabela],Plano_V3!E185,Table1[Campo],Plano_V3!F185)</f>
        <v>4.0999999999999996</v>
      </c>
      <c r="J185" s="190">
        <f t="shared" si="34"/>
        <v>0.51249999999999996</v>
      </c>
      <c r="K185" s="190">
        <f>SUMIFS(Table1[Horas efetivas],Table1[Tabela],Plano_V3!E185,Table1[Campo],Plano_V3!F185)</f>
        <v>4.0999999999999996</v>
      </c>
      <c r="L185" s="190">
        <f t="shared" si="35"/>
        <v>0.51249999999999996</v>
      </c>
      <c r="M185" s="184"/>
      <c r="N185" s="184">
        <f t="shared" si="36"/>
        <v>1</v>
      </c>
      <c r="O185" s="184">
        <f t="shared" si="31"/>
        <v>1</v>
      </c>
      <c r="P185" s="88" t="s">
        <v>124</v>
      </c>
      <c r="Q185" s="91">
        <f t="shared" si="32"/>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x14ac:dyDescent="0.4">
      <c r="A186" s="30" t="str">
        <f t="shared" si="33"/>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90">
        <f>SUMIFS(Table1[Estimação (horas)],Table1[Tabela],Plano_V3!E186,Table1[Campo],Plano_V3!F186)</f>
        <v>4.0999999999999996</v>
      </c>
      <c r="J186" s="190">
        <f t="shared" si="34"/>
        <v>0.51249999999999996</v>
      </c>
      <c r="K186" s="190">
        <f>SUMIFS(Table1[Horas efetivas],Table1[Tabela],Plano_V3!E186,Table1[Campo],Plano_V3!F186)</f>
        <v>4.0999999999999996</v>
      </c>
      <c r="L186" s="190">
        <f t="shared" si="35"/>
        <v>0.51249999999999996</v>
      </c>
      <c r="M186" s="184"/>
      <c r="N186" s="184">
        <f t="shared" si="36"/>
        <v>1</v>
      </c>
      <c r="O186" s="184">
        <f t="shared" si="31"/>
        <v>1</v>
      </c>
      <c r="P186" s="88" t="s">
        <v>124</v>
      </c>
      <c r="Q186" s="91">
        <f t="shared" si="32"/>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x14ac:dyDescent="0.4">
      <c r="A187" s="30" t="str">
        <f t="shared" si="33"/>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90">
        <f>SUMIFS(Table1[Estimação (horas)],Table1[Tabela],Plano_V3!E187,Table1[Campo],Plano_V3!F187)</f>
        <v>4.0999999999999996</v>
      </c>
      <c r="J187" s="190">
        <f t="shared" si="34"/>
        <v>0.51249999999999996</v>
      </c>
      <c r="K187" s="190">
        <f>SUMIFS(Table1[Horas efetivas],Table1[Tabela],Plano_V3!E187,Table1[Campo],Plano_V3!F187)</f>
        <v>4.0999999999999996</v>
      </c>
      <c r="L187" s="190">
        <f t="shared" si="35"/>
        <v>0.51249999999999996</v>
      </c>
      <c r="M187" s="184"/>
      <c r="N187" s="184">
        <f t="shared" si="36"/>
        <v>1</v>
      </c>
      <c r="O187" s="184">
        <f t="shared" si="31"/>
        <v>1</v>
      </c>
      <c r="P187" s="88" t="s">
        <v>124</v>
      </c>
      <c r="Q187" s="91">
        <f t="shared" si="32"/>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x14ac:dyDescent="0.4">
      <c r="A188" s="30" t="str">
        <f t="shared" si="33"/>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90">
        <f>SUMIFS(Table1[Estimação (horas)],Table1[Tabela],Plano_V3!E188,Table1[Campo],Plano_V3!F188)</f>
        <v>4.0999999999999996</v>
      </c>
      <c r="J188" s="190">
        <f t="shared" si="34"/>
        <v>0.51249999999999996</v>
      </c>
      <c r="K188" s="190">
        <f>SUMIFS(Table1[Horas efetivas],Table1[Tabela],Plano_V3!E188,Table1[Campo],Plano_V3!F188)</f>
        <v>4.0999999999999996</v>
      </c>
      <c r="L188" s="190">
        <f t="shared" si="35"/>
        <v>0.51249999999999996</v>
      </c>
      <c r="M188" s="184"/>
      <c r="N188" s="184">
        <f t="shared" si="36"/>
        <v>1</v>
      </c>
      <c r="O188" s="184">
        <f t="shared" si="31"/>
        <v>1</v>
      </c>
      <c r="P188" s="88" t="s">
        <v>124</v>
      </c>
      <c r="Q188" s="91">
        <f t="shared" si="32"/>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x14ac:dyDescent="0.4">
      <c r="A189" s="30" t="str">
        <f t="shared" si="33"/>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90">
        <f>SUMIFS(Table1[Estimação (horas)],Table1[Tabela],Plano_V3!E189,Table1[Campo],Plano_V3!F189)</f>
        <v>4.0999999999999996</v>
      </c>
      <c r="J189" s="190">
        <f t="shared" si="34"/>
        <v>0.51249999999999996</v>
      </c>
      <c r="K189" s="190">
        <f>SUMIFS(Table1[Horas efetivas],Table1[Tabela],Plano_V3!E189,Table1[Campo],Plano_V3!F189)</f>
        <v>4.0999999999999996</v>
      </c>
      <c r="L189" s="190">
        <f t="shared" si="35"/>
        <v>0.51249999999999996</v>
      </c>
      <c r="M189" s="184"/>
      <c r="N189" s="184">
        <f t="shared" si="36"/>
        <v>1</v>
      </c>
      <c r="O189" s="184">
        <f t="shared" si="31"/>
        <v>1</v>
      </c>
      <c r="P189" s="88" t="s">
        <v>124</v>
      </c>
      <c r="Q189" s="91">
        <f t="shared" si="32"/>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x14ac:dyDescent="0.4">
      <c r="A190" s="30" t="str">
        <f t="shared" si="33"/>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90">
        <f>SUMIFS(Table1[Estimação (horas)],Table1[Tabela],Plano_V3!E190,Table1[Campo],Plano_V3!F190)</f>
        <v>4.0999999999999996</v>
      </c>
      <c r="J190" s="190">
        <f t="shared" si="34"/>
        <v>0.51249999999999996</v>
      </c>
      <c r="K190" s="190">
        <f>SUMIFS(Table1[Horas efetivas],Table1[Tabela],Plano_V3!E190,Table1[Campo],Plano_V3!F190)</f>
        <v>4.0999999999999996</v>
      </c>
      <c r="L190" s="190">
        <f t="shared" si="35"/>
        <v>0.51249999999999996</v>
      </c>
      <c r="M190" s="184"/>
      <c r="N190" s="184">
        <f t="shared" si="36"/>
        <v>1</v>
      </c>
      <c r="O190" s="184">
        <f t="shared" si="31"/>
        <v>1</v>
      </c>
      <c r="P190" s="88" t="s">
        <v>124</v>
      </c>
      <c r="Q190" s="91">
        <f t="shared" si="32"/>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x14ac:dyDescent="0.4">
      <c r="A191" s="30" t="str">
        <f t="shared" si="33"/>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90">
        <f>SUMIFS(Table1[Estimação (horas)],Table1[Tabela],Plano_V3!E191,Table1[Campo],Plano_V3!F191)</f>
        <v>4.0999999999999996</v>
      </c>
      <c r="J191" s="190">
        <f t="shared" si="34"/>
        <v>0.51249999999999996</v>
      </c>
      <c r="K191" s="190">
        <f>SUMIFS(Table1[Horas efetivas],Table1[Tabela],Plano_V3!E191,Table1[Campo],Plano_V3!F191)</f>
        <v>4.0999999999999996</v>
      </c>
      <c r="L191" s="190">
        <f t="shared" si="35"/>
        <v>0.51249999999999996</v>
      </c>
      <c r="M191" s="184"/>
      <c r="N191" s="184">
        <f t="shared" si="36"/>
        <v>1</v>
      </c>
      <c r="O191" s="184">
        <f t="shared" si="31"/>
        <v>1</v>
      </c>
      <c r="P191" s="88" t="s">
        <v>124</v>
      </c>
      <c r="Q191" s="91">
        <f t="shared" si="32"/>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x14ac:dyDescent="0.4">
      <c r="A192" s="30" t="str">
        <f t="shared" si="33"/>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90">
        <f>SUMIFS(Table1[Estimação (horas)],Table1[Tabela],Plano_V3!E192,Table1[Campo],Plano_V3!F192)</f>
        <v>4.0999999999999996</v>
      </c>
      <c r="J192" s="190">
        <f t="shared" si="34"/>
        <v>0.51249999999999996</v>
      </c>
      <c r="K192" s="190">
        <f>SUMIFS(Table1[Horas efetivas],Table1[Tabela],Plano_V3!E192,Table1[Campo],Plano_V3!F192)</f>
        <v>4.0999999999999996</v>
      </c>
      <c r="L192" s="190">
        <f t="shared" si="35"/>
        <v>0.51249999999999996</v>
      </c>
      <c r="M192" s="184"/>
      <c r="N192" s="184">
        <f t="shared" si="36"/>
        <v>1</v>
      </c>
      <c r="O192" s="184">
        <f t="shared" si="31"/>
        <v>1</v>
      </c>
      <c r="P192" s="88" t="s">
        <v>124</v>
      </c>
      <c r="Q192" s="91">
        <f t="shared" si="32"/>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x14ac:dyDescent="0.4">
      <c r="A193" s="30" t="str">
        <f t="shared" si="33"/>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90">
        <f>SUMIFS(Table1[Estimação (horas)],Table1[Tabela],Plano_V3!E193,Table1[Campo],Plano_V3!F193)</f>
        <v>4.0999999999999996</v>
      </c>
      <c r="J193" s="190">
        <f t="shared" si="34"/>
        <v>0.51249999999999996</v>
      </c>
      <c r="K193" s="190">
        <f>SUMIFS(Table1[Horas efetivas],Table1[Tabela],Plano_V3!E193,Table1[Campo],Plano_V3!F193)</f>
        <v>4.0999999999999996</v>
      </c>
      <c r="L193" s="190">
        <f t="shared" si="35"/>
        <v>0.51249999999999996</v>
      </c>
      <c r="M193" s="184"/>
      <c r="N193" s="184">
        <f t="shared" si="36"/>
        <v>1</v>
      </c>
      <c r="O193" s="184">
        <f t="shared" si="31"/>
        <v>1</v>
      </c>
      <c r="P193" s="88" t="s">
        <v>124</v>
      </c>
      <c r="Q193" s="91">
        <f t="shared" si="32"/>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x14ac:dyDescent="0.4">
      <c r="A194" s="30" t="str">
        <f t="shared" si="33"/>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90">
        <f>SUMIFS(Table1[Estimação (horas)],Table1[Tabela],Plano_V3!E194,Table1[Campo],Plano_V3!F194)</f>
        <v>4.0999999999999996</v>
      </c>
      <c r="J194" s="190">
        <f t="shared" si="34"/>
        <v>0.51249999999999996</v>
      </c>
      <c r="K194" s="190">
        <f>SUMIFS(Table1[Horas efetivas],Table1[Tabela],Plano_V3!E194,Table1[Campo],Plano_V3!F194)</f>
        <v>4.0999999999999996</v>
      </c>
      <c r="L194" s="190">
        <f t="shared" si="35"/>
        <v>0.51249999999999996</v>
      </c>
      <c r="M194" s="184"/>
      <c r="N194" s="184">
        <f t="shared" si="36"/>
        <v>1</v>
      </c>
      <c r="O194" s="184">
        <f t="shared" si="31"/>
        <v>1</v>
      </c>
      <c r="P194" s="88" t="s">
        <v>124</v>
      </c>
      <c r="Q194" s="91">
        <f t="shared" si="32"/>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x14ac:dyDescent="0.4">
      <c r="A195" s="30" t="str">
        <f t="shared" ref="A195:A201" si="37">E195&amp;F195</f>
        <v>PROPERTY_ENERGY_CERTIFICATENET_FLOOR_AREA</v>
      </c>
      <c r="B195" s="68" t="s">
        <v>26</v>
      </c>
      <c r="C195" s="69" t="s">
        <v>54</v>
      </c>
      <c r="D195" s="65" t="s">
        <v>40</v>
      </c>
      <c r="E195" s="67" t="s">
        <v>123</v>
      </c>
      <c r="F195" s="67" t="s">
        <v>97</v>
      </c>
      <c r="G195" s="65" t="str">
        <f>INDEX(Auxiliar!$B$16:$B$24,MATCH(Plano_V3!H195,Auxiliar!$C$16:$C$24,0),1)</f>
        <v>6. Em implementação (re-especificação)</v>
      </c>
      <c r="H195" s="65">
        <f>VLOOKUP(A195,'Aux - pivots1'!$A:$B,2,0)</f>
        <v>7</v>
      </c>
      <c r="I195" s="190">
        <f>SUMIFS(Table1[Estimação (horas)],Table1[Tabela],Plano_V3!E195,Table1[Campo],Plano_V3!F195)</f>
        <v>4.0999999999999996</v>
      </c>
      <c r="J195" s="190">
        <f t="shared" ref="J195:J201" si="38">I195/8</f>
        <v>0.51249999999999996</v>
      </c>
      <c r="K195" s="190">
        <f>SUMIFS(Table1[Horas efetivas],Table1[Tabela],Plano_V3!E195,Table1[Campo],Plano_V3!F195)</f>
        <v>1.0249999999999999</v>
      </c>
      <c r="L195" s="190">
        <f t="shared" ref="L195:L201" si="39">K195/8</f>
        <v>0.12812499999999999</v>
      </c>
      <c r="M195" s="184"/>
      <c r="N195" s="184">
        <f t="shared" ref="N195:N201" si="40">L195/J195</f>
        <v>0.25</v>
      </c>
      <c r="O195" s="184">
        <f t="shared" si="31"/>
        <v>0.25</v>
      </c>
      <c r="P195" s="88" t="s">
        <v>124</v>
      </c>
      <c r="Q195" s="91">
        <f t="shared" ref="Q195:Q201" si="41">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x14ac:dyDescent="0.4">
      <c r="A196" s="30" t="str">
        <f t="shared" si="37"/>
        <v>PROPERTY_ENERGY_CERTIFICATECADASTRAL_REGISTER_CODE</v>
      </c>
      <c r="B196" s="68" t="s">
        <v>26</v>
      </c>
      <c r="C196" s="69" t="s">
        <v>54</v>
      </c>
      <c r="D196" s="65" t="s">
        <v>40</v>
      </c>
      <c r="E196" s="67" t="s">
        <v>123</v>
      </c>
      <c r="F196" s="67" t="s">
        <v>98</v>
      </c>
      <c r="G196" s="65" t="str">
        <f>INDEX(Auxiliar!$B$16:$B$24,MATCH(Plano_V3!H196,Auxiliar!$C$16:$C$24,0),1)</f>
        <v>6. Em implementação (re-especificação)</v>
      </c>
      <c r="H196" s="65">
        <f>VLOOKUP(A196,'Aux - pivots1'!$A:$B,2,0)</f>
        <v>7</v>
      </c>
      <c r="I196" s="190">
        <f>SUMIFS(Table1[Estimação (horas)],Table1[Tabela],Plano_V3!E196,Table1[Campo],Plano_V3!F196)</f>
        <v>4.0999999999999996</v>
      </c>
      <c r="J196" s="190">
        <f t="shared" si="38"/>
        <v>0.51249999999999996</v>
      </c>
      <c r="K196" s="190">
        <f>SUMIFS(Table1[Horas efetivas],Table1[Tabela],Plano_V3!E196,Table1[Campo],Plano_V3!F196)</f>
        <v>1.0249999999999999</v>
      </c>
      <c r="L196" s="190">
        <f t="shared" si="39"/>
        <v>0.12812499999999999</v>
      </c>
      <c r="M196" s="184"/>
      <c r="N196" s="184">
        <f t="shared" si="40"/>
        <v>0.25</v>
      </c>
      <c r="O196" s="184">
        <f t="shared" si="31"/>
        <v>0.25</v>
      </c>
      <c r="P196" s="88" t="s">
        <v>124</v>
      </c>
      <c r="Q196" s="91">
        <f t="shared" si="41"/>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x14ac:dyDescent="0.4">
      <c r="A197" s="30" t="str">
        <f t="shared" si="37"/>
        <v>PROPERTY_ENERGY_CERTIFICATEDISTRICT_MUNICIP_PARISH_CODE</v>
      </c>
      <c r="B197" s="68" t="s">
        <v>26</v>
      </c>
      <c r="C197" s="69" t="s">
        <v>54</v>
      </c>
      <c r="D197" s="65" t="s">
        <v>40</v>
      </c>
      <c r="E197" s="67" t="s">
        <v>123</v>
      </c>
      <c r="F197" s="67" t="s">
        <v>101</v>
      </c>
      <c r="G197" s="65" t="str">
        <f>INDEX(Auxiliar!$B$16:$B$24,MATCH(Plano_V3!H197,Auxiliar!$C$16:$C$24,0),1)</f>
        <v>6. Em implementação (re-especificação)</v>
      </c>
      <c r="H197" s="65">
        <f>VLOOKUP(A197,'Aux - pivots1'!$A:$B,2,0)</f>
        <v>7</v>
      </c>
      <c r="I197" s="190">
        <f>SUMIFS(Table1[Estimação (horas)],Table1[Tabela],Plano_V3!E197,Table1[Campo],Plano_V3!F197)</f>
        <v>4.0999999999999996</v>
      </c>
      <c r="J197" s="190">
        <f t="shared" si="38"/>
        <v>0.51249999999999996</v>
      </c>
      <c r="K197" s="190">
        <f>SUMIFS(Table1[Horas efetivas],Table1[Tabela],Plano_V3!E197,Table1[Campo],Plano_V3!F197)</f>
        <v>1.0249999999999999</v>
      </c>
      <c r="L197" s="190">
        <f t="shared" si="39"/>
        <v>0.12812499999999999</v>
      </c>
      <c r="M197" s="184"/>
      <c r="N197" s="184">
        <f t="shared" si="40"/>
        <v>0.25</v>
      </c>
      <c r="O197" s="184">
        <f t="shared" si="31"/>
        <v>0.25</v>
      </c>
      <c r="P197" s="88" t="s">
        <v>124</v>
      </c>
      <c r="Q197" s="91">
        <f t="shared" si="41"/>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x14ac:dyDescent="0.4">
      <c r="A198" s="30" t="str">
        <f t="shared" si="37"/>
        <v>PROPERTY_ENERGY_CERTIFICATEPROPERTY_PURPOSE_CODE</v>
      </c>
      <c r="B198" s="68" t="s">
        <v>26</v>
      </c>
      <c r="C198" s="69" t="s">
        <v>54</v>
      </c>
      <c r="D198" s="65" t="s">
        <v>40</v>
      </c>
      <c r="E198" s="67" t="s">
        <v>123</v>
      </c>
      <c r="F198" s="67" t="s">
        <v>102</v>
      </c>
      <c r="G198" s="65" t="str">
        <f>INDEX(Auxiliar!$B$16:$B$24,MATCH(Plano_V3!H198,Auxiliar!$C$16:$C$24,0),1)</f>
        <v>6. Em implementação (re-especificação)</v>
      </c>
      <c r="H198" s="65">
        <f>VLOOKUP(A198,'Aux - pivots1'!$A:$B,2,0)</f>
        <v>7</v>
      </c>
      <c r="I198" s="190">
        <f>SUMIFS(Table1[Estimação (horas)],Table1[Tabela],Plano_V3!E198,Table1[Campo],Plano_V3!F198)</f>
        <v>4.0999999999999996</v>
      </c>
      <c r="J198" s="190">
        <f t="shared" si="38"/>
        <v>0.51249999999999996</v>
      </c>
      <c r="K198" s="190">
        <f>SUMIFS(Table1[Horas efetivas],Table1[Tabela],Plano_V3!E198,Table1[Campo],Plano_V3!F198)</f>
        <v>1.0249999999999999</v>
      </c>
      <c r="L198" s="190">
        <f t="shared" si="39"/>
        <v>0.12812499999999999</v>
      </c>
      <c r="M198" s="184"/>
      <c r="N198" s="184">
        <f t="shared" si="40"/>
        <v>0.25</v>
      </c>
      <c r="O198" s="184">
        <f t="shared" si="31"/>
        <v>0.25</v>
      </c>
      <c r="P198" s="88" t="s">
        <v>124</v>
      </c>
      <c r="Q198" s="91">
        <f t="shared" si="41"/>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x14ac:dyDescent="0.4">
      <c r="A199" s="30" t="str">
        <f t="shared" si="37"/>
        <v>PROPERTY_ENERGY_CERTIFICATEADDRESS_CODE</v>
      </c>
      <c r="B199" s="68" t="s">
        <v>26</v>
      </c>
      <c r="C199" s="69" t="s">
        <v>54</v>
      </c>
      <c r="D199" s="65" t="s">
        <v>40</v>
      </c>
      <c r="E199" s="67" t="s">
        <v>123</v>
      </c>
      <c r="F199" s="67" t="s">
        <v>104</v>
      </c>
      <c r="G199" s="65" t="str">
        <f>INDEX(Auxiliar!$B$16:$B$24,MATCH(Plano_V3!H199,Auxiliar!$C$16:$C$24,0),1)</f>
        <v>6. Em implementação (re-especificação)</v>
      </c>
      <c r="H199" s="65">
        <f>VLOOKUP(A199,'Aux - pivots1'!$A:$B,2,0)</f>
        <v>7</v>
      </c>
      <c r="I199" s="190">
        <f>SUMIFS(Table1[Estimação (horas)],Table1[Tabela],Plano_V3!E199,Table1[Campo],Plano_V3!F199)</f>
        <v>4.0999999999999996</v>
      </c>
      <c r="J199" s="190">
        <f t="shared" si="38"/>
        <v>0.51249999999999996</v>
      </c>
      <c r="K199" s="190">
        <f>SUMIFS(Table1[Horas efetivas],Table1[Tabela],Plano_V3!E199,Table1[Campo],Plano_V3!F199)</f>
        <v>1.0249999999999999</v>
      </c>
      <c r="L199" s="190">
        <f t="shared" si="39"/>
        <v>0.12812499999999999</v>
      </c>
      <c r="M199" s="184"/>
      <c r="N199" s="184">
        <f t="shared" si="40"/>
        <v>0.25</v>
      </c>
      <c r="O199" s="184">
        <f t="shared" si="31"/>
        <v>0.25</v>
      </c>
      <c r="P199" s="88" t="s">
        <v>124</v>
      </c>
      <c r="Q199" s="91">
        <f t="shared" si="41"/>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x14ac:dyDescent="0.4">
      <c r="A200" s="30" t="str">
        <f t="shared" si="37"/>
        <v>PROPERTY_ENERGY_CERTIFICATEFLOOR_NUMBER</v>
      </c>
      <c r="B200" s="68" t="s">
        <v>26</v>
      </c>
      <c r="C200" s="69" t="s">
        <v>54</v>
      </c>
      <c r="D200" s="65" t="s">
        <v>40</v>
      </c>
      <c r="E200" s="67" t="s">
        <v>123</v>
      </c>
      <c r="F200" s="67" t="s">
        <v>111</v>
      </c>
      <c r="G200" s="65" t="str">
        <f>INDEX(Auxiliar!$B$16:$B$24,MATCH(Plano_V3!H200,Auxiliar!$C$16:$C$24,0),1)</f>
        <v>6. Em implementação (re-especificação)</v>
      </c>
      <c r="H200" s="65">
        <f>VLOOKUP(A200,'Aux - pivots1'!$A:$B,2,0)</f>
        <v>7</v>
      </c>
      <c r="I200" s="190">
        <f>SUMIFS(Table1[Estimação (horas)],Table1[Tabela],Plano_V3!E200,Table1[Campo],Plano_V3!F200)</f>
        <v>4.0999999999999996</v>
      </c>
      <c r="J200" s="190">
        <f t="shared" si="38"/>
        <v>0.51249999999999996</v>
      </c>
      <c r="K200" s="190">
        <f>SUMIFS(Table1[Horas efetivas],Table1[Tabela],Plano_V3!E200,Table1[Campo],Plano_V3!F200)</f>
        <v>1.0249999999999999</v>
      </c>
      <c r="L200" s="190">
        <f t="shared" si="39"/>
        <v>0.12812499999999999</v>
      </c>
      <c r="M200" s="184"/>
      <c r="N200" s="184">
        <f t="shared" si="40"/>
        <v>0.25</v>
      </c>
      <c r="O200" s="184">
        <f t="shared" si="31"/>
        <v>0.25</v>
      </c>
      <c r="P200" s="88" t="s">
        <v>124</v>
      </c>
      <c r="Q200" s="91">
        <f t="shared" si="41"/>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x14ac:dyDescent="0.4">
      <c r="A201" s="30" t="str">
        <f t="shared" si="37"/>
        <v>PROPERTY_ENERGY_CERTIFICATELOCALITY</v>
      </c>
      <c r="B201" s="68" t="s">
        <v>26</v>
      </c>
      <c r="C201" s="69" t="s">
        <v>54</v>
      </c>
      <c r="D201" s="65" t="s">
        <v>40</v>
      </c>
      <c r="E201" s="67" t="s">
        <v>123</v>
      </c>
      <c r="F201" s="67" t="s">
        <v>112</v>
      </c>
      <c r="G201" s="65" t="str">
        <f>INDEX(Auxiliar!$B$16:$B$24,MATCH(Plano_V3!H201,Auxiliar!$C$16:$C$24,0),1)</f>
        <v>6. Em implementação (re-especificação)</v>
      </c>
      <c r="H201" s="65">
        <f>VLOOKUP(A201,'Aux - pivots1'!$A:$B,2,0)</f>
        <v>7</v>
      </c>
      <c r="I201" s="190">
        <f>SUMIFS(Table1[Estimação (horas)],Table1[Tabela],Plano_V3!E201,Table1[Campo],Plano_V3!F201)</f>
        <v>4.0999999999999996</v>
      </c>
      <c r="J201" s="190">
        <f t="shared" si="38"/>
        <v>0.51249999999999996</v>
      </c>
      <c r="K201" s="190">
        <f>SUMIFS(Table1[Horas efetivas],Table1[Tabela],Plano_V3!E201,Table1[Campo],Plano_V3!F201)</f>
        <v>1.0249999999999999</v>
      </c>
      <c r="L201" s="190">
        <f t="shared" si="39"/>
        <v>0.12812499999999999</v>
      </c>
      <c r="M201" s="184"/>
      <c r="N201" s="184">
        <f t="shared" si="40"/>
        <v>0.25</v>
      </c>
      <c r="O201" s="184">
        <f t="shared" si="31"/>
        <v>0.25</v>
      </c>
      <c r="P201" s="88" t="s">
        <v>124</v>
      </c>
      <c r="Q201" s="91">
        <f t="shared" si="41"/>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x14ac:dyDescent="0.4">
      <c r="A202" s="30" t="str">
        <f t="shared" si="33"/>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90">
        <f>SUMIFS(Table1[Estimação (horas)],Table1[Tabela],Plano_V3!E202,Table1[Campo],Plano_V3!F202)</f>
        <v>4.0999999999999996</v>
      </c>
      <c r="J202" s="190">
        <f t="shared" si="34"/>
        <v>0.51249999999999996</v>
      </c>
      <c r="K202" s="190">
        <f>SUMIFS(Table1[Horas efetivas],Table1[Tabela],Plano_V3!E202,Table1[Campo],Plano_V3!F202)</f>
        <v>4.0999999999999996</v>
      </c>
      <c r="L202" s="190">
        <f t="shared" si="35"/>
        <v>0.51249999999999996</v>
      </c>
      <c r="M202" s="184"/>
      <c r="N202" s="184">
        <f t="shared" si="36"/>
        <v>1</v>
      </c>
      <c r="O202" s="184">
        <f t="shared" si="31"/>
        <v>1</v>
      </c>
      <c r="P202" s="88" t="s">
        <v>124</v>
      </c>
      <c r="Q202" s="91">
        <f t="shared" si="32"/>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x14ac:dyDescent="0.4">
      <c r="A203" s="30" t="str">
        <f t="shared" si="33"/>
        <v>Re-testesn.a.</v>
      </c>
      <c r="B203" s="68" t="s">
        <v>26</v>
      </c>
      <c r="C203" s="69" t="s">
        <v>54</v>
      </c>
      <c r="D203" s="65" t="s">
        <v>40</v>
      </c>
      <c r="E203" s="67" t="s">
        <v>53</v>
      </c>
      <c r="F203" s="65" t="s">
        <v>38</v>
      </c>
      <c r="G203" s="65" t="s">
        <v>180</v>
      </c>
      <c r="H203" s="65"/>
      <c r="I203" s="190">
        <f>SUM(I41:I202)*$D$7</f>
        <v>92.850000000000293</v>
      </c>
      <c r="J203" s="190">
        <f>I203/8</f>
        <v>11.606250000000037</v>
      </c>
      <c r="K203" s="190">
        <f>SUM(K41:K202)*$D$7</f>
        <v>83.484375000000156</v>
      </c>
      <c r="L203" s="190">
        <f>K203/8</f>
        <v>10.43554687500002</v>
      </c>
      <c r="M203" s="184"/>
      <c r="N203" s="184">
        <f t="shared" si="36"/>
        <v>0.89913166397415067</v>
      </c>
      <c r="O203" s="184">
        <f t="shared" si="31"/>
        <v>0.89913166397415067</v>
      </c>
      <c r="P203" s="88"/>
      <c r="Q203" s="91">
        <f t="shared" si="32"/>
        <v>11.606250000000037</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4.8" x14ac:dyDescent="0.4">
      <c r="A204" s="30" t="str">
        <f t="shared" si="33"/>
        <v/>
      </c>
      <c r="B204" s="64" t="s">
        <v>26</v>
      </c>
      <c r="C204" s="97" t="s">
        <v>181</v>
      </c>
      <c r="D204" s="97"/>
      <c r="E204" s="104"/>
      <c r="F204" s="97"/>
      <c r="G204" s="97"/>
      <c r="H204" s="97"/>
      <c r="I204" s="189">
        <f>SUM(I205:I370)</f>
        <v>181.0999999999996</v>
      </c>
      <c r="J204" s="189">
        <f>ROUNDUP(I204/8,0)</f>
        <v>23</v>
      </c>
      <c r="K204" s="189">
        <f>SUM(K205:K370)</f>
        <v>162.94999999999959</v>
      </c>
      <c r="L204" s="189">
        <f>ROUNDUP(K204/8,0)</f>
        <v>21</v>
      </c>
      <c r="M204" s="188">
        <f>SUMIFS(R204:ES204,$R$9:$ES$9,"S")/J204</f>
        <v>1</v>
      </c>
      <c r="N204" s="188">
        <f>IFERROR(L204/J204,0)</f>
        <v>0.91304347826086951</v>
      </c>
      <c r="O204" s="188">
        <f t="shared" si="31"/>
        <v>-8.6956521739130488E-2</v>
      </c>
      <c r="P204" s="195" t="s">
        <v>1936</v>
      </c>
      <c r="Q204" s="91">
        <f t="shared" si="32"/>
        <v>0</v>
      </c>
      <c r="R204" s="79"/>
      <c r="S204" s="79"/>
      <c r="T204" s="79"/>
      <c r="U204" s="79"/>
      <c r="V204" s="79"/>
      <c r="W204" s="79"/>
      <c r="X204" s="79"/>
      <c r="Y204" s="79"/>
      <c r="Z204" s="79"/>
      <c r="AA204" s="79"/>
      <c r="AB204" s="79"/>
      <c r="AC204" s="79">
        <v>0.5</v>
      </c>
      <c r="AD204" s="79">
        <v>0.5</v>
      </c>
      <c r="AE204" s="79">
        <v>1</v>
      </c>
      <c r="AF204" s="79">
        <v>1</v>
      </c>
      <c r="AG204" s="199"/>
      <c r="AH204" s="79">
        <v>0.5</v>
      </c>
      <c r="AI204" s="199"/>
      <c r="AJ204" s="199"/>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x14ac:dyDescent="0.25">
      <c r="A205" s="30" t="str">
        <f t="shared" si="33"/>
        <v>modesg_param_sfcs_taxon_europeian.a.</v>
      </c>
      <c r="B205" s="68" t="s">
        <v>26</v>
      </c>
      <c r="C205" s="69" t="s">
        <v>181</v>
      </c>
      <c r="D205" s="65" t="s">
        <v>36</v>
      </c>
      <c r="E205" s="67" t="s">
        <v>182</v>
      </c>
      <c r="F205" s="65" t="s">
        <v>38</v>
      </c>
      <c r="G205" s="65" t="str">
        <f>INDEX(Auxiliar!$B$16:$B$24,MATCH(Plano_V3!H205,Auxiliar!$C$16:$C$24,0),1)</f>
        <v>1. Concluído</v>
      </c>
      <c r="H205" s="65">
        <f>VLOOKUP(A205,'Aux - pivots1'!$A:$B,2,0)</f>
        <v>1</v>
      </c>
      <c r="I205" s="190">
        <f>SUMIFS(Table1[Estimação (horas)],Table1[Tabela],Plano_V3!E205,Table1[Campo],Plano_V3!F205)</f>
        <v>8.5</v>
      </c>
      <c r="J205" s="190">
        <f t="shared" ref="J205:J270" si="42">I205/8</f>
        <v>1.0625</v>
      </c>
      <c r="K205" s="190">
        <f>SUMIFS(Table1[Horas efetivas],Table1[Tabela],Plano_V3!E205,Table1[Campo],Plano_V3!F205)</f>
        <v>8.5</v>
      </c>
      <c r="L205" s="190">
        <f>K205/8</f>
        <v>1.0625</v>
      </c>
      <c r="M205" s="184"/>
      <c r="N205" s="184">
        <f>L205/J205</f>
        <v>1</v>
      </c>
      <c r="O205" s="184">
        <f t="shared" si="31"/>
        <v>1</v>
      </c>
      <c r="P205" s="90" t="s">
        <v>39</v>
      </c>
      <c r="Q205" s="91">
        <f t="shared" si="32"/>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x14ac:dyDescent="0.25">
      <c r="A206" s="30" t="str">
        <f t="shared" si="33"/>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90">
        <f>SUMIFS(Table1[Estimação (horas)],Table1[Tabela],Plano_V3!E206,Table1[Campo],Plano_V3!F206)</f>
        <v>0.6</v>
      </c>
      <c r="J206" s="190">
        <f t="shared" si="42"/>
        <v>7.4999999999999997E-2</v>
      </c>
      <c r="K206" s="190">
        <f>SUMIFS(Table1[Horas efetivas],Table1[Tabela],Plano_V3!E206,Table1[Campo],Plano_V3!F206)</f>
        <v>0.6</v>
      </c>
      <c r="L206" s="190">
        <f t="shared" ref="L206:L271" si="43">K206/8</f>
        <v>7.4999999999999997E-2</v>
      </c>
      <c r="M206" s="184"/>
      <c r="N206" s="184">
        <f t="shared" ref="N206:N271" si="44">L206/J206</f>
        <v>1</v>
      </c>
      <c r="O206" s="184">
        <f t="shared" si="31"/>
        <v>1</v>
      </c>
      <c r="P206" s="90" t="s">
        <v>39</v>
      </c>
      <c r="Q206" s="91">
        <f t="shared" si="32"/>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x14ac:dyDescent="0.25">
      <c r="A207" s="30" t="str">
        <f t="shared" si="33"/>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90">
        <f>SUMIFS(Table1[Estimação (horas)],Table1[Tabela],Plano_V3!E207,Table1[Campo],Plano_V3!F207)</f>
        <v>0.6</v>
      </c>
      <c r="J207" s="190">
        <f t="shared" si="42"/>
        <v>7.4999999999999997E-2</v>
      </c>
      <c r="K207" s="190">
        <f>SUMIFS(Table1[Horas efetivas],Table1[Tabela],Plano_V3!E207,Table1[Campo],Plano_V3!F207)</f>
        <v>0.6</v>
      </c>
      <c r="L207" s="190">
        <f t="shared" si="43"/>
        <v>7.4999999999999997E-2</v>
      </c>
      <c r="M207" s="184"/>
      <c r="N207" s="184">
        <f t="shared" si="44"/>
        <v>1</v>
      </c>
      <c r="O207" s="184">
        <f t="shared" si="31"/>
        <v>1</v>
      </c>
      <c r="P207" s="90" t="s">
        <v>39</v>
      </c>
      <c r="Q207" s="91">
        <f t="shared" si="32"/>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x14ac:dyDescent="0.25">
      <c r="A208" s="30" t="str">
        <f t="shared" si="33"/>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90">
        <f>SUMIFS(Table1[Estimação (horas)],Table1[Tabela],Plano_V3!E208,Table1[Campo],Plano_V3!F208)</f>
        <v>0.6</v>
      </c>
      <c r="J208" s="190">
        <f t="shared" si="42"/>
        <v>7.4999999999999997E-2</v>
      </c>
      <c r="K208" s="190">
        <f>SUMIFS(Table1[Horas efetivas],Table1[Tabela],Plano_V3!E208,Table1[Campo],Plano_V3!F208)</f>
        <v>0.6</v>
      </c>
      <c r="L208" s="190">
        <f t="shared" si="43"/>
        <v>7.4999999999999997E-2</v>
      </c>
      <c r="M208" s="184"/>
      <c r="N208" s="184">
        <f t="shared" si="44"/>
        <v>1</v>
      </c>
      <c r="O208" s="184">
        <f t="shared" si="31"/>
        <v>1</v>
      </c>
      <c r="P208" s="90" t="s">
        <v>39</v>
      </c>
      <c r="Q208" s="91">
        <f t="shared" si="32"/>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x14ac:dyDescent="0.25">
      <c r="A209" s="30" t="str">
        <f t="shared" si="33"/>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90">
        <f>SUMIFS(Table1[Estimação (horas)],Table1[Tabela],Plano_V3!E209,Table1[Campo],Plano_V3!F209)</f>
        <v>0.6</v>
      </c>
      <c r="J209" s="190">
        <f t="shared" si="42"/>
        <v>7.4999999999999997E-2</v>
      </c>
      <c r="K209" s="190">
        <f>SUMIFS(Table1[Horas efetivas],Table1[Tabela],Plano_V3!E209,Table1[Campo],Plano_V3!F209)</f>
        <v>0.6</v>
      </c>
      <c r="L209" s="190">
        <f t="shared" si="43"/>
        <v>7.4999999999999997E-2</v>
      </c>
      <c r="M209" s="184"/>
      <c r="N209" s="184">
        <f t="shared" si="44"/>
        <v>1</v>
      </c>
      <c r="O209" s="184">
        <f t="shared" si="31"/>
        <v>1</v>
      </c>
      <c r="P209" s="90" t="s">
        <v>39</v>
      </c>
      <c r="Q209" s="91">
        <f t="shared" si="32"/>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x14ac:dyDescent="0.25">
      <c r="A210" s="30" t="str">
        <f t="shared" si="33"/>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90">
        <f>SUMIFS(Table1[Estimação (horas)],Table1[Tabela],Plano_V3!E210,Table1[Campo],Plano_V3!F210)</f>
        <v>0.6</v>
      </c>
      <c r="J210" s="190">
        <f t="shared" si="42"/>
        <v>7.4999999999999997E-2</v>
      </c>
      <c r="K210" s="190">
        <f>SUMIFS(Table1[Horas efetivas],Table1[Tabela],Plano_V3!E210,Table1[Campo],Plano_V3!F210)</f>
        <v>0.6</v>
      </c>
      <c r="L210" s="190">
        <f t="shared" si="43"/>
        <v>7.4999999999999997E-2</v>
      </c>
      <c r="M210" s="184"/>
      <c r="N210" s="184">
        <f t="shared" si="44"/>
        <v>1</v>
      </c>
      <c r="O210" s="184">
        <f t="shared" si="31"/>
        <v>1</v>
      </c>
      <c r="P210" s="90" t="s">
        <v>39</v>
      </c>
      <c r="Q210" s="91">
        <f t="shared" si="32"/>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x14ac:dyDescent="0.25">
      <c r="A211" s="30" t="str">
        <f t="shared" si="33"/>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90">
        <f>SUMIFS(Table1[Estimação (horas)],Table1[Tabela],Plano_V3!E211,Table1[Campo],Plano_V3!F211)</f>
        <v>0.6</v>
      </c>
      <c r="J211" s="190">
        <f t="shared" si="42"/>
        <v>7.4999999999999997E-2</v>
      </c>
      <c r="K211" s="190">
        <f>SUMIFS(Table1[Horas efetivas],Table1[Tabela],Plano_V3!E211,Table1[Campo],Plano_V3!F211)</f>
        <v>0.6</v>
      </c>
      <c r="L211" s="190">
        <f t="shared" si="43"/>
        <v>7.4999999999999997E-2</v>
      </c>
      <c r="M211" s="184"/>
      <c r="N211" s="184">
        <f t="shared" si="44"/>
        <v>1</v>
      </c>
      <c r="O211" s="184">
        <f t="shared" si="31"/>
        <v>1</v>
      </c>
      <c r="P211" s="90" t="s">
        <v>39</v>
      </c>
      <c r="Q211" s="91">
        <f t="shared" si="32"/>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x14ac:dyDescent="0.25">
      <c r="A212" s="30" t="str">
        <f t="shared" si="33"/>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90">
        <f>SUMIFS(Table1[Estimação (horas)],Table1[Tabela],Plano_V3!E212,Table1[Campo],Plano_V3!F212)</f>
        <v>0.6</v>
      </c>
      <c r="J212" s="190">
        <f t="shared" si="42"/>
        <v>7.4999999999999997E-2</v>
      </c>
      <c r="K212" s="190">
        <f>SUMIFS(Table1[Horas efetivas],Table1[Tabela],Plano_V3!E212,Table1[Campo],Plano_V3!F212)</f>
        <v>0.6</v>
      </c>
      <c r="L212" s="190">
        <f t="shared" si="43"/>
        <v>7.4999999999999997E-2</v>
      </c>
      <c r="M212" s="184"/>
      <c r="N212" s="184">
        <f t="shared" si="44"/>
        <v>1</v>
      </c>
      <c r="O212" s="184">
        <f t="shared" si="31"/>
        <v>1</v>
      </c>
      <c r="P212" s="90" t="s">
        <v>39</v>
      </c>
      <c r="Q212" s="91">
        <f t="shared" si="32"/>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x14ac:dyDescent="0.25">
      <c r="A213" s="30" t="str">
        <f t="shared" si="33"/>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90">
        <f>SUMIFS(Table1[Estimação (horas)],Table1[Tabela],Plano_V3!E213,Table1[Campo],Plano_V3!F213)</f>
        <v>0.6</v>
      </c>
      <c r="J213" s="190">
        <f t="shared" si="42"/>
        <v>7.4999999999999997E-2</v>
      </c>
      <c r="K213" s="190">
        <f>SUMIFS(Table1[Horas efetivas],Table1[Tabela],Plano_V3!E213,Table1[Campo],Plano_V3!F213)</f>
        <v>0.6</v>
      </c>
      <c r="L213" s="190">
        <f t="shared" si="43"/>
        <v>7.4999999999999997E-2</v>
      </c>
      <c r="M213" s="184"/>
      <c r="N213" s="184">
        <f t="shared" si="44"/>
        <v>1</v>
      </c>
      <c r="O213" s="184">
        <f t="shared" si="31"/>
        <v>1</v>
      </c>
      <c r="P213" s="90" t="s">
        <v>39</v>
      </c>
      <c r="Q213" s="91">
        <f t="shared" si="32"/>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x14ac:dyDescent="0.25">
      <c r="A214" s="30" t="str">
        <f t="shared" si="33"/>
        <v>modesg_param_sfcs_taxon_europeiacod_regra</v>
      </c>
      <c r="B214" s="68" t="s">
        <v>26</v>
      </c>
      <c r="C214" s="69" t="s">
        <v>181</v>
      </c>
      <c r="D214" s="65" t="s">
        <v>40</v>
      </c>
      <c r="E214" s="67" t="s">
        <v>182</v>
      </c>
      <c r="F214" s="65" t="s">
        <v>191</v>
      </c>
      <c r="G214" s="65" t="str">
        <f>INDEX(Auxiliar!$B$16:$B$24,MATCH(Plano_V3!H214,Auxiliar!$C$16:$C$24,0),1)</f>
        <v>1. Concluído</v>
      </c>
      <c r="H214" s="65">
        <f>VLOOKUP(A214,'Aux - pivots1'!$A:$B,2,0)</f>
        <v>1</v>
      </c>
      <c r="I214" s="190">
        <f>SUMIFS(Table1[Estimação (horas)],Table1[Tabela],Plano_V3!E214,Table1[Campo],Plano_V3!F214)</f>
        <v>0.6</v>
      </c>
      <c r="J214" s="190">
        <f t="shared" si="42"/>
        <v>7.4999999999999997E-2</v>
      </c>
      <c r="K214" s="190">
        <f>SUMIFS(Table1[Horas efetivas],Table1[Tabela],Plano_V3!E214,Table1[Campo],Plano_V3!F214)</f>
        <v>0.6</v>
      </c>
      <c r="L214" s="190">
        <f t="shared" si="43"/>
        <v>7.4999999999999997E-2</v>
      </c>
      <c r="M214" s="184"/>
      <c r="N214" s="184">
        <f t="shared" si="44"/>
        <v>1</v>
      </c>
      <c r="O214" s="184">
        <f t="shared" si="31"/>
        <v>1</v>
      </c>
      <c r="P214" s="90" t="s">
        <v>39</v>
      </c>
      <c r="Q214" s="91">
        <f t="shared" si="32"/>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x14ac:dyDescent="0.25">
      <c r="A215" s="30" t="str">
        <f t="shared" si="33"/>
        <v>modesg_param_sfcs_taxon_europeiacomite</v>
      </c>
      <c r="B215" s="68" t="s">
        <v>26</v>
      </c>
      <c r="C215" s="69" t="s">
        <v>181</v>
      </c>
      <c r="D215" s="65" t="s">
        <v>40</v>
      </c>
      <c r="E215" s="67" t="s">
        <v>182</v>
      </c>
      <c r="F215" s="65" t="s">
        <v>192</v>
      </c>
      <c r="G215" s="65" t="str">
        <f>INDEX(Auxiliar!$B$16:$B$24,MATCH(Plano_V3!H215,Auxiliar!$C$16:$C$24,0),1)</f>
        <v>1. Concluído</v>
      </c>
      <c r="H215" s="65">
        <f>VLOOKUP(A215,'Aux - pivots1'!$A:$B,2,0)</f>
        <v>1</v>
      </c>
      <c r="I215" s="190">
        <f>SUMIFS(Table1[Estimação (horas)],Table1[Tabela],Plano_V3!E215,Table1[Campo],Plano_V3!F215)</f>
        <v>0.6</v>
      </c>
      <c r="J215" s="190">
        <f t="shared" si="42"/>
        <v>7.4999999999999997E-2</v>
      </c>
      <c r="K215" s="190">
        <f>SUMIFS(Table1[Horas efetivas],Table1[Tabela],Plano_V3!E215,Table1[Campo],Plano_V3!F215)</f>
        <v>0.6</v>
      </c>
      <c r="L215" s="190">
        <f t="shared" si="43"/>
        <v>7.4999999999999997E-2</v>
      </c>
      <c r="M215" s="184"/>
      <c r="N215" s="184">
        <f t="shared" si="44"/>
        <v>1</v>
      </c>
      <c r="O215" s="184">
        <f t="shared" si="31"/>
        <v>1</v>
      </c>
      <c r="P215" s="90" t="s">
        <v>39</v>
      </c>
      <c r="Q215" s="91">
        <f t="shared" si="32"/>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x14ac:dyDescent="0.25">
      <c r="A216" s="30" t="str">
        <f t="shared" si="33"/>
        <v>modesg_param_sfcs_taxon_europeiadata_aprvc</v>
      </c>
      <c r="B216" s="68" t="s">
        <v>26</v>
      </c>
      <c r="C216" s="69" t="s">
        <v>181</v>
      </c>
      <c r="D216" s="65" t="s">
        <v>40</v>
      </c>
      <c r="E216" s="67" t="s">
        <v>182</v>
      </c>
      <c r="F216" s="65" t="s">
        <v>193</v>
      </c>
      <c r="G216" s="65" t="str">
        <f>INDEX(Auxiliar!$B$16:$B$24,MATCH(Plano_V3!H216,Auxiliar!$C$16:$C$24,0),1)</f>
        <v>1. Concluído</v>
      </c>
      <c r="H216" s="65">
        <f>VLOOKUP(A216,'Aux - pivots1'!$A:$B,2,0)</f>
        <v>1</v>
      </c>
      <c r="I216" s="190">
        <f>SUMIFS(Table1[Estimação (horas)],Table1[Tabela],Plano_V3!E216,Table1[Campo],Plano_V3!F216)</f>
        <v>0.6</v>
      </c>
      <c r="J216" s="190">
        <f t="shared" si="42"/>
        <v>7.4999999999999997E-2</v>
      </c>
      <c r="K216" s="190">
        <f>SUMIFS(Table1[Horas efetivas],Table1[Tabela],Plano_V3!E216,Table1[Campo],Plano_V3!F216)</f>
        <v>0.6</v>
      </c>
      <c r="L216" s="190">
        <f t="shared" si="43"/>
        <v>7.4999999999999997E-2</v>
      </c>
      <c r="M216" s="184"/>
      <c r="N216" s="184">
        <f t="shared" si="44"/>
        <v>1</v>
      </c>
      <c r="O216" s="184">
        <f t="shared" si="31"/>
        <v>1</v>
      </c>
      <c r="P216" s="90" t="s">
        <v>39</v>
      </c>
      <c r="Q216" s="91">
        <f t="shared" si="32"/>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x14ac:dyDescent="0.25">
      <c r="A217" s="30" t="str">
        <f t="shared" si="33"/>
        <v>modesg_param_sfcs_taxon_europeiadata_final</v>
      </c>
      <c r="B217" s="68" t="s">
        <v>26</v>
      </c>
      <c r="C217" s="69" t="s">
        <v>181</v>
      </c>
      <c r="D217" s="65" t="s">
        <v>40</v>
      </c>
      <c r="E217" s="67" t="s">
        <v>182</v>
      </c>
      <c r="F217" s="65" t="s">
        <v>194</v>
      </c>
      <c r="G217" s="65" t="str">
        <f>INDEX(Auxiliar!$B$16:$B$24,MATCH(Plano_V3!H217,Auxiliar!$C$16:$C$24,0),1)</f>
        <v>1. Concluído</v>
      </c>
      <c r="H217" s="65">
        <f>VLOOKUP(A217,'Aux - pivots1'!$A:$B,2,0)</f>
        <v>1</v>
      </c>
      <c r="I217" s="190">
        <f>SUMIFS(Table1[Estimação (horas)],Table1[Tabela],Plano_V3!E217,Table1[Campo],Plano_V3!F217)</f>
        <v>0.6</v>
      </c>
      <c r="J217" s="190">
        <f t="shared" si="42"/>
        <v>7.4999999999999997E-2</v>
      </c>
      <c r="K217" s="190">
        <f>SUMIFS(Table1[Horas efetivas],Table1[Tabela],Plano_V3!E217,Table1[Campo],Plano_V3!F217)</f>
        <v>0.6</v>
      </c>
      <c r="L217" s="190">
        <f t="shared" si="43"/>
        <v>7.4999999999999997E-2</v>
      </c>
      <c r="M217" s="184"/>
      <c r="N217" s="184">
        <f t="shared" si="44"/>
        <v>1</v>
      </c>
      <c r="O217" s="184">
        <f t="shared" ref="O217:O280" si="45">N217-M217</f>
        <v>1</v>
      </c>
      <c r="P217" s="90" t="s">
        <v>39</v>
      </c>
      <c r="Q217" s="91">
        <f t="shared" si="32"/>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x14ac:dyDescent="0.25">
      <c r="A218" s="30" t="str">
        <f t="shared" si="33"/>
        <v>modesg_param_sfcs_taxon_europeiadata_inicial</v>
      </c>
      <c r="B218" s="68" t="s">
        <v>26</v>
      </c>
      <c r="C218" s="69" t="s">
        <v>181</v>
      </c>
      <c r="D218" s="65" t="s">
        <v>40</v>
      </c>
      <c r="E218" s="67" t="s">
        <v>182</v>
      </c>
      <c r="F218" s="65" t="s">
        <v>195</v>
      </c>
      <c r="G218" s="65" t="str">
        <f>INDEX(Auxiliar!$B$16:$B$24,MATCH(Plano_V3!H218,Auxiliar!$C$16:$C$24,0),1)</f>
        <v>1. Concluído</v>
      </c>
      <c r="H218" s="65">
        <f>VLOOKUP(A218,'Aux - pivots1'!$A:$B,2,0)</f>
        <v>1</v>
      </c>
      <c r="I218" s="190">
        <f>SUMIFS(Table1[Estimação (horas)],Table1[Tabela],Plano_V3!E218,Table1[Campo],Plano_V3!F218)</f>
        <v>0.6</v>
      </c>
      <c r="J218" s="190">
        <f t="shared" si="42"/>
        <v>7.4999999999999997E-2</v>
      </c>
      <c r="K218" s="190">
        <f>SUMIFS(Table1[Horas efetivas],Table1[Tabela],Plano_V3!E218,Table1[Campo],Plano_V3!F218)</f>
        <v>0.6</v>
      </c>
      <c r="L218" s="190">
        <f t="shared" si="43"/>
        <v>7.4999999999999997E-2</v>
      </c>
      <c r="M218" s="184"/>
      <c r="N218" s="184">
        <f t="shared" si="44"/>
        <v>1</v>
      </c>
      <c r="O218" s="184">
        <f t="shared" si="45"/>
        <v>1</v>
      </c>
      <c r="P218" s="90" t="s">
        <v>39</v>
      </c>
      <c r="Q218" s="91">
        <f t="shared" si="32"/>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x14ac:dyDescent="0.25">
      <c r="A219" s="30" t="str">
        <f t="shared" si="33"/>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90">
        <f>SUMIFS(Table1[Estimação (horas)],Table1[Tabela],Plano_V3!E219,Table1[Campo],Plano_V3!F219)</f>
        <v>0.6</v>
      </c>
      <c r="J219" s="190">
        <f t="shared" si="42"/>
        <v>7.4999999999999997E-2</v>
      </c>
      <c r="K219" s="190">
        <f>SUMIFS(Table1[Horas efetivas],Table1[Tabela],Plano_V3!E219,Table1[Campo],Plano_V3!F219)</f>
        <v>0.6</v>
      </c>
      <c r="L219" s="190">
        <f t="shared" si="43"/>
        <v>7.4999999999999997E-2</v>
      </c>
      <c r="M219" s="184"/>
      <c r="N219" s="184">
        <f t="shared" si="44"/>
        <v>1</v>
      </c>
      <c r="O219" s="184">
        <f t="shared" si="45"/>
        <v>1</v>
      </c>
      <c r="P219" s="90" t="s">
        <v>39</v>
      </c>
      <c r="Q219" s="91">
        <f t="shared" si="32"/>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x14ac:dyDescent="0.25">
      <c r="A220" s="30" t="str">
        <f t="shared" si="33"/>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90">
        <f>SUMIFS(Table1[Estimação (horas)],Table1[Tabela],Plano_V3!E220,Table1[Campo],Plano_V3!F220)</f>
        <v>0.6</v>
      </c>
      <c r="J220" s="190">
        <f t="shared" si="42"/>
        <v>7.4999999999999997E-2</v>
      </c>
      <c r="K220" s="190">
        <f>SUMIFS(Table1[Horas efetivas],Table1[Tabela],Plano_V3!E220,Table1[Campo],Plano_V3!F220)</f>
        <v>0.6</v>
      </c>
      <c r="L220" s="190">
        <f t="shared" si="43"/>
        <v>7.4999999999999997E-2</v>
      </c>
      <c r="M220" s="184"/>
      <c r="N220" s="184">
        <f t="shared" si="44"/>
        <v>1</v>
      </c>
      <c r="O220" s="184">
        <f t="shared" si="45"/>
        <v>1</v>
      </c>
      <c r="P220" s="90" t="s">
        <v>39</v>
      </c>
      <c r="Q220" s="91">
        <f t="shared" si="32"/>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x14ac:dyDescent="0.25">
      <c r="A221" s="30" t="str">
        <f t="shared" si="33"/>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90">
        <f>SUMIFS(Table1[Estimação (horas)],Table1[Tabela],Plano_V3!E221,Table1[Campo],Plano_V3!F221)</f>
        <v>0.6</v>
      </c>
      <c r="J221" s="190">
        <f t="shared" si="42"/>
        <v>7.4999999999999997E-2</v>
      </c>
      <c r="K221" s="190">
        <f>SUMIFS(Table1[Horas efetivas],Table1[Tabela],Plano_V3!E221,Table1[Campo],Plano_V3!F221)</f>
        <v>0.6</v>
      </c>
      <c r="L221" s="190">
        <f t="shared" si="43"/>
        <v>7.4999999999999997E-2</v>
      </c>
      <c r="M221" s="184"/>
      <c r="N221" s="184">
        <f t="shared" si="44"/>
        <v>1</v>
      </c>
      <c r="O221" s="184">
        <f t="shared" si="45"/>
        <v>1</v>
      </c>
      <c r="P221" s="90" t="s">
        <v>39</v>
      </c>
      <c r="Q221" s="91">
        <f t="shared" si="32"/>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x14ac:dyDescent="0.25">
      <c r="A222" s="30" t="str">
        <f t="shared" si="33"/>
        <v>modesg_param_sfcs_taxon_europeiaflag_project_finance</v>
      </c>
      <c r="B222" s="68" t="s">
        <v>26</v>
      </c>
      <c r="C222" s="69" t="s">
        <v>181</v>
      </c>
      <c r="D222" s="65" t="s">
        <v>40</v>
      </c>
      <c r="E222" s="67" t="s">
        <v>182</v>
      </c>
      <c r="F222" s="65" t="s">
        <v>199</v>
      </c>
      <c r="G222" s="65" t="str">
        <f>INDEX(Auxiliar!$B$16:$B$24,MATCH(Plano_V3!H222,Auxiliar!$C$16:$C$24,0),1)</f>
        <v>1. Concluído</v>
      </c>
      <c r="H222" s="65">
        <f>VLOOKUP(A222,'Aux - pivots1'!$A:$B,2,0)</f>
        <v>1</v>
      </c>
      <c r="I222" s="190">
        <f>SUMIFS(Table1[Estimação (horas)],Table1[Tabela],Plano_V3!E222,Table1[Campo],Plano_V3!F222)</f>
        <v>0.6</v>
      </c>
      <c r="J222" s="190">
        <f t="shared" si="42"/>
        <v>7.4999999999999997E-2</v>
      </c>
      <c r="K222" s="190">
        <f>SUMIFS(Table1[Horas efetivas],Table1[Tabela],Plano_V3!E222,Table1[Campo],Plano_V3!F222)</f>
        <v>0.6</v>
      </c>
      <c r="L222" s="190">
        <f t="shared" si="43"/>
        <v>7.4999999999999997E-2</v>
      </c>
      <c r="M222" s="184"/>
      <c r="N222" s="184">
        <f t="shared" si="44"/>
        <v>1</v>
      </c>
      <c r="O222" s="184">
        <f t="shared" si="45"/>
        <v>1</v>
      </c>
      <c r="P222" s="90" t="s">
        <v>39</v>
      </c>
      <c r="Q222" s="91">
        <f t="shared" si="32"/>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x14ac:dyDescent="0.25">
      <c r="A223" s="30" t="str">
        <f t="shared" si="33"/>
        <v>modesg_param_sfcs_taxon_europeiacfinalidad</v>
      </c>
      <c r="B223" s="68" t="s">
        <v>26</v>
      </c>
      <c r="C223" s="69" t="s">
        <v>181</v>
      </c>
      <c r="D223" s="65" t="s">
        <v>40</v>
      </c>
      <c r="E223" s="67" t="s">
        <v>182</v>
      </c>
      <c r="F223" s="65" t="s">
        <v>200</v>
      </c>
      <c r="G223" s="65" t="str">
        <f>INDEX(Auxiliar!$B$16:$B$24,MATCH(Plano_V3!H223,Auxiliar!$C$16:$C$24,0),1)</f>
        <v>1. Concluído</v>
      </c>
      <c r="H223" s="65">
        <f>VLOOKUP(A223,'Aux - pivots1'!$A:$B,2,0)</f>
        <v>1</v>
      </c>
      <c r="I223" s="190">
        <f>SUMIFS(Table1[Estimação (horas)],Table1[Tabela],Plano_V3!E223,Table1[Campo],Plano_V3!F223)</f>
        <v>0.6</v>
      </c>
      <c r="J223" s="190">
        <f t="shared" si="42"/>
        <v>7.4999999999999997E-2</v>
      </c>
      <c r="K223" s="190">
        <f>SUMIFS(Table1[Horas efetivas],Table1[Tabela],Plano_V3!E223,Table1[Campo],Plano_V3!F223)</f>
        <v>0.6</v>
      </c>
      <c r="L223" s="190">
        <f t="shared" si="43"/>
        <v>7.4999999999999997E-2</v>
      </c>
      <c r="M223" s="184"/>
      <c r="N223" s="184">
        <f t="shared" si="44"/>
        <v>1</v>
      </c>
      <c r="O223" s="184">
        <f t="shared" si="45"/>
        <v>1</v>
      </c>
      <c r="P223" s="90" t="s">
        <v>39</v>
      </c>
      <c r="Q223" s="91">
        <f t="shared" si="32"/>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x14ac:dyDescent="0.25">
      <c r="A224" s="30" t="str">
        <f t="shared" si="33"/>
        <v>modesg_param_sfcs_taxon_europeiatipo_combust</v>
      </c>
      <c r="B224" s="68" t="s">
        <v>26</v>
      </c>
      <c r="C224" s="69" t="s">
        <v>181</v>
      </c>
      <c r="D224" s="65" t="s">
        <v>40</v>
      </c>
      <c r="E224" s="67" t="s">
        <v>182</v>
      </c>
      <c r="F224" s="65" t="s">
        <v>201</v>
      </c>
      <c r="G224" s="65" t="str">
        <f>INDEX(Auxiliar!$B$16:$B$24,MATCH(Plano_V3!H224,Auxiliar!$C$16:$C$24,0),1)</f>
        <v>1. Concluído</v>
      </c>
      <c r="H224" s="65">
        <f>VLOOKUP(A224,'Aux - pivots1'!$A:$B,2,0)</f>
        <v>1</v>
      </c>
      <c r="I224" s="190">
        <f>SUMIFS(Table1[Estimação (horas)],Table1[Tabela],Plano_V3!E224,Table1[Campo],Plano_V3!F224)</f>
        <v>0.6</v>
      </c>
      <c r="J224" s="190">
        <f t="shared" si="42"/>
        <v>7.4999999999999997E-2</v>
      </c>
      <c r="K224" s="190">
        <f>SUMIFS(Table1[Horas efetivas],Table1[Tabela],Plano_V3!E224,Table1[Campo],Plano_V3!F224)</f>
        <v>0.6</v>
      </c>
      <c r="L224" s="190">
        <f t="shared" si="43"/>
        <v>7.4999999999999997E-2</v>
      </c>
      <c r="M224" s="184"/>
      <c r="N224" s="184">
        <f t="shared" si="44"/>
        <v>1</v>
      </c>
      <c r="O224" s="184">
        <f t="shared" si="45"/>
        <v>1</v>
      </c>
      <c r="P224" s="90" t="s">
        <v>39</v>
      </c>
      <c r="Q224" s="91">
        <f t="shared" si="32"/>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x14ac:dyDescent="0.25">
      <c r="A225" s="30" t="str">
        <f t="shared" si="33"/>
        <v>modesg_param_sfcs_taxon_europeiamontante_pndrc</v>
      </c>
      <c r="B225" s="68" t="s">
        <v>26</v>
      </c>
      <c r="C225" s="69" t="s">
        <v>181</v>
      </c>
      <c r="D225" s="65" t="s">
        <v>40</v>
      </c>
      <c r="E225" s="67" t="s">
        <v>182</v>
      </c>
      <c r="F225" s="65" t="s">
        <v>202</v>
      </c>
      <c r="G225" s="65" t="str">
        <f>INDEX(Auxiliar!$B$16:$B$24,MATCH(Plano_V3!H225,Auxiliar!$C$16:$C$24,0),1)</f>
        <v>1. Concluído</v>
      </c>
      <c r="H225" s="65">
        <f>VLOOKUP(A225,'Aux - pivots1'!$A:$B,2,0)</f>
        <v>1</v>
      </c>
      <c r="I225" s="190">
        <f>SUMIFS(Table1[Estimação (horas)],Table1[Tabela],Plano_V3!E225,Table1[Campo],Plano_V3!F225)</f>
        <v>0.6</v>
      </c>
      <c r="J225" s="190">
        <f t="shared" si="42"/>
        <v>7.4999999999999997E-2</v>
      </c>
      <c r="K225" s="190">
        <f>SUMIFS(Table1[Horas efetivas],Table1[Tabela],Plano_V3!E225,Table1[Campo],Plano_V3!F225)</f>
        <v>0.6</v>
      </c>
      <c r="L225" s="190">
        <f t="shared" si="43"/>
        <v>7.4999999999999997E-2</v>
      </c>
      <c r="M225" s="184"/>
      <c r="N225" s="184">
        <f t="shared" si="44"/>
        <v>1</v>
      </c>
      <c r="O225" s="184">
        <f t="shared" si="45"/>
        <v>1</v>
      </c>
      <c r="P225" s="90" t="s">
        <v>39</v>
      </c>
      <c r="Q225" s="91">
        <f t="shared" ref="Q225:Q291" si="46">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x14ac:dyDescent="0.25">
      <c r="A226" s="30" t="str">
        <f t="shared" si="33"/>
        <v>modesg_param_sfcs_taxon_europeianome_ctgr_sfcs</v>
      </c>
      <c r="B226" s="68" t="s">
        <v>26</v>
      </c>
      <c r="C226" s="69" t="s">
        <v>181</v>
      </c>
      <c r="D226" s="65" t="s">
        <v>40</v>
      </c>
      <c r="E226" s="67" t="s">
        <v>182</v>
      </c>
      <c r="F226" s="65" t="s">
        <v>203</v>
      </c>
      <c r="G226" s="65" t="str">
        <f>INDEX(Auxiliar!$B$16:$B$24,MATCH(Plano_V3!H226,Auxiliar!$C$16:$C$24,0),1)</f>
        <v>4. Validação EF</v>
      </c>
      <c r="H226" s="65">
        <f>VLOOKUP(A226,'Aux - pivots1'!$A:$B,2,0)</f>
        <v>5</v>
      </c>
      <c r="I226" s="190">
        <f>SUMIFS(Table1[Estimação (horas)],Table1[Tabela],Plano_V3!E226,Table1[Campo],Plano_V3!F226)</f>
        <v>0.6</v>
      </c>
      <c r="J226" s="190">
        <f t="shared" si="42"/>
        <v>7.4999999999999997E-2</v>
      </c>
      <c r="K226" s="190">
        <f>SUMIFS(Table1[Horas efetivas],Table1[Tabela],Plano_V3!E226,Table1[Campo],Plano_V3!F226)</f>
        <v>0.15</v>
      </c>
      <c r="L226" s="190">
        <f t="shared" si="43"/>
        <v>1.8749999999999999E-2</v>
      </c>
      <c r="M226" s="184"/>
      <c r="N226" s="184">
        <f t="shared" si="44"/>
        <v>0.25</v>
      </c>
      <c r="O226" s="184">
        <f t="shared" si="45"/>
        <v>0.25</v>
      </c>
      <c r="P226" s="90" t="s">
        <v>39</v>
      </c>
      <c r="Q226" s="91">
        <f t="shared" si="46"/>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x14ac:dyDescent="0.25">
      <c r="A227" s="30" t="str">
        <f t="shared" ref="A227:A293" si="47">E227&amp;F227</f>
        <v>modesg_param_sfcs_taxon_europeianome_general_specific_purpose</v>
      </c>
      <c r="B227" s="68" t="s">
        <v>26</v>
      </c>
      <c r="C227" s="69" t="s">
        <v>181</v>
      </c>
      <c r="D227" s="65" t="s">
        <v>40</v>
      </c>
      <c r="E227" s="67" t="s">
        <v>182</v>
      </c>
      <c r="F227" s="65" t="s">
        <v>204</v>
      </c>
      <c r="G227" s="65" t="str">
        <f>INDEX(Auxiliar!$B$16:$B$24,MATCH(Plano_V3!H227,Auxiliar!$C$16:$C$24,0),1)</f>
        <v>1. Concluído</v>
      </c>
      <c r="H227" s="65">
        <f>VLOOKUP(A227,'Aux - pivots1'!$A:$B,2,0)</f>
        <v>1</v>
      </c>
      <c r="I227" s="190">
        <f>SUMIFS(Table1[Estimação (horas)],Table1[Tabela],Plano_V3!E227,Table1[Campo],Plano_V3!F227)</f>
        <v>0.6</v>
      </c>
      <c r="J227" s="190">
        <f t="shared" si="42"/>
        <v>7.4999999999999997E-2</v>
      </c>
      <c r="K227" s="190">
        <f>SUMIFS(Table1[Horas efetivas],Table1[Tabela],Plano_V3!E227,Table1[Campo],Plano_V3!F227)</f>
        <v>0.6</v>
      </c>
      <c r="L227" s="190">
        <f t="shared" si="43"/>
        <v>7.4999999999999997E-2</v>
      </c>
      <c r="M227" s="184"/>
      <c r="N227" s="184">
        <f t="shared" si="44"/>
        <v>1</v>
      </c>
      <c r="O227" s="184">
        <f t="shared" si="45"/>
        <v>1</v>
      </c>
      <c r="P227" s="90" t="s">
        <v>39</v>
      </c>
      <c r="Q227" s="91">
        <f t="shared" si="46"/>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x14ac:dyDescent="0.25">
      <c r="A228" s="30" t="str">
        <f t="shared" si="47"/>
        <v>modesg_param_sfcs_taxon_europeianome_purpose_esg</v>
      </c>
      <c r="B228" s="68" t="s">
        <v>26</v>
      </c>
      <c r="C228" s="69" t="s">
        <v>181</v>
      </c>
      <c r="D228" s="65" t="s">
        <v>40</v>
      </c>
      <c r="E228" s="67" t="s">
        <v>182</v>
      </c>
      <c r="F228" s="65" t="s">
        <v>205</v>
      </c>
      <c r="G228" s="65" t="str">
        <f>INDEX(Auxiliar!$B$16:$B$24,MATCH(Plano_V3!H228,Auxiliar!$C$16:$C$24,0),1)</f>
        <v>1. Concluído</v>
      </c>
      <c r="H228" s="65">
        <f>VLOOKUP(A228,'Aux - pivots1'!$A:$B,2,0)</f>
        <v>1</v>
      </c>
      <c r="I228" s="190">
        <f>SUMIFS(Table1[Estimação (horas)],Table1[Tabela],Plano_V3!E228,Table1[Campo],Plano_V3!F228)</f>
        <v>0.6</v>
      </c>
      <c r="J228" s="190">
        <f t="shared" si="42"/>
        <v>7.4999999999999997E-2</v>
      </c>
      <c r="K228" s="190">
        <f>SUMIFS(Table1[Horas efetivas],Table1[Tabela],Plano_V3!E228,Table1[Campo],Plano_V3!F228)</f>
        <v>0.6</v>
      </c>
      <c r="L228" s="190">
        <f t="shared" si="43"/>
        <v>7.4999999999999997E-2</v>
      </c>
      <c r="M228" s="184"/>
      <c r="N228" s="184">
        <f t="shared" si="44"/>
        <v>1</v>
      </c>
      <c r="O228" s="184">
        <f t="shared" si="45"/>
        <v>1</v>
      </c>
      <c r="P228" s="90" t="s">
        <v>39</v>
      </c>
      <c r="Q228" s="91">
        <f t="shared" si="46"/>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x14ac:dyDescent="0.25">
      <c r="A229" s="30" t="str">
        <f t="shared" si="47"/>
        <v>modesg_param_sfcs_taxon_europeianome_specific_eligible</v>
      </c>
      <c r="B229" s="68" t="s">
        <v>26</v>
      </c>
      <c r="C229" s="69" t="s">
        <v>181</v>
      </c>
      <c r="D229" s="65" t="s">
        <v>40</v>
      </c>
      <c r="E229" s="67" t="s">
        <v>182</v>
      </c>
      <c r="F229" s="65" t="s">
        <v>206</v>
      </c>
      <c r="G229" s="65" t="str">
        <f>INDEX(Auxiliar!$B$16:$B$24,MATCH(Plano_V3!H229,Auxiliar!$C$16:$C$24,0),1)</f>
        <v>1. Concluído</v>
      </c>
      <c r="H229" s="65">
        <f>VLOOKUP(A229,'Aux - pivots1'!$A:$B,2,0)</f>
        <v>1</v>
      </c>
      <c r="I229" s="190">
        <f>SUMIFS(Table1[Estimação (horas)],Table1[Tabela],Plano_V3!E229,Table1[Campo],Plano_V3!F229)</f>
        <v>0.6</v>
      </c>
      <c r="J229" s="190">
        <f t="shared" si="42"/>
        <v>7.4999999999999997E-2</v>
      </c>
      <c r="K229" s="190">
        <f>SUMIFS(Table1[Horas efetivas],Table1[Tabela],Plano_V3!E229,Table1[Campo],Plano_V3!F229)</f>
        <v>0.6</v>
      </c>
      <c r="L229" s="190">
        <f t="shared" si="43"/>
        <v>7.4999999999999997E-2</v>
      </c>
      <c r="M229" s="184"/>
      <c r="N229" s="184">
        <f t="shared" si="44"/>
        <v>1</v>
      </c>
      <c r="O229" s="184">
        <f t="shared" si="45"/>
        <v>1</v>
      </c>
      <c r="P229" s="90" t="s">
        <v>39</v>
      </c>
      <c r="Q229" s="91">
        <f t="shared" si="46"/>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x14ac:dyDescent="0.25">
      <c r="A230" s="30" t="str">
        <f t="shared" si="47"/>
        <v>modesg_param_sfcs_taxon_europeianome_specific_sustainable</v>
      </c>
      <c r="B230" s="68" t="s">
        <v>26</v>
      </c>
      <c r="C230" s="69" t="s">
        <v>181</v>
      </c>
      <c r="D230" s="65" t="s">
        <v>40</v>
      </c>
      <c r="E230" s="67" t="s">
        <v>182</v>
      </c>
      <c r="F230" s="65" t="s">
        <v>207</v>
      </c>
      <c r="G230" s="65" t="str">
        <f>INDEX(Auxiliar!$B$16:$B$24,MATCH(Plano_V3!H230,Auxiliar!$C$16:$C$24,0),1)</f>
        <v>1. Concluído</v>
      </c>
      <c r="H230" s="65">
        <f>VLOOKUP(A230,'Aux - pivots1'!$A:$B,2,0)</f>
        <v>1</v>
      </c>
      <c r="I230" s="190">
        <f>SUMIFS(Table1[Estimação (horas)],Table1[Tabela],Plano_V3!E230,Table1[Campo],Plano_V3!F230)</f>
        <v>0.6</v>
      </c>
      <c r="J230" s="190">
        <f t="shared" si="42"/>
        <v>7.4999999999999997E-2</v>
      </c>
      <c r="K230" s="190">
        <f>SUMIFS(Table1[Horas efetivas],Table1[Tabela],Plano_V3!E230,Table1[Campo],Plano_V3!F230)</f>
        <v>0.6</v>
      </c>
      <c r="L230" s="190">
        <f t="shared" si="43"/>
        <v>7.4999999999999997E-2</v>
      </c>
      <c r="M230" s="184"/>
      <c r="N230" s="184">
        <f t="shared" si="44"/>
        <v>1</v>
      </c>
      <c r="O230" s="184">
        <f t="shared" si="45"/>
        <v>1</v>
      </c>
      <c r="P230" s="90" t="s">
        <v>39</v>
      </c>
      <c r="Q230" s="91">
        <f t="shared" si="46"/>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x14ac:dyDescent="0.25">
      <c r="A231" s="30" t="str">
        <f t="shared" si="47"/>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90">
        <f>SUMIFS(Table1[Estimação (horas)],Table1[Tabela],Plano_V3!E231,Table1[Campo],Plano_V3!F231)</f>
        <v>0.6</v>
      </c>
      <c r="J231" s="190">
        <f t="shared" si="42"/>
        <v>7.4999999999999997E-2</v>
      </c>
      <c r="K231" s="190">
        <f>SUMIFS(Table1[Horas efetivas],Table1[Tabela],Plano_V3!E231,Table1[Campo],Plano_V3!F231)</f>
        <v>0.6</v>
      </c>
      <c r="L231" s="190">
        <f t="shared" si="43"/>
        <v>7.4999999999999997E-2</v>
      </c>
      <c r="M231" s="184"/>
      <c r="N231" s="184">
        <f t="shared" si="44"/>
        <v>1</v>
      </c>
      <c r="O231" s="184">
        <f t="shared" si="45"/>
        <v>1</v>
      </c>
      <c r="P231" s="90" t="s">
        <v>39</v>
      </c>
      <c r="Q231" s="91">
        <f t="shared" si="46"/>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x14ac:dyDescent="0.25">
      <c r="A232" s="30" t="str">
        <f t="shared" si="47"/>
        <v>modesg_param_sfcs_taxon_europeiazcliente</v>
      </c>
      <c r="B232" s="68" t="s">
        <v>26</v>
      </c>
      <c r="C232" s="69" t="s">
        <v>181</v>
      </c>
      <c r="D232" s="65" t="s">
        <v>40</v>
      </c>
      <c r="E232" s="67" t="s">
        <v>182</v>
      </c>
      <c r="F232" s="65" t="s">
        <v>209</v>
      </c>
      <c r="G232" s="65" t="str">
        <f>INDEX(Auxiliar!$B$16:$B$24,MATCH(Plano_V3!H232,Auxiliar!$C$16:$C$24,0),1)</f>
        <v>1. Concluído</v>
      </c>
      <c r="H232" s="65">
        <f>VLOOKUP(A232,'Aux - pivots1'!$A:$B,2,0)</f>
        <v>1</v>
      </c>
      <c r="I232" s="190">
        <f>SUMIFS(Table1[Estimação (horas)],Table1[Tabela],Plano_V3!E232,Table1[Campo],Plano_V3!F232)</f>
        <v>0.6</v>
      </c>
      <c r="J232" s="190">
        <f t="shared" si="42"/>
        <v>7.4999999999999997E-2</v>
      </c>
      <c r="K232" s="190">
        <f>SUMIFS(Table1[Horas efetivas],Table1[Tabela],Plano_V3!E232,Table1[Campo],Plano_V3!F232)</f>
        <v>0.6</v>
      </c>
      <c r="L232" s="190">
        <f t="shared" si="43"/>
        <v>7.4999999999999997E-2</v>
      </c>
      <c r="M232" s="184"/>
      <c r="N232" s="184">
        <f t="shared" si="44"/>
        <v>1</v>
      </c>
      <c r="O232" s="184">
        <f t="shared" si="45"/>
        <v>1</v>
      </c>
      <c r="P232" s="90" t="s">
        <v>39</v>
      </c>
      <c r="Q232" s="91">
        <f t="shared" si="46"/>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x14ac:dyDescent="0.25">
      <c r="A233" s="30" t="str">
        <f t="shared" si="47"/>
        <v>modesg_param_sfcs_taxon_europeiazdeposit</v>
      </c>
      <c r="B233" s="68" t="s">
        <v>26</v>
      </c>
      <c r="C233" s="69" t="s">
        <v>181</v>
      </c>
      <c r="D233" s="65" t="s">
        <v>40</v>
      </c>
      <c r="E233" s="67" t="s">
        <v>182</v>
      </c>
      <c r="F233" s="65" t="s">
        <v>210</v>
      </c>
      <c r="G233" s="65" t="str">
        <f>INDEX(Auxiliar!$B$16:$B$24,MATCH(Plano_V3!H233,Auxiliar!$C$16:$C$24,0),1)</f>
        <v>1. Concluído</v>
      </c>
      <c r="H233" s="65">
        <f>VLOOKUP(A233,'Aux - pivots1'!$A:$B,2,0)</f>
        <v>1</v>
      </c>
      <c r="I233" s="190">
        <f>SUMIFS(Table1[Estimação (horas)],Table1[Tabela],Plano_V3!E233,Table1[Campo],Plano_V3!F233)</f>
        <v>0.6</v>
      </c>
      <c r="J233" s="190">
        <f t="shared" si="42"/>
        <v>7.4999999999999997E-2</v>
      </c>
      <c r="K233" s="190">
        <f>SUMIFS(Table1[Horas efetivas],Table1[Tabela],Plano_V3!E233,Table1[Campo],Plano_V3!F233)</f>
        <v>0.6</v>
      </c>
      <c r="L233" s="190">
        <f t="shared" si="43"/>
        <v>7.4999999999999997E-2</v>
      </c>
      <c r="M233" s="184"/>
      <c r="N233" s="184">
        <f t="shared" si="44"/>
        <v>1</v>
      </c>
      <c r="O233" s="184">
        <f t="shared" si="45"/>
        <v>1</v>
      </c>
      <c r="P233" s="90" t="s">
        <v>39</v>
      </c>
      <c r="Q233" s="91">
        <f t="shared" si="46"/>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x14ac:dyDescent="0.25">
      <c r="A234" s="30" t="str">
        <f t="shared" ref="A234:A235" si="48">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90">
        <f>SUMIFS(Table1[Estimação (horas)],Table1[Tabela],Plano_V3!E234,Table1[Campo],Plano_V3!F234)</f>
        <v>0.6</v>
      </c>
      <c r="J234" s="190">
        <f t="shared" ref="J234:J235" si="49">I234/8</f>
        <v>7.4999999999999997E-2</v>
      </c>
      <c r="K234" s="190">
        <f>SUMIFS(Table1[Horas efetivas],Table1[Tabela],Plano_V3!E234,Table1[Campo],Plano_V3!F234)</f>
        <v>0</v>
      </c>
      <c r="L234" s="190">
        <f t="shared" ref="L234:L235" si="50">K234/8</f>
        <v>0</v>
      </c>
      <c r="M234" s="184"/>
      <c r="N234" s="184">
        <f t="shared" ref="N234:N235" si="51">L234/J234</f>
        <v>0</v>
      </c>
      <c r="O234" s="184">
        <f t="shared" si="45"/>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x14ac:dyDescent="0.25">
      <c r="A235" s="30" t="str">
        <f t="shared" si="48"/>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90">
        <f>SUMIFS(Table1[Estimação (horas)],Table1[Tabela],Plano_V3!E235,Table1[Campo],Plano_V3!F235)</f>
        <v>0.6</v>
      </c>
      <c r="J235" s="190">
        <f t="shared" si="49"/>
        <v>7.4999999999999997E-2</v>
      </c>
      <c r="K235" s="190">
        <f>SUMIFS(Table1[Horas efetivas],Table1[Tabela],Plano_V3!E235,Table1[Campo],Plano_V3!F235)</f>
        <v>0</v>
      </c>
      <c r="L235" s="190">
        <f t="shared" si="50"/>
        <v>0</v>
      </c>
      <c r="M235" s="184"/>
      <c r="N235" s="184">
        <f t="shared" si="51"/>
        <v>0</v>
      </c>
      <c r="O235" s="184">
        <f t="shared" si="45"/>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x14ac:dyDescent="0.25">
      <c r="A236" s="30" t="str">
        <f t="shared" si="47"/>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90">
        <f>SUMIFS(Table1[Estimação (horas)],Table1[Tabela],Plano_V3!E236,Table1[Campo],Plano_V3!F236)</f>
        <v>8.5</v>
      </c>
      <c r="J236" s="190">
        <f t="shared" si="42"/>
        <v>1.0625</v>
      </c>
      <c r="K236" s="190">
        <f>SUMIFS(Table1[Horas efetivas],Table1[Tabela],Plano_V3!E236,Table1[Campo],Plano_V3!F236)</f>
        <v>8.5</v>
      </c>
      <c r="L236" s="190">
        <f t="shared" si="43"/>
        <v>1.0625</v>
      </c>
      <c r="M236" s="184"/>
      <c r="N236" s="184">
        <f t="shared" si="44"/>
        <v>1</v>
      </c>
      <c r="O236" s="184">
        <f t="shared" si="45"/>
        <v>1</v>
      </c>
      <c r="P236" s="90" t="s">
        <v>39</v>
      </c>
      <c r="Q236" s="91">
        <f t="shared" si="46"/>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x14ac:dyDescent="0.25">
      <c r="A237" s="30" t="str">
        <f t="shared" si="47"/>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90">
        <f>SUMIFS(Table1[Estimação (horas)],Table1[Tabela],Plano_V3!E237,Table1[Campo],Plano_V3!F237)</f>
        <v>8.5</v>
      </c>
      <c r="J237" s="190">
        <f t="shared" si="42"/>
        <v>1.0625</v>
      </c>
      <c r="K237" s="190">
        <f>SUMIFS(Table1[Horas efetivas],Table1[Tabela],Plano_V3!E237,Table1[Campo],Plano_V3!F237)</f>
        <v>8.5</v>
      </c>
      <c r="L237" s="190">
        <f t="shared" si="43"/>
        <v>1.0625</v>
      </c>
      <c r="M237" s="184"/>
      <c r="N237" s="184">
        <f t="shared" si="44"/>
        <v>1</v>
      </c>
      <c r="O237" s="184">
        <f t="shared" si="45"/>
        <v>1</v>
      </c>
      <c r="P237" s="90" t="s">
        <v>39</v>
      </c>
      <c r="Q237" s="91">
        <f t="shared" si="46"/>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x14ac:dyDescent="0.25">
      <c r="A238" s="30" t="str">
        <f t="shared" si="47"/>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90">
        <f>SUMIFS(Table1[Estimação (horas)],Table1[Tabela],Plano_V3!E238,Table1[Campo],Plano_V3!F238)</f>
        <v>8.5</v>
      </c>
      <c r="J238" s="190">
        <f t="shared" si="42"/>
        <v>1.0625</v>
      </c>
      <c r="K238" s="190">
        <f>SUMIFS(Table1[Horas efetivas],Table1[Tabela],Plano_V3!E238,Table1[Campo],Plano_V3!F238)</f>
        <v>8.5</v>
      </c>
      <c r="L238" s="190">
        <f t="shared" si="43"/>
        <v>1.0625</v>
      </c>
      <c r="M238" s="184"/>
      <c r="N238" s="184">
        <f t="shared" si="44"/>
        <v>1</v>
      </c>
      <c r="O238" s="184">
        <f t="shared" si="45"/>
        <v>1</v>
      </c>
      <c r="P238" s="90" t="s">
        <v>39</v>
      </c>
      <c r="Q238" s="91">
        <f t="shared" si="46"/>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x14ac:dyDescent="0.25">
      <c r="A239" s="30" t="str">
        <f t="shared" si="47"/>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90">
        <f>SUMIFS(Table1[Estimação (horas)],Table1[Tabela],Plano_V3!E239,Table1[Campo],Plano_V3!F239)</f>
        <v>8.5</v>
      </c>
      <c r="J239" s="190">
        <f t="shared" si="42"/>
        <v>1.0625</v>
      </c>
      <c r="K239" s="190">
        <f>SUMIFS(Table1[Horas efetivas],Table1[Tabela],Plano_V3!E239,Table1[Campo],Plano_V3!F239)</f>
        <v>8.5</v>
      </c>
      <c r="L239" s="190">
        <f t="shared" si="43"/>
        <v>1.0625</v>
      </c>
      <c r="M239" s="184"/>
      <c r="N239" s="184">
        <f t="shared" si="44"/>
        <v>1</v>
      </c>
      <c r="O239" s="184">
        <f t="shared" si="45"/>
        <v>1</v>
      </c>
      <c r="P239" s="90" t="s">
        <v>39</v>
      </c>
      <c r="Q239" s="91">
        <f t="shared" si="46"/>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x14ac:dyDescent="0.25">
      <c r="A240" s="30" t="str">
        <f t="shared" si="47"/>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90">
        <f>SUMIFS(Table1[Estimação (horas)],Table1[Tabela],Plano_V3!E240,Table1[Campo],Plano_V3!F240)</f>
        <v>8.5</v>
      </c>
      <c r="J240" s="190">
        <f t="shared" si="42"/>
        <v>1.0625</v>
      </c>
      <c r="K240" s="190">
        <f>SUMIFS(Table1[Horas efetivas],Table1[Tabela],Plano_V3!E240,Table1[Campo],Plano_V3!F240)</f>
        <v>8.5</v>
      </c>
      <c r="L240" s="190">
        <f t="shared" si="43"/>
        <v>1.0625</v>
      </c>
      <c r="M240" s="184"/>
      <c r="N240" s="184">
        <f t="shared" si="44"/>
        <v>1</v>
      </c>
      <c r="O240" s="184">
        <f t="shared" si="45"/>
        <v>1</v>
      </c>
      <c r="P240" s="90" t="s">
        <v>39</v>
      </c>
      <c r="Q240" s="91">
        <f t="shared" si="46"/>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x14ac:dyDescent="0.25">
      <c r="A241" s="30" t="str">
        <f t="shared" si="47"/>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90">
        <f>SUMIFS(Table1[Estimação (horas)],Table1[Tabela],Plano_V3!E241,Table1[Campo],Plano_V3!F241)</f>
        <v>8.5</v>
      </c>
      <c r="J241" s="190">
        <f t="shared" si="42"/>
        <v>1.0625</v>
      </c>
      <c r="K241" s="190">
        <f>SUMIFS(Table1[Horas efetivas],Table1[Tabela],Plano_V3!E241,Table1[Campo],Plano_V3!F241)</f>
        <v>8.5</v>
      </c>
      <c r="L241" s="190">
        <f t="shared" si="43"/>
        <v>1.0625</v>
      </c>
      <c r="M241" s="184"/>
      <c r="N241" s="184">
        <f t="shared" si="44"/>
        <v>1</v>
      </c>
      <c r="O241" s="184">
        <f t="shared" si="45"/>
        <v>1</v>
      </c>
      <c r="P241" s="90" t="s">
        <v>39</v>
      </c>
      <c r="Q241" s="91">
        <f t="shared" si="46"/>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x14ac:dyDescent="0.25">
      <c r="A242" s="30" t="str">
        <f t="shared" si="47"/>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90">
        <f>SUMIFS(Table1[Estimação (horas)],Table1[Tabela],Plano_V3!E242,Table1[Campo],Plano_V3!F242)</f>
        <v>8.5</v>
      </c>
      <c r="J242" s="190">
        <f t="shared" si="42"/>
        <v>1.0625</v>
      </c>
      <c r="K242" s="190">
        <f>SUMIFS(Table1[Horas efetivas],Table1[Tabela],Plano_V3!E242,Table1[Campo],Plano_V3!F242)</f>
        <v>8.5</v>
      </c>
      <c r="L242" s="190">
        <f t="shared" si="43"/>
        <v>1.0625</v>
      </c>
      <c r="M242" s="184"/>
      <c r="N242" s="184">
        <f t="shared" si="44"/>
        <v>1</v>
      </c>
      <c r="O242" s="184">
        <f t="shared" si="45"/>
        <v>1</v>
      </c>
      <c r="P242" s="90" t="s">
        <v>39</v>
      </c>
      <c r="Q242" s="91">
        <f t="shared" si="46"/>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x14ac:dyDescent="0.25">
      <c r="A243" s="30" t="str">
        <f t="shared" si="47"/>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90">
        <f>SUMIFS(Table1[Estimação (horas)],Table1[Tabela],Plano_V3!E243,Table1[Campo],Plano_V3!F243)</f>
        <v>8.5</v>
      </c>
      <c r="J243" s="190">
        <f t="shared" si="42"/>
        <v>1.0625</v>
      </c>
      <c r="K243" s="190">
        <f>SUMIFS(Table1[Horas efetivas],Table1[Tabela],Plano_V3!E243,Table1[Campo],Plano_V3!F243)</f>
        <v>8.5</v>
      </c>
      <c r="L243" s="190">
        <f t="shared" si="43"/>
        <v>1.0625</v>
      </c>
      <c r="M243" s="184"/>
      <c r="N243" s="184">
        <f t="shared" si="44"/>
        <v>1</v>
      </c>
      <c r="O243" s="184">
        <f t="shared" si="45"/>
        <v>1</v>
      </c>
      <c r="P243" s="90" t="s">
        <v>39</v>
      </c>
      <c r="Q243" s="91">
        <f t="shared" si="46"/>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x14ac:dyDescent="0.25">
      <c r="A244" s="30" t="str">
        <f t="shared" si="47"/>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90">
        <f>SUMIFS(Table1[Estimação (horas)],Table1[Tabela],Plano_V3!E244,Table1[Campo],Plano_V3!F244)</f>
        <v>0.5</v>
      </c>
      <c r="J244" s="190">
        <f t="shared" si="42"/>
        <v>6.25E-2</v>
      </c>
      <c r="K244" s="190">
        <f>SUMIFS(Table1[Horas efetivas],Table1[Tabela],Plano_V3!E244,Table1[Campo],Plano_V3!F244)</f>
        <v>0.5</v>
      </c>
      <c r="L244" s="190">
        <f t="shared" si="43"/>
        <v>6.25E-2</v>
      </c>
      <c r="M244" s="184"/>
      <c r="N244" s="184">
        <f t="shared" si="44"/>
        <v>1</v>
      </c>
      <c r="O244" s="184">
        <f t="shared" si="45"/>
        <v>1</v>
      </c>
      <c r="P244" s="90" t="s">
        <v>39</v>
      </c>
      <c r="Q244" s="91">
        <f t="shared" si="46"/>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x14ac:dyDescent="0.25">
      <c r="A245" s="30" t="str">
        <f t="shared" si="47"/>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90">
        <f>SUMIFS(Table1[Estimação (horas)],Table1[Tabela],Plano_V3!E245,Table1[Campo],Plano_V3!F245)</f>
        <v>0.6</v>
      </c>
      <c r="J245" s="190">
        <f t="shared" si="42"/>
        <v>7.4999999999999997E-2</v>
      </c>
      <c r="K245" s="190">
        <f>SUMIFS(Table1[Horas efetivas],Table1[Tabela],Plano_V3!E245,Table1[Campo],Plano_V3!F245)</f>
        <v>0.6</v>
      </c>
      <c r="L245" s="190">
        <f t="shared" si="43"/>
        <v>7.4999999999999997E-2</v>
      </c>
      <c r="M245" s="184"/>
      <c r="N245" s="184">
        <f t="shared" si="44"/>
        <v>1</v>
      </c>
      <c r="O245" s="184">
        <f t="shared" si="45"/>
        <v>1</v>
      </c>
      <c r="P245" s="90" t="s">
        <v>39</v>
      </c>
      <c r="Q245" s="91">
        <f t="shared" si="46"/>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x14ac:dyDescent="0.25">
      <c r="A246" s="30" t="str">
        <f t="shared" si="47"/>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90">
        <f>SUMIFS(Table1[Estimação (horas)],Table1[Tabela],Plano_V3!E246,Table1[Campo],Plano_V3!F246)</f>
        <v>0.6</v>
      </c>
      <c r="J246" s="190">
        <f t="shared" si="42"/>
        <v>7.4999999999999997E-2</v>
      </c>
      <c r="K246" s="190">
        <f>SUMIFS(Table1[Horas efetivas],Table1[Tabela],Plano_V3!E246,Table1[Campo],Plano_V3!F246)</f>
        <v>0.6</v>
      </c>
      <c r="L246" s="190">
        <f t="shared" si="43"/>
        <v>7.4999999999999997E-2</v>
      </c>
      <c r="M246" s="184"/>
      <c r="N246" s="184">
        <f t="shared" si="44"/>
        <v>1</v>
      </c>
      <c r="O246" s="184">
        <f t="shared" si="45"/>
        <v>1</v>
      </c>
      <c r="P246" s="90" t="s">
        <v>39</v>
      </c>
      <c r="Q246" s="91">
        <f t="shared" si="46"/>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x14ac:dyDescent="0.25">
      <c r="A247" s="30" t="str">
        <f t="shared" si="47"/>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90">
        <f>SUMIFS(Table1[Estimação (horas)],Table1[Tabela],Plano_V3!E247,Table1[Campo],Plano_V3!F247)</f>
        <v>0.5</v>
      </c>
      <c r="J247" s="190">
        <f t="shared" si="42"/>
        <v>6.25E-2</v>
      </c>
      <c r="K247" s="190">
        <f>SUMIFS(Table1[Horas efetivas],Table1[Tabela],Plano_V3!E247,Table1[Campo],Plano_V3!F247)</f>
        <v>0.5</v>
      </c>
      <c r="L247" s="190">
        <f t="shared" si="43"/>
        <v>6.25E-2</v>
      </c>
      <c r="M247" s="184"/>
      <c r="N247" s="184">
        <f t="shared" si="44"/>
        <v>1</v>
      </c>
      <c r="O247" s="184">
        <f t="shared" si="45"/>
        <v>1</v>
      </c>
      <c r="P247" s="90" t="s">
        <v>39</v>
      </c>
      <c r="Q247" s="91">
        <f t="shared" si="46"/>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x14ac:dyDescent="0.25">
      <c r="A248" s="30" t="str">
        <f t="shared" si="47"/>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90">
        <f>SUMIFS(Table1[Estimação (horas)],Table1[Tabela],Plano_V3!E248,Table1[Campo],Plano_V3!F248)</f>
        <v>0.6</v>
      </c>
      <c r="J248" s="190">
        <f t="shared" si="42"/>
        <v>7.4999999999999997E-2</v>
      </c>
      <c r="K248" s="190">
        <f>SUMIFS(Table1[Horas efetivas],Table1[Tabela],Plano_V3!E248,Table1[Campo],Plano_V3!F248)</f>
        <v>0.6</v>
      </c>
      <c r="L248" s="190">
        <f t="shared" si="43"/>
        <v>7.4999999999999997E-2</v>
      </c>
      <c r="M248" s="184"/>
      <c r="N248" s="184">
        <f t="shared" si="44"/>
        <v>1</v>
      </c>
      <c r="O248" s="184">
        <f t="shared" si="45"/>
        <v>1</v>
      </c>
      <c r="P248" s="90" t="s">
        <v>39</v>
      </c>
      <c r="Q248" s="91">
        <f t="shared" si="46"/>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x14ac:dyDescent="0.25">
      <c r="A249" s="30" t="str">
        <f t="shared" si="47"/>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90">
        <f>SUMIFS(Table1[Estimação (horas)],Table1[Tabela],Plano_V3!E249,Table1[Campo],Plano_V3!F249)</f>
        <v>0.6</v>
      </c>
      <c r="J249" s="190">
        <f t="shared" si="42"/>
        <v>7.4999999999999997E-2</v>
      </c>
      <c r="K249" s="190">
        <f>SUMIFS(Table1[Horas efetivas],Table1[Tabela],Plano_V3!E249,Table1[Campo],Plano_V3!F249)</f>
        <v>0.6</v>
      </c>
      <c r="L249" s="190">
        <f t="shared" si="43"/>
        <v>7.4999999999999997E-2</v>
      </c>
      <c r="M249" s="184"/>
      <c r="N249" s="184">
        <f t="shared" si="44"/>
        <v>1</v>
      </c>
      <c r="O249" s="184">
        <f t="shared" si="45"/>
        <v>1</v>
      </c>
      <c r="P249" s="90" t="s">
        <v>39</v>
      </c>
      <c r="Q249" s="91">
        <f t="shared" si="46"/>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x14ac:dyDescent="0.25">
      <c r="A250" s="30" t="str">
        <f t="shared" si="47"/>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90">
        <f>SUMIFS(Table1[Estimação (horas)],Table1[Tabela],Plano_V3!E250,Table1[Campo],Plano_V3!F250)</f>
        <v>0.6</v>
      </c>
      <c r="J250" s="190">
        <f t="shared" si="42"/>
        <v>7.4999999999999997E-2</v>
      </c>
      <c r="K250" s="190">
        <f>SUMIFS(Table1[Horas efetivas],Table1[Tabela],Plano_V3!E250,Table1[Campo],Plano_V3!F250)</f>
        <v>0.6</v>
      </c>
      <c r="L250" s="190">
        <f t="shared" si="43"/>
        <v>7.4999999999999997E-2</v>
      </c>
      <c r="M250" s="184"/>
      <c r="N250" s="184">
        <f t="shared" si="44"/>
        <v>1</v>
      </c>
      <c r="O250" s="184">
        <f t="shared" si="45"/>
        <v>1</v>
      </c>
      <c r="P250" s="90" t="s">
        <v>39</v>
      </c>
      <c r="Q250" s="91">
        <f t="shared" si="46"/>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x14ac:dyDescent="0.25">
      <c r="A251" s="30" t="str">
        <f t="shared" si="47"/>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90">
        <f>SUMIFS(Table1[Estimação (horas)],Table1[Tabela],Plano_V3!E251,Table1[Campo],Plano_V3!F251)</f>
        <v>0.6</v>
      </c>
      <c r="J251" s="190">
        <f t="shared" si="42"/>
        <v>7.4999999999999997E-2</v>
      </c>
      <c r="K251" s="190">
        <f>SUMIFS(Table1[Horas efetivas],Table1[Tabela],Plano_V3!E251,Table1[Campo],Plano_V3!F251)</f>
        <v>0.6</v>
      </c>
      <c r="L251" s="190">
        <f t="shared" si="43"/>
        <v>7.4999999999999997E-2</v>
      </c>
      <c r="M251" s="184"/>
      <c r="N251" s="184">
        <f t="shared" si="44"/>
        <v>1</v>
      </c>
      <c r="O251" s="184">
        <f t="shared" si="45"/>
        <v>1</v>
      </c>
      <c r="P251" s="90" t="s">
        <v>39</v>
      </c>
      <c r="Q251" s="91">
        <f t="shared" si="46"/>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x14ac:dyDescent="0.25">
      <c r="A252" s="30" t="str">
        <f t="shared" si="47"/>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90">
        <f>SUMIFS(Table1[Estimação (horas)],Table1[Tabela],Plano_V3!E252,Table1[Campo],Plano_V3!F252)</f>
        <v>0.6</v>
      </c>
      <c r="J252" s="190">
        <f t="shared" si="42"/>
        <v>7.4999999999999997E-2</v>
      </c>
      <c r="K252" s="190">
        <f>SUMIFS(Table1[Horas efetivas],Table1[Tabela],Plano_V3!E252,Table1[Campo],Plano_V3!F252)</f>
        <v>0.6</v>
      </c>
      <c r="L252" s="190">
        <f t="shared" si="43"/>
        <v>7.4999999999999997E-2</v>
      </c>
      <c r="M252" s="184"/>
      <c r="N252" s="184">
        <f t="shared" si="44"/>
        <v>1</v>
      </c>
      <c r="O252" s="184">
        <f t="shared" si="45"/>
        <v>1</v>
      </c>
      <c r="P252" s="90" t="s">
        <v>39</v>
      </c>
      <c r="Q252" s="91">
        <f t="shared" si="46"/>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x14ac:dyDescent="0.25">
      <c r="A253" s="30" t="str">
        <f t="shared" si="47"/>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90">
        <f>SUMIFS(Table1[Estimação (horas)],Table1[Tabela],Plano_V3!E253,Table1[Campo],Plano_V3!F253)</f>
        <v>0.6</v>
      </c>
      <c r="J253" s="190">
        <f t="shared" si="42"/>
        <v>7.4999999999999997E-2</v>
      </c>
      <c r="K253" s="190">
        <f>SUMIFS(Table1[Horas efetivas],Table1[Tabela],Plano_V3!E253,Table1[Campo],Plano_V3!F253)</f>
        <v>0.6</v>
      </c>
      <c r="L253" s="190">
        <f t="shared" si="43"/>
        <v>7.4999999999999997E-2</v>
      </c>
      <c r="M253" s="184"/>
      <c r="N253" s="184">
        <f t="shared" si="44"/>
        <v>1</v>
      </c>
      <c r="O253" s="184">
        <f t="shared" si="45"/>
        <v>1</v>
      </c>
      <c r="P253" s="90" t="s">
        <v>39</v>
      </c>
      <c r="Q253" s="91">
        <f t="shared" si="46"/>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x14ac:dyDescent="0.25">
      <c r="A254" s="30" t="str">
        <f t="shared" si="47"/>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90">
        <f>SUMIFS(Table1[Estimação (horas)],Table1[Tabela],Plano_V3!E254,Table1[Campo],Plano_V3!F254)</f>
        <v>0.6</v>
      </c>
      <c r="J254" s="190">
        <f t="shared" si="42"/>
        <v>7.4999999999999997E-2</v>
      </c>
      <c r="K254" s="190">
        <f>SUMIFS(Table1[Horas efetivas],Table1[Tabela],Plano_V3!E254,Table1[Campo],Plano_V3!F254)</f>
        <v>0.6</v>
      </c>
      <c r="L254" s="190">
        <f t="shared" si="43"/>
        <v>7.4999999999999997E-2</v>
      </c>
      <c r="M254" s="184"/>
      <c r="N254" s="184">
        <f t="shared" si="44"/>
        <v>1</v>
      </c>
      <c r="O254" s="184">
        <f t="shared" si="45"/>
        <v>1</v>
      </c>
      <c r="P254" s="90" t="s">
        <v>39</v>
      </c>
      <c r="Q254" s="91">
        <f t="shared" si="46"/>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x14ac:dyDescent="0.25">
      <c r="A255" s="30" t="str">
        <f t="shared" si="47"/>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90">
        <f>SUMIFS(Table1[Estimação (horas)],Table1[Tabela],Plano_V3!E255,Table1[Campo],Plano_V3!F255)</f>
        <v>0.6</v>
      </c>
      <c r="J255" s="190">
        <f t="shared" si="42"/>
        <v>7.4999999999999997E-2</v>
      </c>
      <c r="K255" s="190">
        <f>SUMIFS(Table1[Horas efetivas],Table1[Tabela],Plano_V3!E255,Table1[Campo],Plano_V3!F255)</f>
        <v>0.6</v>
      </c>
      <c r="L255" s="190">
        <f t="shared" si="43"/>
        <v>7.4999999999999997E-2</v>
      </c>
      <c r="M255" s="184"/>
      <c r="N255" s="184">
        <f t="shared" si="44"/>
        <v>1</v>
      </c>
      <c r="O255" s="184">
        <f t="shared" si="45"/>
        <v>1</v>
      </c>
      <c r="P255" s="90" t="s">
        <v>39</v>
      </c>
      <c r="Q255" s="91">
        <f t="shared" si="46"/>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x14ac:dyDescent="0.25">
      <c r="A256" s="30" t="str">
        <f t="shared" si="47"/>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90">
        <f>SUMIFS(Table1[Estimação (horas)],Table1[Tabela],Plano_V3!E256,Table1[Campo],Plano_V3!F256)</f>
        <v>0.6</v>
      </c>
      <c r="J256" s="190">
        <f t="shared" si="42"/>
        <v>7.4999999999999997E-2</v>
      </c>
      <c r="K256" s="190">
        <f>SUMIFS(Table1[Horas efetivas],Table1[Tabela],Plano_V3!E256,Table1[Campo],Plano_V3!F256)</f>
        <v>0.6</v>
      </c>
      <c r="L256" s="190">
        <f t="shared" si="43"/>
        <v>7.4999999999999997E-2</v>
      </c>
      <c r="M256" s="184"/>
      <c r="N256" s="184">
        <f t="shared" si="44"/>
        <v>1</v>
      </c>
      <c r="O256" s="184">
        <f t="shared" si="45"/>
        <v>1</v>
      </c>
      <c r="P256" s="90" t="s">
        <v>39</v>
      </c>
      <c r="Q256" s="91">
        <f t="shared" si="46"/>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x14ac:dyDescent="0.25">
      <c r="A257" s="30" t="str">
        <f t="shared" si="47"/>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90">
        <f>SUMIFS(Table1[Estimação (horas)],Table1[Tabela],Plano_V3!E257,Table1[Campo],Plano_V3!F257)</f>
        <v>0.6</v>
      </c>
      <c r="J257" s="190">
        <f t="shared" si="42"/>
        <v>7.4999999999999997E-2</v>
      </c>
      <c r="K257" s="190">
        <f>SUMIFS(Table1[Horas efetivas],Table1[Tabela],Plano_V3!E257,Table1[Campo],Plano_V3!F257)</f>
        <v>0.6</v>
      </c>
      <c r="L257" s="190">
        <f t="shared" si="43"/>
        <v>7.4999999999999997E-2</v>
      </c>
      <c r="M257" s="184"/>
      <c r="N257" s="184">
        <f t="shared" si="44"/>
        <v>1</v>
      </c>
      <c r="O257" s="184">
        <f t="shared" si="45"/>
        <v>1</v>
      </c>
      <c r="P257" s="90" t="s">
        <v>39</v>
      </c>
      <c r="Q257" s="91">
        <f t="shared" si="46"/>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x14ac:dyDescent="0.25">
      <c r="A258" s="30" t="str">
        <f t="shared" si="47"/>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90">
        <f>SUMIFS(Table1[Estimação (horas)],Table1[Tabela],Plano_V3!E258,Table1[Campo],Plano_V3!F258)</f>
        <v>0.6</v>
      </c>
      <c r="J258" s="190">
        <f t="shared" si="42"/>
        <v>7.4999999999999997E-2</v>
      </c>
      <c r="K258" s="190">
        <f>SUMIFS(Table1[Horas efetivas],Table1[Tabela],Plano_V3!E258,Table1[Campo],Plano_V3!F258)</f>
        <v>0.6</v>
      </c>
      <c r="L258" s="190">
        <f t="shared" si="43"/>
        <v>7.4999999999999997E-2</v>
      </c>
      <c r="M258" s="184"/>
      <c r="N258" s="184">
        <f t="shared" si="44"/>
        <v>1</v>
      </c>
      <c r="O258" s="184">
        <f t="shared" si="45"/>
        <v>1</v>
      </c>
      <c r="P258" s="90" t="s">
        <v>39</v>
      </c>
      <c r="Q258" s="91">
        <f t="shared" si="46"/>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x14ac:dyDescent="0.25">
      <c r="A259" s="30" t="str">
        <f t="shared" si="47"/>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90">
        <f>SUMIFS(Table1[Estimação (horas)],Table1[Tabela],Plano_V3!E259,Table1[Campo],Plano_V3!F259)</f>
        <v>0.6</v>
      </c>
      <c r="J259" s="190">
        <f t="shared" si="42"/>
        <v>7.4999999999999997E-2</v>
      </c>
      <c r="K259" s="190">
        <f>SUMIFS(Table1[Horas efetivas],Table1[Tabela],Plano_V3!E259,Table1[Campo],Plano_V3!F259)</f>
        <v>0.6</v>
      </c>
      <c r="L259" s="190">
        <f t="shared" si="43"/>
        <v>7.4999999999999997E-2</v>
      </c>
      <c r="M259" s="184"/>
      <c r="N259" s="184">
        <f t="shared" si="44"/>
        <v>1</v>
      </c>
      <c r="O259" s="184">
        <f t="shared" si="45"/>
        <v>1</v>
      </c>
      <c r="P259" s="90" t="s">
        <v>39</v>
      </c>
      <c r="Q259" s="91">
        <f t="shared" si="46"/>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x14ac:dyDescent="0.25">
      <c r="A260" s="30" t="str">
        <f t="shared" si="47"/>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90">
        <f>SUMIFS(Table1[Estimação (horas)],Table1[Tabela],Plano_V3!E260,Table1[Campo],Plano_V3!F260)</f>
        <v>0.6</v>
      </c>
      <c r="J260" s="190">
        <f t="shared" si="42"/>
        <v>7.4999999999999997E-2</v>
      </c>
      <c r="K260" s="190">
        <f>SUMIFS(Table1[Horas efetivas],Table1[Tabela],Plano_V3!E260,Table1[Campo],Plano_V3!F260)</f>
        <v>0.6</v>
      </c>
      <c r="L260" s="190">
        <f t="shared" si="43"/>
        <v>7.4999999999999997E-2</v>
      </c>
      <c r="M260" s="184"/>
      <c r="N260" s="184">
        <f t="shared" si="44"/>
        <v>1</v>
      </c>
      <c r="O260" s="184">
        <f t="shared" si="45"/>
        <v>1</v>
      </c>
      <c r="P260" s="90" t="s">
        <v>39</v>
      </c>
      <c r="Q260" s="91">
        <f t="shared" si="46"/>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x14ac:dyDescent="0.25">
      <c r="A261" s="30" t="str">
        <f t="shared" si="47"/>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90">
        <f>SUMIFS(Table1[Estimação (horas)],Table1[Tabela],Plano_V3!E261,Table1[Campo],Plano_V3!F261)</f>
        <v>0.5</v>
      </c>
      <c r="J261" s="190">
        <f t="shared" si="42"/>
        <v>6.25E-2</v>
      </c>
      <c r="K261" s="190">
        <f>SUMIFS(Table1[Horas efetivas],Table1[Tabela],Plano_V3!E261,Table1[Campo],Plano_V3!F261)</f>
        <v>0.5</v>
      </c>
      <c r="L261" s="190">
        <f t="shared" si="43"/>
        <v>6.25E-2</v>
      </c>
      <c r="M261" s="184"/>
      <c r="N261" s="184">
        <f t="shared" si="44"/>
        <v>1</v>
      </c>
      <c r="O261" s="184">
        <f t="shared" si="45"/>
        <v>1</v>
      </c>
      <c r="P261" s="90" t="s">
        <v>39</v>
      </c>
      <c r="Q261" s="91">
        <f t="shared" si="46"/>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x14ac:dyDescent="0.25">
      <c r="A262" s="30" t="str">
        <f t="shared" si="47"/>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90">
        <f>SUMIFS(Table1[Estimação (horas)],Table1[Tabela],Plano_V3!E262,Table1[Campo],Plano_V3!F262)</f>
        <v>0.6</v>
      </c>
      <c r="J262" s="190">
        <f t="shared" si="42"/>
        <v>7.4999999999999997E-2</v>
      </c>
      <c r="K262" s="190">
        <f>SUMIFS(Table1[Horas efetivas],Table1[Tabela],Plano_V3!E262,Table1[Campo],Plano_V3!F262)</f>
        <v>0.6</v>
      </c>
      <c r="L262" s="190">
        <f t="shared" si="43"/>
        <v>7.4999999999999997E-2</v>
      </c>
      <c r="M262" s="184"/>
      <c r="N262" s="184">
        <f t="shared" si="44"/>
        <v>1</v>
      </c>
      <c r="O262" s="184">
        <f t="shared" si="45"/>
        <v>1</v>
      </c>
      <c r="P262" s="90" t="s">
        <v>39</v>
      </c>
      <c r="Q262" s="91">
        <f t="shared" si="46"/>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x14ac:dyDescent="0.25">
      <c r="A263" s="30" t="str">
        <f t="shared" si="47"/>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90">
        <f>SUMIFS(Table1[Estimação (horas)],Table1[Tabela],Plano_V3!E263,Table1[Campo],Plano_V3!F263)</f>
        <v>0.6</v>
      </c>
      <c r="J263" s="190">
        <f t="shared" si="42"/>
        <v>7.4999999999999997E-2</v>
      </c>
      <c r="K263" s="190">
        <f>SUMIFS(Table1[Horas efetivas],Table1[Tabela],Plano_V3!E263,Table1[Campo],Plano_V3!F263)</f>
        <v>0.6</v>
      </c>
      <c r="L263" s="190">
        <f t="shared" si="43"/>
        <v>7.4999999999999997E-2</v>
      </c>
      <c r="M263" s="184"/>
      <c r="N263" s="184">
        <f t="shared" si="44"/>
        <v>1</v>
      </c>
      <c r="O263" s="184">
        <f t="shared" si="45"/>
        <v>1</v>
      </c>
      <c r="P263" s="90" t="s">
        <v>39</v>
      </c>
      <c r="Q263" s="91">
        <f t="shared" si="46"/>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x14ac:dyDescent="0.25">
      <c r="A264" s="30" t="str">
        <f t="shared" si="47"/>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90">
        <f>SUMIFS(Table1[Estimação (horas)],Table1[Tabela],Plano_V3!E264,Table1[Campo],Plano_V3!F264)</f>
        <v>0.6</v>
      </c>
      <c r="J264" s="190">
        <f t="shared" si="42"/>
        <v>7.4999999999999997E-2</v>
      </c>
      <c r="K264" s="190">
        <f>SUMIFS(Table1[Horas efetivas],Table1[Tabela],Plano_V3!E264,Table1[Campo],Plano_V3!F264)</f>
        <v>0.6</v>
      </c>
      <c r="L264" s="190">
        <f t="shared" si="43"/>
        <v>7.4999999999999997E-2</v>
      </c>
      <c r="M264" s="184"/>
      <c r="N264" s="184">
        <f t="shared" si="44"/>
        <v>1</v>
      </c>
      <c r="O264" s="184">
        <f t="shared" si="45"/>
        <v>1</v>
      </c>
      <c r="P264" s="90" t="s">
        <v>39</v>
      </c>
      <c r="Q264" s="91">
        <f t="shared" si="46"/>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x14ac:dyDescent="0.25">
      <c r="A265" s="30" t="str">
        <f t="shared" si="47"/>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90">
        <f>SUMIFS(Table1[Estimação (horas)],Table1[Tabela],Plano_V3!E265,Table1[Campo],Plano_V3!F265)</f>
        <v>0.6</v>
      </c>
      <c r="J265" s="190">
        <f t="shared" si="42"/>
        <v>7.4999999999999997E-2</v>
      </c>
      <c r="K265" s="190">
        <f>SUMIFS(Table1[Horas efetivas],Table1[Tabela],Plano_V3!E265,Table1[Campo],Plano_V3!F265)</f>
        <v>0.6</v>
      </c>
      <c r="L265" s="190">
        <f t="shared" si="43"/>
        <v>7.4999999999999997E-2</v>
      </c>
      <c r="M265" s="184"/>
      <c r="N265" s="184">
        <f t="shared" si="44"/>
        <v>1</v>
      </c>
      <c r="O265" s="184">
        <f t="shared" si="45"/>
        <v>1</v>
      </c>
      <c r="P265" s="90" t="s">
        <v>39</v>
      </c>
      <c r="Q265" s="91">
        <f t="shared" si="46"/>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x14ac:dyDescent="0.25">
      <c r="A266" s="30" t="str">
        <f t="shared" si="47"/>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90">
        <f>SUMIFS(Table1[Estimação (horas)],Table1[Tabela],Plano_V3!E266,Table1[Campo],Plano_V3!F266)</f>
        <v>0.6</v>
      </c>
      <c r="J266" s="190">
        <f t="shared" si="42"/>
        <v>7.4999999999999997E-2</v>
      </c>
      <c r="K266" s="190">
        <f>SUMIFS(Table1[Horas efetivas],Table1[Tabela],Plano_V3!E266,Table1[Campo],Plano_V3!F266)</f>
        <v>0.6</v>
      </c>
      <c r="L266" s="190">
        <f t="shared" si="43"/>
        <v>7.4999999999999997E-2</v>
      </c>
      <c r="M266" s="184"/>
      <c r="N266" s="184">
        <f t="shared" si="44"/>
        <v>1</v>
      </c>
      <c r="O266" s="184">
        <f t="shared" si="45"/>
        <v>1</v>
      </c>
      <c r="P266" s="90" t="s">
        <v>39</v>
      </c>
      <c r="Q266" s="91">
        <f t="shared" si="46"/>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x14ac:dyDescent="0.25">
      <c r="A267" s="30" t="str">
        <f t="shared" si="47"/>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90">
        <f>SUMIFS(Table1[Estimação (horas)],Table1[Tabela],Plano_V3!E267,Table1[Campo],Plano_V3!F267)</f>
        <v>0.5</v>
      </c>
      <c r="J267" s="190">
        <f t="shared" si="42"/>
        <v>6.25E-2</v>
      </c>
      <c r="K267" s="190">
        <f>SUMIFS(Table1[Horas efetivas],Table1[Tabela],Plano_V3!E267,Table1[Campo],Plano_V3!F267)</f>
        <v>0.5</v>
      </c>
      <c r="L267" s="190">
        <f t="shared" si="43"/>
        <v>6.25E-2</v>
      </c>
      <c r="M267" s="184"/>
      <c r="N267" s="184">
        <f t="shared" si="44"/>
        <v>1</v>
      </c>
      <c r="O267" s="184">
        <f t="shared" si="45"/>
        <v>1</v>
      </c>
      <c r="P267" s="90" t="s">
        <v>39</v>
      </c>
      <c r="Q267" s="91">
        <f t="shared" si="46"/>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x14ac:dyDescent="0.25">
      <c r="A268" s="30" t="str">
        <f t="shared" si="47"/>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90">
        <f>SUMIFS(Table1[Estimação (horas)],Table1[Tabela],Plano_V3!E268,Table1[Campo],Plano_V3!F268)</f>
        <v>0.6</v>
      </c>
      <c r="J268" s="190">
        <f t="shared" si="42"/>
        <v>7.4999999999999997E-2</v>
      </c>
      <c r="K268" s="190">
        <f>SUMIFS(Table1[Horas efetivas],Table1[Tabela],Plano_V3!E268,Table1[Campo],Plano_V3!F268)</f>
        <v>0.6</v>
      </c>
      <c r="L268" s="190">
        <f t="shared" si="43"/>
        <v>7.4999999999999997E-2</v>
      </c>
      <c r="M268" s="184"/>
      <c r="N268" s="184">
        <f t="shared" si="44"/>
        <v>1</v>
      </c>
      <c r="O268" s="184">
        <f t="shared" si="45"/>
        <v>1</v>
      </c>
      <c r="P268" s="90" t="s">
        <v>39</v>
      </c>
      <c r="Q268" s="91">
        <f t="shared" si="46"/>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x14ac:dyDescent="0.25">
      <c r="A269" s="30" t="str">
        <f t="shared" si="47"/>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90">
        <f>SUMIFS(Table1[Estimação (horas)],Table1[Tabela],Plano_V3!E269,Table1[Campo],Plano_V3!F269)</f>
        <v>0.6</v>
      </c>
      <c r="J269" s="190">
        <f t="shared" si="42"/>
        <v>7.4999999999999997E-2</v>
      </c>
      <c r="K269" s="190">
        <f>SUMIFS(Table1[Horas efetivas],Table1[Tabela],Plano_V3!E269,Table1[Campo],Plano_V3!F269)</f>
        <v>0.6</v>
      </c>
      <c r="L269" s="190">
        <f t="shared" si="43"/>
        <v>7.4999999999999997E-2</v>
      </c>
      <c r="M269" s="184"/>
      <c r="N269" s="184">
        <f t="shared" si="44"/>
        <v>1</v>
      </c>
      <c r="O269" s="184">
        <f t="shared" si="45"/>
        <v>1</v>
      </c>
      <c r="P269" s="90" t="s">
        <v>39</v>
      </c>
      <c r="Q269" s="91">
        <f t="shared" si="46"/>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x14ac:dyDescent="0.25">
      <c r="A270" s="30" t="str">
        <f t="shared" si="47"/>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90">
        <f>SUMIFS(Table1[Estimação (horas)],Table1[Tabela],Plano_V3!E270,Table1[Campo],Plano_V3!F270)</f>
        <v>0.6</v>
      </c>
      <c r="J270" s="190">
        <f t="shared" si="42"/>
        <v>7.4999999999999997E-2</v>
      </c>
      <c r="K270" s="190">
        <f>SUMIFS(Table1[Horas efetivas],Table1[Tabela],Plano_V3!E270,Table1[Campo],Plano_V3!F270)</f>
        <v>0.6</v>
      </c>
      <c r="L270" s="190">
        <f t="shared" si="43"/>
        <v>7.4999999999999997E-2</v>
      </c>
      <c r="M270" s="184"/>
      <c r="N270" s="184">
        <f t="shared" si="44"/>
        <v>1</v>
      </c>
      <c r="O270" s="184">
        <f t="shared" si="45"/>
        <v>1</v>
      </c>
      <c r="P270" s="90" t="s">
        <v>39</v>
      </c>
      <c r="Q270" s="91">
        <f t="shared" si="46"/>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x14ac:dyDescent="0.25">
      <c r="A271" s="30" t="str">
        <f t="shared" si="47"/>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90">
        <f>SUMIFS(Table1[Estimação (horas)],Table1[Tabela],Plano_V3!E271,Table1[Campo],Plano_V3!F271)</f>
        <v>0.5</v>
      </c>
      <c r="J271" s="190">
        <f t="shared" ref="J271:J335" si="52">I271/8</f>
        <v>6.25E-2</v>
      </c>
      <c r="K271" s="190">
        <f>SUMIFS(Table1[Horas efetivas],Table1[Tabela],Plano_V3!E271,Table1[Campo],Plano_V3!F271)</f>
        <v>0.5</v>
      </c>
      <c r="L271" s="190">
        <f t="shared" si="43"/>
        <v>6.25E-2</v>
      </c>
      <c r="M271" s="184"/>
      <c r="N271" s="184">
        <f t="shared" si="44"/>
        <v>1</v>
      </c>
      <c r="O271" s="184">
        <f t="shared" si="45"/>
        <v>1</v>
      </c>
      <c r="P271" s="90" t="s">
        <v>39</v>
      </c>
      <c r="Q271" s="91">
        <f t="shared" si="46"/>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x14ac:dyDescent="0.25">
      <c r="A272" s="30" t="str">
        <f t="shared" si="47"/>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90">
        <f>SUMIFS(Table1[Estimação (horas)],Table1[Tabela],Plano_V3!E272,Table1[Campo],Plano_V3!F272)</f>
        <v>0.5</v>
      </c>
      <c r="J272" s="190">
        <f t="shared" si="52"/>
        <v>6.25E-2</v>
      </c>
      <c r="K272" s="190">
        <f>SUMIFS(Table1[Horas efetivas],Table1[Tabela],Plano_V3!E272,Table1[Campo],Plano_V3!F272)</f>
        <v>0.5</v>
      </c>
      <c r="L272" s="190">
        <f t="shared" ref="L272:L336" si="53">K272/8</f>
        <v>6.25E-2</v>
      </c>
      <c r="M272" s="184"/>
      <c r="N272" s="184">
        <f t="shared" ref="N272:N336" si="54">L272/J272</f>
        <v>1</v>
      </c>
      <c r="O272" s="184">
        <f t="shared" si="45"/>
        <v>1</v>
      </c>
      <c r="P272" s="90" t="s">
        <v>39</v>
      </c>
      <c r="Q272" s="91">
        <f t="shared" si="46"/>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x14ac:dyDescent="0.25">
      <c r="A273" s="30" t="str">
        <f t="shared" si="47"/>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90">
        <f>SUMIFS(Table1[Estimação (horas)],Table1[Tabela],Plano_V3!E273,Table1[Campo],Plano_V3!F273)</f>
        <v>0.5</v>
      </c>
      <c r="J273" s="190">
        <f t="shared" si="52"/>
        <v>6.25E-2</v>
      </c>
      <c r="K273" s="190">
        <f>SUMIFS(Table1[Horas efetivas],Table1[Tabela],Plano_V3!E273,Table1[Campo],Plano_V3!F273)</f>
        <v>0.5</v>
      </c>
      <c r="L273" s="190">
        <f t="shared" si="53"/>
        <v>6.25E-2</v>
      </c>
      <c r="M273" s="184"/>
      <c r="N273" s="184">
        <f t="shared" si="54"/>
        <v>1</v>
      </c>
      <c r="O273" s="184">
        <f t="shared" si="45"/>
        <v>1</v>
      </c>
      <c r="P273" s="90" t="s">
        <v>39</v>
      </c>
      <c r="Q273" s="91">
        <f t="shared" si="46"/>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x14ac:dyDescent="0.25">
      <c r="A274" s="30" t="str">
        <f t="shared" si="47"/>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90">
        <f>SUMIFS(Table1[Estimação (horas)],Table1[Tabela],Plano_V3!E274,Table1[Campo],Plano_V3!F274)</f>
        <v>0.5</v>
      </c>
      <c r="J274" s="190">
        <f t="shared" si="52"/>
        <v>6.25E-2</v>
      </c>
      <c r="K274" s="190">
        <f>SUMIFS(Table1[Horas efetivas],Table1[Tabela],Plano_V3!E274,Table1[Campo],Plano_V3!F274)</f>
        <v>0.5</v>
      </c>
      <c r="L274" s="190">
        <f t="shared" si="53"/>
        <v>6.25E-2</v>
      </c>
      <c r="M274" s="184"/>
      <c r="N274" s="184">
        <f t="shared" si="54"/>
        <v>1</v>
      </c>
      <c r="O274" s="184">
        <f t="shared" si="45"/>
        <v>1</v>
      </c>
      <c r="P274" s="90" t="s">
        <v>39</v>
      </c>
      <c r="Q274" s="91">
        <f t="shared" si="46"/>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x14ac:dyDescent="0.25">
      <c r="A275" s="30" t="str">
        <f t="shared" si="47"/>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90">
        <f>SUMIFS(Table1[Estimação (horas)],Table1[Tabela],Plano_V3!E275,Table1[Campo],Plano_V3!F275)</f>
        <v>0.6</v>
      </c>
      <c r="J275" s="190">
        <f t="shared" si="52"/>
        <v>7.4999999999999997E-2</v>
      </c>
      <c r="K275" s="190">
        <f>SUMIFS(Table1[Horas efetivas],Table1[Tabela],Plano_V3!E275,Table1[Campo],Plano_V3!F275)</f>
        <v>0.6</v>
      </c>
      <c r="L275" s="190">
        <f t="shared" si="53"/>
        <v>7.4999999999999997E-2</v>
      </c>
      <c r="M275" s="184"/>
      <c r="N275" s="184">
        <f t="shared" si="54"/>
        <v>1</v>
      </c>
      <c r="O275" s="184">
        <f t="shared" si="45"/>
        <v>1</v>
      </c>
      <c r="P275" s="90" t="s">
        <v>39</v>
      </c>
      <c r="Q275" s="91">
        <f t="shared" si="46"/>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x14ac:dyDescent="0.25">
      <c r="A276" s="30" t="str">
        <f t="shared" si="47"/>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90">
        <f>SUMIFS(Table1[Estimação (horas)],Table1[Tabela],Plano_V3!E276,Table1[Campo],Plano_V3!F276)</f>
        <v>0.6</v>
      </c>
      <c r="J276" s="190">
        <f t="shared" si="52"/>
        <v>7.4999999999999997E-2</v>
      </c>
      <c r="K276" s="190">
        <f>SUMIFS(Table1[Horas efetivas],Table1[Tabela],Plano_V3!E276,Table1[Campo],Plano_V3!F276)</f>
        <v>0.6</v>
      </c>
      <c r="L276" s="190">
        <f t="shared" si="53"/>
        <v>7.4999999999999997E-2</v>
      </c>
      <c r="M276" s="184"/>
      <c r="N276" s="184">
        <f t="shared" si="54"/>
        <v>1</v>
      </c>
      <c r="O276" s="184">
        <f t="shared" si="45"/>
        <v>1</v>
      </c>
      <c r="P276" s="90" t="s">
        <v>39</v>
      </c>
      <c r="Q276" s="91">
        <f t="shared" si="46"/>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x14ac:dyDescent="0.25">
      <c r="A277" s="30" t="str">
        <f t="shared" si="47"/>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90">
        <f>SUMIFS(Table1[Estimação (horas)],Table1[Tabela],Plano_V3!E277,Table1[Campo],Plano_V3!F277)</f>
        <v>0.5</v>
      </c>
      <c r="J277" s="190">
        <f t="shared" si="52"/>
        <v>6.25E-2</v>
      </c>
      <c r="K277" s="190">
        <f>SUMIFS(Table1[Horas efetivas],Table1[Tabela],Plano_V3!E277,Table1[Campo],Plano_V3!F277)</f>
        <v>0.5</v>
      </c>
      <c r="L277" s="190">
        <f t="shared" si="53"/>
        <v>6.25E-2</v>
      </c>
      <c r="M277" s="184"/>
      <c r="N277" s="184">
        <f t="shared" si="54"/>
        <v>1</v>
      </c>
      <c r="O277" s="184">
        <f t="shared" si="45"/>
        <v>1</v>
      </c>
      <c r="P277" s="90" t="s">
        <v>39</v>
      </c>
      <c r="Q277" s="91">
        <f t="shared" si="46"/>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x14ac:dyDescent="0.25">
      <c r="A278" s="30" t="str">
        <f t="shared" si="47"/>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90">
        <f>SUMIFS(Table1[Estimação (horas)],Table1[Tabela],Plano_V3!E278,Table1[Campo],Plano_V3!F278)</f>
        <v>0.5</v>
      </c>
      <c r="J278" s="190">
        <f t="shared" si="52"/>
        <v>6.25E-2</v>
      </c>
      <c r="K278" s="190">
        <f>SUMIFS(Table1[Horas efetivas],Table1[Tabela],Plano_V3!E278,Table1[Campo],Plano_V3!F278)</f>
        <v>0.5</v>
      </c>
      <c r="L278" s="190">
        <f t="shared" si="53"/>
        <v>6.25E-2</v>
      </c>
      <c r="M278" s="184"/>
      <c r="N278" s="184">
        <f t="shared" si="54"/>
        <v>1</v>
      </c>
      <c r="O278" s="184">
        <f t="shared" si="45"/>
        <v>1</v>
      </c>
      <c r="P278" s="90" t="s">
        <v>39</v>
      </c>
      <c r="Q278" s="91">
        <f t="shared" si="46"/>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x14ac:dyDescent="0.25">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90"/>
      <c r="J279" s="190"/>
      <c r="K279" s="190"/>
      <c r="L279" s="190"/>
      <c r="M279" s="184"/>
      <c r="N279" s="184"/>
      <c r="O279" s="184">
        <f t="shared" si="45"/>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x14ac:dyDescent="0.25">
      <c r="A280" s="30" t="str">
        <f t="shared" si="47"/>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90">
        <f>SUMIFS(Table1[Estimação (horas)],Table1[Tabela],Plano_V3!E280,Table1[Campo],Plano_V3!F280)</f>
        <v>0.5</v>
      </c>
      <c r="J280" s="190">
        <f t="shared" si="52"/>
        <v>6.25E-2</v>
      </c>
      <c r="K280" s="190">
        <f>SUMIFS(Table1[Horas efetivas],Table1[Tabela],Plano_V3!E280,Table1[Campo],Plano_V3!F280)</f>
        <v>0.5</v>
      </c>
      <c r="L280" s="190">
        <f t="shared" si="53"/>
        <v>6.25E-2</v>
      </c>
      <c r="M280" s="184"/>
      <c r="N280" s="184">
        <f t="shared" si="54"/>
        <v>1</v>
      </c>
      <c r="O280" s="184">
        <f t="shared" si="45"/>
        <v>1</v>
      </c>
      <c r="P280" s="90" t="s">
        <v>39</v>
      </c>
      <c r="Q280" s="91">
        <f t="shared" si="46"/>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x14ac:dyDescent="0.25">
      <c r="A281" s="30" t="str">
        <f t="shared" si="47"/>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90">
        <f>SUMIFS(Table1[Estimação (horas)],Table1[Tabela],Plano_V3!E281,Table1[Campo],Plano_V3!F281)</f>
        <v>0.6</v>
      </c>
      <c r="J281" s="190">
        <f t="shared" si="52"/>
        <v>7.4999999999999997E-2</v>
      </c>
      <c r="K281" s="190">
        <f>SUMIFS(Table1[Horas efetivas],Table1[Tabela],Plano_V3!E281,Table1[Campo],Plano_V3!F281)</f>
        <v>0.6</v>
      </c>
      <c r="L281" s="190">
        <f t="shared" si="53"/>
        <v>7.4999999999999997E-2</v>
      </c>
      <c r="M281" s="184"/>
      <c r="N281" s="184">
        <f t="shared" si="54"/>
        <v>1</v>
      </c>
      <c r="O281" s="184">
        <f t="shared" ref="O281:O344" si="55">N281-M281</f>
        <v>1</v>
      </c>
      <c r="P281" s="90" t="s">
        <v>39</v>
      </c>
      <c r="Q281" s="91">
        <f t="shared" si="46"/>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x14ac:dyDescent="0.25">
      <c r="A282" s="30" t="str">
        <f t="shared" si="47"/>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90">
        <f>SUMIFS(Table1[Estimação (horas)],Table1[Tabela],Plano_V3!E282,Table1[Campo],Plano_V3!F282)</f>
        <v>0.6</v>
      </c>
      <c r="J282" s="190">
        <f t="shared" si="52"/>
        <v>7.4999999999999997E-2</v>
      </c>
      <c r="K282" s="190">
        <f>SUMIFS(Table1[Horas efetivas],Table1[Tabela],Plano_V3!E282,Table1[Campo],Plano_V3!F282)</f>
        <v>0.6</v>
      </c>
      <c r="L282" s="190">
        <f t="shared" si="53"/>
        <v>7.4999999999999997E-2</v>
      </c>
      <c r="M282" s="184"/>
      <c r="N282" s="184">
        <f t="shared" si="54"/>
        <v>1</v>
      </c>
      <c r="O282" s="184">
        <f t="shared" si="55"/>
        <v>1</v>
      </c>
      <c r="P282" s="90" t="s">
        <v>39</v>
      </c>
      <c r="Q282" s="91">
        <f t="shared" si="46"/>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x14ac:dyDescent="0.25">
      <c r="A283" s="30" t="str">
        <f t="shared" si="47"/>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90">
        <f>SUMIFS(Table1[Estimação (horas)],Table1[Tabela],Plano_V3!E283,Table1[Campo],Plano_V3!F283)</f>
        <v>0.6</v>
      </c>
      <c r="J283" s="190">
        <f t="shared" si="52"/>
        <v>7.4999999999999997E-2</v>
      </c>
      <c r="K283" s="190">
        <f>SUMIFS(Table1[Horas efetivas],Table1[Tabela],Plano_V3!E283,Table1[Campo],Plano_V3!F283)</f>
        <v>0.6</v>
      </c>
      <c r="L283" s="190">
        <f t="shared" si="53"/>
        <v>7.4999999999999997E-2</v>
      </c>
      <c r="M283" s="184"/>
      <c r="N283" s="184">
        <f t="shared" si="54"/>
        <v>1</v>
      </c>
      <c r="O283" s="184">
        <f t="shared" si="55"/>
        <v>1</v>
      </c>
      <c r="P283" s="90" t="s">
        <v>39</v>
      </c>
      <c r="Q283" s="91">
        <f t="shared" si="46"/>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x14ac:dyDescent="0.25">
      <c r="A284" s="30" t="str">
        <f t="shared" si="47"/>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90">
        <f>SUMIFS(Table1[Estimação (horas)],Table1[Tabela],Plano_V3!E284,Table1[Campo],Plano_V3!F284)</f>
        <v>0.6</v>
      </c>
      <c r="J284" s="190">
        <f t="shared" si="52"/>
        <v>7.4999999999999997E-2</v>
      </c>
      <c r="K284" s="190">
        <f>SUMIFS(Table1[Horas efetivas],Table1[Tabela],Plano_V3!E284,Table1[Campo],Plano_V3!F284)</f>
        <v>0.6</v>
      </c>
      <c r="L284" s="190">
        <f t="shared" si="53"/>
        <v>7.4999999999999997E-2</v>
      </c>
      <c r="M284" s="184"/>
      <c r="N284" s="184">
        <f t="shared" si="54"/>
        <v>1</v>
      </c>
      <c r="O284" s="184">
        <f t="shared" si="55"/>
        <v>1</v>
      </c>
      <c r="P284" s="90" t="s">
        <v>39</v>
      </c>
      <c r="Q284" s="91">
        <f t="shared" si="46"/>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x14ac:dyDescent="0.25">
      <c r="A285" s="30" t="str">
        <f t="shared" si="47"/>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90">
        <f>SUMIFS(Table1[Estimação (horas)],Table1[Tabela],Plano_V3!E285,Table1[Campo],Plano_V3!F285)</f>
        <v>0.6</v>
      </c>
      <c r="J285" s="190">
        <f t="shared" si="52"/>
        <v>7.4999999999999997E-2</v>
      </c>
      <c r="K285" s="190">
        <f>SUMIFS(Table1[Horas efetivas],Table1[Tabela],Plano_V3!E285,Table1[Campo],Plano_V3!F285)</f>
        <v>0.6</v>
      </c>
      <c r="L285" s="190">
        <f t="shared" si="53"/>
        <v>7.4999999999999997E-2</v>
      </c>
      <c r="M285" s="184"/>
      <c r="N285" s="184">
        <f t="shared" si="54"/>
        <v>1</v>
      </c>
      <c r="O285" s="184">
        <f t="shared" si="55"/>
        <v>1</v>
      </c>
      <c r="P285" s="90" t="s">
        <v>39</v>
      </c>
      <c r="Q285" s="91">
        <f t="shared" si="46"/>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x14ac:dyDescent="0.25">
      <c r="A286" s="30" t="str">
        <f t="shared" si="47"/>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90">
        <f>SUMIFS(Table1[Estimação (horas)],Table1[Tabela],Plano_V3!E286,Table1[Campo],Plano_V3!F286)</f>
        <v>0.6</v>
      </c>
      <c r="J286" s="190">
        <f t="shared" si="52"/>
        <v>7.4999999999999997E-2</v>
      </c>
      <c r="K286" s="190">
        <f>SUMIFS(Table1[Horas efetivas],Table1[Tabela],Plano_V3!E286,Table1[Campo],Plano_V3!F286)</f>
        <v>0.6</v>
      </c>
      <c r="L286" s="190">
        <f t="shared" si="53"/>
        <v>7.4999999999999997E-2</v>
      </c>
      <c r="M286" s="184"/>
      <c r="N286" s="184">
        <f t="shared" si="54"/>
        <v>1</v>
      </c>
      <c r="O286" s="184">
        <f t="shared" si="55"/>
        <v>1</v>
      </c>
      <c r="P286" s="90" t="s">
        <v>39</v>
      </c>
      <c r="Q286" s="91">
        <f t="shared" si="46"/>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x14ac:dyDescent="0.25">
      <c r="A287" s="30" t="str">
        <f t="shared" si="47"/>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90">
        <f>SUMIFS(Table1[Estimação (horas)],Table1[Tabela],Plano_V3!E287,Table1[Campo],Plano_V3!F287)</f>
        <v>0.6</v>
      </c>
      <c r="J287" s="190">
        <f t="shared" si="52"/>
        <v>7.4999999999999997E-2</v>
      </c>
      <c r="K287" s="190">
        <f>SUMIFS(Table1[Horas efetivas],Table1[Tabela],Plano_V3!E287,Table1[Campo],Plano_V3!F287)</f>
        <v>0.6</v>
      </c>
      <c r="L287" s="190">
        <f t="shared" si="53"/>
        <v>7.4999999999999997E-2</v>
      </c>
      <c r="M287" s="184"/>
      <c r="N287" s="184">
        <f t="shared" si="54"/>
        <v>1</v>
      </c>
      <c r="O287" s="184">
        <f t="shared" si="55"/>
        <v>1</v>
      </c>
      <c r="P287" s="90" t="s">
        <v>39</v>
      </c>
      <c r="Q287" s="91">
        <f t="shared" si="46"/>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x14ac:dyDescent="0.25">
      <c r="A288" s="30" t="str">
        <f t="shared" si="47"/>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90">
        <f>SUMIFS(Table1[Estimação (horas)],Table1[Tabela],Plano_V3!E288,Table1[Campo],Plano_V3!F288)</f>
        <v>0.6</v>
      </c>
      <c r="J288" s="190">
        <f t="shared" si="52"/>
        <v>7.4999999999999997E-2</v>
      </c>
      <c r="K288" s="190">
        <f>SUMIFS(Table1[Horas efetivas],Table1[Tabela],Plano_V3!E288,Table1[Campo],Plano_V3!F288)</f>
        <v>0.6</v>
      </c>
      <c r="L288" s="190">
        <f t="shared" si="53"/>
        <v>7.4999999999999997E-2</v>
      </c>
      <c r="M288" s="184"/>
      <c r="N288" s="184">
        <f t="shared" si="54"/>
        <v>1</v>
      </c>
      <c r="O288" s="184">
        <f t="shared" si="55"/>
        <v>1</v>
      </c>
      <c r="P288" s="90" t="s">
        <v>39</v>
      </c>
      <c r="Q288" s="91">
        <f t="shared" si="46"/>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x14ac:dyDescent="0.25">
      <c r="A289" s="30" t="str">
        <f t="shared" si="47"/>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90">
        <f>SUMIFS(Table1[Estimação (horas)],Table1[Tabela],Plano_V3!E289,Table1[Campo],Plano_V3!F289)</f>
        <v>0.6</v>
      </c>
      <c r="J289" s="190">
        <f t="shared" si="52"/>
        <v>7.4999999999999997E-2</v>
      </c>
      <c r="K289" s="190">
        <f>SUMIFS(Table1[Horas efetivas],Table1[Tabela],Plano_V3!E289,Table1[Campo],Plano_V3!F289)</f>
        <v>0.6</v>
      </c>
      <c r="L289" s="190">
        <f t="shared" si="53"/>
        <v>7.4999999999999997E-2</v>
      </c>
      <c r="M289" s="184"/>
      <c r="N289" s="184">
        <f t="shared" si="54"/>
        <v>1</v>
      </c>
      <c r="O289" s="184">
        <f t="shared" si="55"/>
        <v>1</v>
      </c>
      <c r="P289" s="90" t="s">
        <v>39</v>
      </c>
      <c r="Q289" s="91">
        <f t="shared" si="46"/>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x14ac:dyDescent="0.25">
      <c r="A290" s="30" t="str">
        <f t="shared" si="47"/>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90">
        <f>SUMIFS(Table1[Estimação (horas)],Table1[Tabela],Plano_V3!E290,Table1[Campo],Plano_V3!F290)</f>
        <v>0.6</v>
      </c>
      <c r="J290" s="190">
        <f t="shared" si="52"/>
        <v>7.4999999999999997E-2</v>
      </c>
      <c r="K290" s="190">
        <f>SUMIFS(Table1[Horas efetivas],Table1[Tabela],Plano_V3!E290,Table1[Campo],Plano_V3!F290)</f>
        <v>0.6</v>
      </c>
      <c r="L290" s="190">
        <f t="shared" si="53"/>
        <v>7.4999999999999997E-2</v>
      </c>
      <c r="M290" s="184"/>
      <c r="N290" s="184">
        <f t="shared" si="54"/>
        <v>1</v>
      </c>
      <c r="O290" s="184">
        <f t="shared" si="55"/>
        <v>1</v>
      </c>
      <c r="P290" s="90" t="s">
        <v>39</v>
      </c>
      <c r="Q290" s="91">
        <f t="shared" si="46"/>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x14ac:dyDescent="0.25">
      <c r="A291" s="30" t="str">
        <f t="shared" si="47"/>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90">
        <f>SUMIFS(Table1[Estimação (horas)],Table1[Tabela],Plano_V3!E291,Table1[Campo],Plano_V3!F291)</f>
        <v>0.6</v>
      </c>
      <c r="J291" s="190">
        <f t="shared" si="52"/>
        <v>7.4999999999999997E-2</v>
      </c>
      <c r="K291" s="190">
        <f>SUMIFS(Table1[Horas efetivas],Table1[Tabela],Plano_V3!E291,Table1[Campo],Plano_V3!F291)</f>
        <v>0.6</v>
      </c>
      <c r="L291" s="190">
        <f t="shared" si="53"/>
        <v>7.4999999999999997E-2</v>
      </c>
      <c r="M291" s="184"/>
      <c r="N291" s="184">
        <f t="shared" si="54"/>
        <v>1</v>
      </c>
      <c r="O291" s="184">
        <f t="shared" si="55"/>
        <v>1</v>
      </c>
      <c r="P291" s="90" t="s">
        <v>39</v>
      </c>
      <c r="Q291" s="91">
        <f t="shared" si="46"/>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x14ac:dyDescent="0.25">
      <c r="A292" s="30" t="str">
        <f t="shared" si="47"/>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90">
        <f>SUMIFS(Table1[Estimação (horas)],Table1[Tabela],Plano_V3!E292,Table1[Campo],Plano_V3!F292)</f>
        <v>0.6</v>
      </c>
      <c r="J292" s="190">
        <f t="shared" si="52"/>
        <v>7.4999999999999997E-2</v>
      </c>
      <c r="K292" s="190">
        <f>SUMIFS(Table1[Horas efetivas],Table1[Tabela],Plano_V3!E292,Table1[Campo],Plano_V3!F292)</f>
        <v>0.6</v>
      </c>
      <c r="L292" s="190">
        <f t="shared" si="53"/>
        <v>7.4999999999999997E-2</v>
      </c>
      <c r="M292" s="184"/>
      <c r="N292" s="184">
        <f t="shared" si="54"/>
        <v>1</v>
      </c>
      <c r="O292" s="184">
        <f t="shared" si="55"/>
        <v>1</v>
      </c>
      <c r="P292" s="90" t="s">
        <v>39</v>
      </c>
      <c r="Q292" s="91">
        <f t="shared" ref="Q292:Q355" si="56">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x14ac:dyDescent="0.25">
      <c r="A293" s="30" t="str">
        <f t="shared" si="47"/>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90">
        <f>SUMIFS(Table1[Estimação (horas)],Table1[Tabela],Plano_V3!E293,Table1[Campo],Plano_V3!F293)</f>
        <v>0.6</v>
      </c>
      <c r="J293" s="190">
        <f t="shared" si="52"/>
        <v>7.4999999999999997E-2</v>
      </c>
      <c r="K293" s="190">
        <f>SUMIFS(Table1[Horas efetivas],Table1[Tabela],Plano_V3!E293,Table1[Campo],Plano_V3!F293)</f>
        <v>0.6</v>
      </c>
      <c r="L293" s="190">
        <f t="shared" si="53"/>
        <v>7.4999999999999997E-2</v>
      </c>
      <c r="M293" s="184"/>
      <c r="N293" s="184">
        <f t="shared" si="54"/>
        <v>1</v>
      </c>
      <c r="O293" s="184">
        <f t="shared" si="55"/>
        <v>1</v>
      </c>
      <c r="P293" s="90" t="s">
        <v>39</v>
      </c>
      <c r="Q293" s="91">
        <f t="shared" si="56"/>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x14ac:dyDescent="0.25">
      <c r="A294" s="30" t="str">
        <f t="shared" ref="A294:A357" si="57">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90">
        <f>SUMIFS(Table1[Estimação (horas)],Table1[Tabela],Plano_V3!E294,Table1[Campo],Plano_V3!F294)</f>
        <v>0.6</v>
      </c>
      <c r="J294" s="190">
        <f t="shared" si="52"/>
        <v>7.4999999999999997E-2</v>
      </c>
      <c r="K294" s="190">
        <f>SUMIFS(Table1[Horas efetivas],Table1[Tabela],Plano_V3!E294,Table1[Campo],Plano_V3!F294)</f>
        <v>0.6</v>
      </c>
      <c r="L294" s="190">
        <f t="shared" si="53"/>
        <v>7.4999999999999997E-2</v>
      </c>
      <c r="M294" s="184"/>
      <c r="N294" s="184">
        <f t="shared" si="54"/>
        <v>1</v>
      </c>
      <c r="O294" s="184">
        <f t="shared" si="55"/>
        <v>1</v>
      </c>
      <c r="P294" s="90" t="s">
        <v>39</v>
      </c>
      <c r="Q294" s="91">
        <f t="shared" si="56"/>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x14ac:dyDescent="0.25">
      <c r="A295" s="30" t="str">
        <f t="shared" si="57"/>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90">
        <f>SUMIFS(Table1[Estimação (horas)],Table1[Tabela],Plano_V3!E295,Table1[Campo],Plano_V3!F295)</f>
        <v>0.6</v>
      </c>
      <c r="J295" s="190">
        <f t="shared" si="52"/>
        <v>7.4999999999999997E-2</v>
      </c>
      <c r="K295" s="190">
        <f>SUMIFS(Table1[Horas efetivas],Table1[Tabela],Plano_V3!E295,Table1[Campo],Plano_V3!F295)</f>
        <v>0.6</v>
      </c>
      <c r="L295" s="190">
        <f t="shared" si="53"/>
        <v>7.4999999999999997E-2</v>
      </c>
      <c r="M295" s="184"/>
      <c r="N295" s="184">
        <f t="shared" si="54"/>
        <v>1</v>
      </c>
      <c r="O295" s="184">
        <f t="shared" si="55"/>
        <v>1</v>
      </c>
      <c r="P295" s="90" t="s">
        <v>39</v>
      </c>
      <c r="Q295" s="91">
        <f t="shared" si="56"/>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x14ac:dyDescent="0.25">
      <c r="A296" s="30" t="str">
        <f t="shared" si="57"/>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90">
        <f>SUMIFS(Table1[Estimação (horas)],Table1[Tabela],Plano_V3!E296,Table1[Campo],Plano_V3!F296)</f>
        <v>0.6</v>
      </c>
      <c r="J296" s="190">
        <f t="shared" si="52"/>
        <v>7.4999999999999997E-2</v>
      </c>
      <c r="K296" s="190">
        <f>SUMIFS(Table1[Horas efetivas],Table1[Tabela],Plano_V3!E296,Table1[Campo],Plano_V3!F296)</f>
        <v>0.6</v>
      </c>
      <c r="L296" s="190">
        <f t="shared" si="53"/>
        <v>7.4999999999999997E-2</v>
      </c>
      <c r="M296" s="184"/>
      <c r="N296" s="184">
        <f t="shared" si="54"/>
        <v>1</v>
      </c>
      <c r="O296" s="184">
        <f t="shared" si="55"/>
        <v>1</v>
      </c>
      <c r="P296" s="90" t="s">
        <v>39</v>
      </c>
      <c r="Q296" s="91">
        <f t="shared" si="56"/>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x14ac:dyDescent="0.25">
      <c r="A297" s="30" t="str">
        <f t="shared" si="57"/>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90">
        <f>SUMIFS(Table1[Estimação (horas)],Table1[Tabela],Plano_V3!E297,Table1[Campo],Plano_V3!F297)</f>
        <v>0.6</v>
      </c>
      <c r="J297" s="190">
        <f t="shared" si="52"/>
        <v>7.4999999999999997E-2</v>
      </c>
      <c r="K297" s="190">
        <f>SUMIFS(Table1[Horas efetivas],Table1[Tabela],Plano_V3!E297,Table1[Campo],Plano_V3!F297)</f>
        <v>0.6</v>
      </c>
      <c r="L297" s="190">
        <f t="shared" si="53"/>
        <v>7.4999999999999997E-2</v>
      </c>
      <c r="M297" s="184"/>
      <c r="N297" s="184">
        <f t="shared" si="54"/>
        <v>1</v>
      </c>
      <c r="O297" s="184">
        <f t="shared" si="55"/>
        <v>1</v>
      </c>
      <c r="P297" s="90" t="s">
        <v>39</v>
      </c>
      <c r="Q297" s="91">
        <f t="shared" si="56"/>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x14ac:dyDescent="0.25">
      <c r="A298" s="30" t="str">
        <f t="shared" si="57"/>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90">
        <f>SUMIFS(Table1[Estimação (horas)],Table1[Tabela],Plano_V3!E298,Table1[Campo],Plano_V3!F298)</f>
        <v>0.6</v>
      </c>
      <c r="J298" s="190">
        <f t="shared" si="52"/>
        <v>7.4999999999999997E-2</v>
      </c>
      <c r="K298" s="190">
        <f>SUMIFS(Table1[Horas efetivas],Table1[Tabela],Plano_V3!E298,Table1[Campo],Plano_V3!F298)</f>
        <v>0.6</v>
      </c>
      <c r="L298" s="190">
        <f t="shared" si="53"/>
        <v>7.4999999999999997E-2</v>
      </c>
      <c r="M298" s="184"/>
      <c r="N298" s="184">
        <f t="shared" si="54"/>
        <v>1</v>
      </c>
      <c r="O298" s="184">
        <f t="shared" si="55"/>
        <v>1</v>
      </c>
      <c r="P298" s="90" t="s">
        <v>39</v>
      </c>
      <c r="Q298" s="91">
        <f t="shared" si="56"/>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x14ac:dyDescent="0.25">
      <c r="A299" s="30" t="str">
        <f t="shared" si="57"/>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90">
        <f>SUMIFS(Table1[Estimação (horas)],Table1[Tabela],Plano_V3!E299,Table1[Campo],Plano_V3!F299)</f>
        <v>0.6</v>
      </c>
      <c r="J299" s="190">
        <f t="shared" si="52"/>
        <v>7.4999999999999997E-2</v>
      </c>
      <c r="K299" s="190">
        <f>SUMIFS(Table1[Horas efetivas],Table1[Tabela],Plano_V3!E299,Table1[Campo],Plano_V3!F299)</f>
        <v>0.6</v>
      </c>
      <c r="L299" s="190">
        <f t="shared" si="53"/>
        <v>7.4999999999999997E-2</v>
      </c>
      <c r="M299" s="184"/>
      <c r="N299" s="184">
        <f t="shared" si="54"/>
        <v>1</v>
      </c>
      <c r="O299" s="184">
        <f t="shared" si="55"/>
        <v>1</v>
      </c>
      <c r="P299" s="90" t="s">
        <v>39</v>
      </c>
      <c r="Q299" s="91">
        <f t="shared" si="56"/>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x14ac:dyDescent="0.25">
      <c r="A300" s="30" t="str">
        <f t="shared" si="57"/>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90">
        <f>SUMIFS(Table1[Estimação (horas)],Table1[Tabela],Plano_V3!E300,Table1[Campo],Plano_V3!F300)</f>
        <v>0.6</v>
      </c>
      <c r="J300" s="190">
        <f t="shared" si="52"/>
        <v>7.4999999999999997E-2</v>
      </c>
      <c r="K300" s="190">
        <f>SUMIFS(Table1[Horas efetivas],Table1[Tabela],Plano_V3!E300,Table1[Campo],Plano_V3!F300)</f>
        <v>0.6</v>
      </c>
      <c r="L300" s="190">
        <f t="shared" si="53"/>
        <v>7.4999999999999997E-2</v>
      </c>
      <c r="M300" s="184"/>
      <c r="N300" s="184">
        <f t="shared" si="54"/>
        <v>1</v>
      </c>
      <c r="O300" s="184">
        <f t="shared" si="55"/>
        <v>1</v>
      </c>
      <c r="P300" s="90" t="s">
        <v>39</v>
      </c>
      <c r="Q300" s="91">
        <f t="shared" si="56"/>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x14ac:dyDescent="0.25">
      <c r="A301" s="30" t="str">
        <f t="shared" si="57"/>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90">
        <f>SUMIFS(Table1[Estimação (horas)],Table1[Tabela],Plano_V3!E301,Table1[Campo],Plano_V3!F301)</f>
        <v>0.6</v>
      </c>
      <c r="J301" s="190">
        <f t="shared" si="52"/>
        <v>7.4999999999999997E-2</v>
      </c>
      <c r="K301" s="190">
        <f>SUMIFS(Table1[Horas efetivas],Table1[Tabela],Plano_V3!E301,Table1[Campo],Plano_V3!F301)</f>
        <v>0.6</v>
      </c>
      <c r="L301" s="190">
        <f t="shared" si="53"/>
        <v>7.4999999999999997E-2</v>
      </c>
      <c r="M301" s="184"/>
      <c r="N301" s="184">
        <f t="shared" si="54"/>
        <v>1</v>
      </c>
      <c r="O301" s="184">
        <f t="shared" si="55"/>
        <v>1</v>
      </c>
      <c r="P301" s="90" t="s">
        <v>39</v>
      </c>
      <c r="Q301" s="91">
        <f t="shared" si="56"/>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x14ac:dyDescent="0.25">
      <c r="A302" s="30" t="str">
        <f t="shared" si="57"/>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90">
        <f>SUMIFS(Table1[Estimação (horas)],Table1[Tabela],Plano_V3!E302,Table1[Campo],Plano_V3!F302)</f>
        <v>0.6</v>
      </c>
      <c r="J302" s="190">
        <f t="shared" si="52"/>
        <v>7.4999999999999997E-2</v>
      </c>
      <c r="K302" s="190">
        <f>SUMIFS(Table1[Horas efetivas],Table1[Tabela],Plano_V3!E302,Table1[Campo],Plano_V3!F302)</f>
        <v>0.6</v>
      </c>
      <c r="L302" s="190">
        <f t="shared" si="53"/>
        <v>7.4999999999999997E-2</v>
      </c>
      <c r="M302" s="184"/>
      <c r="N302" s="184">
        <f t="shared" si="54"/>
        <v>1</v>
      </c>
      <c r="O302" s="184">
        <f t="shared" si="55"/>
        <v>1</v>
      </c>
      <c r="P302" s="90" t="s">
        <v>39</v>
      </c>
      <c r="Q302" s="91">
        <f t="shared" si="56"/>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x14ac:dyDescent="0.25">
      <c r="A303" s="30" t="str">
        <f t="shared" si="57"/>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90">
        <f>SUMIFS(Table1[Estimação (horas)],Table1[Tabela],Plano_V3!E303,Table1[Campo],Plano_V3!F303)</f>
        <v>0.6</v>
      </c>
      <c r="J303" s="190">
        <f t="shared" si="52"/>
        <v>7.4999999999999997E-2</v>
      </c>
      <c r="K303" s="190">
        <f>SUMIFS(Table1[Horas efetivas],Table1[Tabela],Plano_V3!E303,Table1[Campo],Plano_V3!F303)</f>
        <v>0.6</v>
      </c>
      <c r="L303" s="190">
        <f t="shared" si="53"/>
        <v>7.4999999999999997E-2</v>
      </c>
      <c r="M303" s="184"/>
      <c r="N303" s="184">
        <f t="shared" si="54"/>
        <v>1</v>
      </c>
      <c r="O303" s="184">
        <f t="shared" si="55"/>
        <v>1</v>
      </c>
      <c r="P303" s="90" t="s">
        <v>39</v>
      </c>
      <c r="Q303" s="91">
        <f t="shared" si="56"/>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x14ac:dyDescent="0.25">
      <c r="A304" s="30" t="str">
        <f t="shared" si="57"/>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90">
        <f>SUMIFS(Table1[Estimação (horas)],Table1[Tabela],Plano_V3!E304,Table1[Campo],Plano_V3!F304)</f>
        <v>0.6</v>
      </c>
      <c r="J304" s="190">
        <f t="shared" si="52"/>
        <v>7.4999999999999997E-2</v>
      </c>
      <c r="K304" s="190">
        <f>SUMIFS(Table1[Horas efetivas],Table1[Tabela],Plano_V3!E304,Table1[Campo],Plano_V3!F304)</f>
        <v>0.6</v>
      </c>
      <c r="L304" s="190">
        <f t="shared" si="53"/>
        <v>7.4999999999999997E-2</v>
      </c>
      <c r="M304" s="184"/>
      <c r="N304" s="184">
        <f t="shared" si="54"/>
        <v>1</v>
      </c>
      <c r="O304" s="184">
        <f t="shared" si="55"/>
        <v>1</v>
      </c>
      <c r="P304" s="90" t="s">
        <v>39</v>
      </c>
      <c r="Q304" s="91">
        <f t="shared" si="56"/>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x14ac:dyDescent="0.25">
      <c r="A305" s="30" t="str">
        <f t="shared" si="57"/>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90">
        <f>SUMIFS(Table1[Estimação (horas)],Table1[Tabela],Plano_V3!E305,Table1[Campo],Plano_V3!F305)</f>
        <v>0.6</v>
      </c>
      <c r="J305" s="190">
        <f t="shared" si="52"/>
        <v>7.4999999999999997E-2</v>
      </c>
      <c r="K305" s="190">
        <f>SUMIFS(Table1[Horas efetivas],Table1[Tabela],Plano_V3!E305,Table1[Campo],Plano_V3!F305)</f>
        <v>0.6</v>
      </c>
      <c r="L305" s="190">
        <f t="shared" si="53"/>
        <v>7.4999999999999997E-2</v>
      </c>
      <c r="M305" s="184"/>
      <c r="N305" s="184">
        <f t="shared" si="54"/>
        <v>1</v>
      </c>
      <c r="O305" s="184">
        <f t="shared" si="55"/>
        <v>1</v>
      </c>
      <c r="P305" s="90" t="s">
        <v>39</v>
      </c>
      <c r="Q305" s="91">
        <f t="shared" si="56"/>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x14ac:dyDescent="0.25">
      <c r="A306" s="30" t="str">
        <f t="shared" si="57"/>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90">
        <f>SUMIFS(Table1[Estimação (horas)],Table1[Tabela],Plano_V3!E306,Table1[Campo],Plano_V3!F306)</f>
        <v>0.6</v>
      </c>
      <c r="J306" s="190">
        <f t="shared" si="52"/>
        <v>7.4999999999999997E-2</v>
      </c>
      <c r="K306" s="190">
        <f>SUMIFS(Table1[Horas efetivas],Table1[Tabela],Plano_V3!E306,Table1[Campo],Plano_V3!F306)</f>
        <v>0.6</v>
      </c>
      <c r="L306" s="190">
        <f t="shared" si="53"/>
        <v>7.4999999999999997E-2</v>
      </c>
      <c r="M306" s="184"/>
      <c r="N306" s="184">
        <f t="shared" si="54"/>
        <v>1</v>
      </c>
      <c r="O306" s="184">
        <f t="shared" si="55"/>
        <v>1</v>
      </c>
      <c r="P306" s="90" t="s">
        <v>39</v>
      </c>
      <c r="Q306" s="91">
        <f t="shared" si="56"/>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x14ac:dyDescent="0.25">
      <c r="A307" s="30" t="str">
        <f t="shared" si="57"/>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90">
        <f>SUMIFS(Table1[Estimação (horas)],Table1[Tabela],Plano_V3!E307,Table1[Campo],Plano_V3!F307)</f>
        <v>0.6</v>
      </c>
      <c r="J307" s="190">
        <f t="shared" si="52"/>
        <v>7.4999999999999997E-2</v>
      </c>
      <c r="K307" s="190">
        <f>SUMIFS(Table1[Horas efetivas],Table1[Tabela],Plano_V3!E307,Table1[Campo],Plano_V3!F307)</f>
        <v>0.6</v>
      </c>
      <c r="L307" s="190">
        <f t="shared" si="53"/>
        <v>7.4999999999999997E-2</v>
      </c>
      <c r="M307" s="184"/>
      <c r="N307" s="184">
        <f t="shared" si="54"/>
        <v>1</v>
      </c>
      <c r="O307" s="184">
        <f t="shared" si="55"/>
        <v>1</v>
      </c>
      <c r="P307" s="90" t="s">
        <v>39</v>
      </c>
      <c r="Q307" s="91">
        <f t="shared" si="56"/>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x14ac:dyDescent="0.25">
      <c r="A308" s="30" t="str">
        <f t="shared" si="57"/>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90">
        <f>SUMIFS(Table1[Estimação (horas)],Table1[Tabela],Plano_V3!E308,Table1[Campo],Plano_V3!F308)</f>
        <v>0.6</v>
      </c>
      <c r="J308" s="190">
        <f t="shared" si="52"/>
        <v>7.4999999999999997E-2</v>
      </c>
      <c r="K308" s="190">
        <f>SUMIFS(Table1[Horas efetivas],Table1[Tabela],Plano_V3!E308,Table1[Campo],Plano_V3!F308)</f>
        <v>0.6</v>
      </c>
      <c r="L308" s="190">
        <f t="shared" si="53"/>
        <v>7.4999999999999997E-2</v>
      </c>
      <c r="M308" s="184"/>
      <c r="N308" s="184">
        <f t="shared" si="54"/>
        <v>1</v>
      </c>
      <c r="O308" s="184">
        <f t="shared" si="55"/>
        <v>1</v>
      </c>
      <c r="P308" s="90" t="s">
        <v>39</v>
      </c>
      <c r="Q308" s="91">
        <f t="shared" si="56"/>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x14ac:dyDescent="0.25">
      <c r="A309" s="30" t="str">
        <f t="shared" si="57"/>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90">
        <f>SUMIFS(Table1[Estimação (horas)],Table1[Tabela],Plano_V3!E309,Table1[Campo],Plano_V3!F309)</f>
        <v>0.6</v>
      </c>
      <c r="J309" s="190">
        <f t="shared" si="52"/>
        <v>7.4999999999999997E-2</v>
      </c>
      <c r="K309" s="190">
        <f>SUMIFS(Table1[Horas efetivas],Table1[Tabela],Plano_V3!E309,Table1[Campo],Plano_V3!F309)</f>
        <v>0.6</v>
      </c>
      <c r="L309" s="190">
        <f t="shared" si="53"/>
        <v>7.4999999999999997E-2</v>
      </c>
      <c r="M309" s="184"/>
      <c r="N309" s="184">
        <f t="shared" si="54"/>
        <v>1</v>
      </c>
      <c r="O309" s="184">
        <f t="shared" si="55"/>
        <v>1</v>
      </c>
      <c r="P309" s="90" t="s">
        <v>39</v>
      </c>
      <c r="Q309" s="91">
        <f t="shared" si="56"/>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x14ac:dyDescent="0.25">
      <c r="A310" s="30" t="str">
        <f t="shared" si="57"/>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90">
        <f>SUMIFS(Table1[Estimação (horas)],Table1[Tabela],Plano_V3!E310,Table1[Campo],Plano_V3!F310)</f>
        <v>0.6</v>
      </c>
      <c r="J310" s="190">
        <f t="shared" si="52"/>
        <v>7.4999999999999997E-2</v>
      </c>
      <c r="K310" s="190">
        <f>SUMIFS(Table1[Horas efetivas],Table1[Tabela],Plano_V3!E310,Table1[Campo],Plano_V3!F310)</f>
        <v>0.6</v>
      </c>
      <c r="L310" s="190">
        <f t="shared" si="53"/>
        <v>7.4999999999999997E-2</v>
      </c>
      <c r="M310" s="184"/>
      <c r="N310" s="184">
        <f t="shared" si="54"/>
        <v>1</v>
      </c>
      <c r="O310" s="184">
        <f t="shared" si="55"/>
        <v>1</v>
      </c>
      <c r="P310" s="90" t="s">
        <v>39</v>
      </c>
      <c r="Q310" s="91">
        <f t="shared" si="56"/>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x14ac:dyDescent="0.25">
      <c r="A311" s="30" t="str">
        <f t="shared" si="57"/>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90">
        <f>SUMIFS(Table1[Estimação (horas)],Table1[Tabela],Plano_V3!E311,Table1[Campo],Plano_V3!F311)</f>
        <v>0.6</v>
      </c>
      <c r="J311" s="190">
        <f t="shared" si="52"/>
        <v>7.4999999999999997E-2</v>
      </c>
      <c r="K311" s="190">
        <f>SUMIFS(Table1[Horas efetivas],Table1[Tabela],Plano_V3!E311,Table1[Campo],Plano_V3!F311)</f>
        <v>0.6</v>
      </c>
      <c r="L311" s="190">
        <f t="shared" si="53"/>
        <v>7.4999999999999997E-2</v>
      </c>
      <c r="M311" s="184"/>
      <c r="N311" s="184">
        <f t="shared" si="54"/>
        <v>1</v>
      </c>
      <c r="O311" s="184">
        <f t="shared" si="55"/>
        <v>1</v>
      </c>
      <c r="P311" s="90" t="s">
        <v>39</v>
      </c>
      <c r="Q311" s="91">
        <f t="shared" si="56"/>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x14ac:dyDescent="0.25">
      <c r="A312" s="30" t="str">
        <f t="shared" si="57"/>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90">
        <f>SUMIFS(Table1[Estimação (horas)],Table1[Tabela],Plano_V3!E312,Table1[Campo],Plano_V3!F312)</f>
        <v>0.6</v>
      </c>
      <c r="J312" s="190">
        <f t="shared" si="52"/>
        <v>7.4999999999999997E-2</v>
      </c>
      <c r="K312" s="190">
        <f>SUMIFS(Table1[Horas efetivas],Table1[Tabela],Plano_V3!E312,Table1[Campo],Plano_V3!F312)</f>
        <v>0.6</v>
      </c>
      <c r="L312" s="190">
        <f t="shared" si="53"/>
        <v>7.4999999999999997E-2</v>
      </c>
      <c r="M312" s="184"/>
      <c r="N312" s="184">
        <f t="shared" si="54"/>
        <v>1</v>
      </c>
      <c r="O312" s="184">
        <f t="shared" si="55"/>
        <v>1</v>
      </c>
      <c r="P312" s="90" t="s">
        <v>39</v>
      </c>
      <c r="Q312" s="91">
        <f t="shared" si="56"/>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x14ac:dyDescent="0.25">
      <c r="A313" s="30" t="str">
        <f t="shared" si="57"/>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90">
        <f>SUMIFS(Table1[Estimação (horas)],Table1[Tabela],Plano_V3!E313,Table1[Campo],Plano_V3!F313)</f>
        <v>0.6</v>
      </c>
      <c r="J313" s="190">
        <f t="shared" si="52"/>
        <v>7.4999999999999997E-2</v>
      </c>
      <c r="K313" s="190">
        <f>SUMIFS(Table1[Horas efetivas],Table1[Tabela],Plano_V3!E313,Table1[Campo],Plano_V3!F313)</f>
        <v>0.6</v>
      </c>
      <c r="L313" s="190">
        <f t="shared" si="53"/>
        <v>7.4999999999999997E-2</v>
      </c>
      <c r="M313" s="184"/>
      <c r="N313" s="184">
        <f t="shared" si="54"/>
        <v>1</v>
      </c>
      <c r="O313" s="184">
        <f t="shared" si="55"/>
        <v>1</v>
      </c>
      <c r="P313" s="90" t="s">
        <v>39</v>
      </c>
      <c r="Q313" s="91">
        <f t="shared" si="56"/>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x14ac:dyDescent="0.25">
      <c r="A314" s="30" t="str">
        <f t="shared" si="57"/>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90">
        <f>SUMIFS(Table1[Estimação (horas)],Table1[Tabela],Plano_V3!E314,Table1[Campo],Plano_V3!F314)</f>
        <v>0.6</v>
      </c>
      <c r="J314" s="190">
        <f t="shared" si="52"/>
        <v>7.4999999999999997E-2</v>
      </c>
      <c r="K314" s="190">
        <f>SUMIFS(Table1[Horas efetivas],Table1[Tabela],Plano_V3!E314,Table1[Campo],Plano_V3!F314)</f>
        <v>0.6</v>
      </c>
      <c r="L314" s="190">
        <f t="shared" si="53"/>
        <v>7.4999999999999997E-2</v>
      </c>
      <c r="M314" s="184"/>
      <c r="N314" s="184">
        <f t="shared" si="54"/>
        <v>1</v>
      </c>
      <c r="O314" s="184">
        <f t="shared" si="55"/>
        <v>1</v>
      </c>
      <c r="P314" s="90" t="s">
        <v>39</v>
      </c>
      <c r="Q314" s="91">
        <f t="shared" si="56"/>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x14ac:dyDescent="0.25">
      <c r="A315" s="30" t="str">
        <f t="shared" si="57"/>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90">
        <f>SUMIFS(Table1[Estimação (horas)],Table1[Tabela],Plano_V3!E315,Table1[Campo],Plano_V3!F315)</f>
        <v>0.5</v>
      </c>
      <c r="J315" s="190">
        <f t="shared" si="52"/>
        <v>6.25E-2</v>
      </c>
      <c r="K315" s="190">
        <f>SUMIFS(Table1[Horas efetivas],Table1[Tabela],Plano_V3!E315,Table1[Campo],Plano_V3!F315)</f>
        <v>0.5</v>
      </c>
      <c r="L315" s="190">
        <f t="shared" si="53"/>
        <v>6.25E-2</v>
      </c>
      <c r="M315" s="184"/>
      <c r="N315" s="184">
        <f t="shared" si="54"/>
        <v>1</v>
      </c>
      <c r="O315" s="184">
        <f t="shared" si="55"/>
        <v>1</v>
      </c>
      <c r="P315" s="90" t="s">
        <v>39</v>
      </c>
      <c r="Q315" s="91">
        <f t="shared" si="56"/>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x14ac:dyDescent="0.25">
      <c r="A316" s="30" t="str">
        <f t="shared" si="57"/>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90">
        <f>SUMIFS(Table1[Estimação (horas)],Table1[Tabela],Plano_V3!E316,Table1[Campo],Plano_V3!F316)</f>
        <v>0.6</v>
      </c>
      <c r="J316" s="190">
        <f t="shared" si="52"/>
        <v>7.4999999999999997E-2</v>
      </c>
      <c r="K316" s="190">
        <f>SUMIFS(Table1[Horas efetivas],Table1[Tabela],Plano_V3!E316,Table1[Campo],Plano_V3!F316)</f>
        <v>0.6</v>
      </c>
      <c r="L316" s="190">
        <f t="shared" si="53"/>
        <v>7.4999999999999997E-2</v>
      </c>
      <c r="M316" s="184"/>
      <c r="N316" s="184">
        <f t="shared" si="54"/>
        <v>1</v>
      </c>
      <c r="O316" s="184">
        <f t="shared" si="55"/>
        <v>1</v>
      </c>
      <c r="P316" s="90" t="s">
        <v>39</v>
      </c>
      <c r="Q316" s="91">
        <f t="shared" si="56"/>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x14ac:dyDescent="0.25">
      <c r="A317" s="30" t="str">
        <f t="shared" si="57"/>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90">
        <f>SUMIFS(Table1[Estimação (horas)],Table1[Tabela],Plano_V3!E317,Table1[Campo],Plano_V3!F317)</f>
        <v>0.5</v>
      </c>
      <c r="J317" s="190">
        <f t="shared" si="52"/>
        <v>6.25E-2</v>
      </c>
      <c r="K317" s="190">
        <f>SUMIFS(Table1[Horas efetivas],Table1[Tabela],Plano_V3!E317,Table1[Campo],Plano_V3!F317)</f>
        <v>0.5</v>
      </c>
      <c r="L317" s="190">
        <f t="shared" si="53"/>
        <v>6.25E-2</v>
      </c>
      <c r="M317" s="184"/>
      <c r="N317" s="184">
        <f t="shared" si="54"/>
        <v>1</v>
      </c>
      <c r="O317" s="184">
        <f t="shared" si="55"/>
        <v>1</v>
      </c>
      <c r="P317" s="90" t="s">
        <v>39</v>
      </c>
      <c r="Q317" s="91">
        <f t="shared" si="56"/>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x14ac:dyDescent="0.25">
      <c r="A318" s="30" t="str">
        <f t="shared" si="57"/>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90">
        <f>SUMIFS(Table1[Estimação (horas)],Table1[Tabela],Plano_V3!E318,Table1[Campo],Plano_V3!F318)</f>
        <v>0.6</v>
      </c>
      <c r="J318" s="190">
        <f t="shared" si="52"/>
        <v>7.4999999999999997E-2</v>
      </c>
      <c r="K318" s="190">
        <f>SUMIFS(Table1[Horas efetivas],Table1[Tabela],Plano_V3!E318,Table1[Campo],Plano_V3!F318)</f>
        <v>0.6</v>
      </c>
      <c r="L318" s="190">
        <f t="shared" si="53"/>
        <v>7.4999999999999997E-2</v>
      </c>
      <c r="M318" s="184"/>
      <c r="N318" s="184">
        <f t="shared" si="54"/>
        <v>1</v>
      </c>
      <c r="O318" s="184">
        <f t="shared" si="55"/>
        <v>1</v>
      </c>
      <c r="P318" s="90" t="s">
        <v>39</v>
      </c>
      <c r="Q318" s="91">
        <f t="shared" si="56"/>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x14ac:dyDescent="0.25">
      <c r="A319" s="30" t="str">
        <f t="shared" si="57"/>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90">
        <f>SUMIFS(Table1[Estimação (horas)],Table1[Tabela],Plano_V3!E319,Table1[Campo],Plano_V3!F319)</f>
        <v>0.6</v>
      </c>
      <c r="J319" s="190">
        <f t="shared" si="52"/>
        <v>7.4999999999999997E-2</v>
      </c>
      <c r="K319" s="190">
        <f>SUMIFS(Table1[Horas efetivas],Table1[Tabela],Plano_V3!E319,Table1[Campo],Plano_V3!F319)</f>
        <v>0.6</v>
      </c>
      <c r="L319" s="190">
        <f t="shared" si="53"/>
        <v>7.4999999999999997E-2</v>
      </c>
      <c r="M319" s="184"/>
      <c r="N319" s="184">
        <f t="shared" si="54"/>
        <v>1</v>
      </c>
      <c r="O319" s="184">
        <f t="shared" si="55"/>
        <v>1</v>
      </c>
      <c r="P319" s="90" t="s">
        <v>39</v>
      </c>
      <c r="Q319" s="91">
        <f t="shared" si="56"/>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x14ac:dyDescent="0.25">
      <c r="A320" s="30" t="str">
        <f t="shared" si="57"/>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90">
        <f>SUMIFS(Table1[Estimação (horas)],Table1[Tabela],Plano_V3!E320,Table1[Campo],Plano_V3!F320)</f>
        <v>0.6</v>
      </c>
      <c r="J320" s="190">
        <f t="shared" si="52"/>
        <v>7.4999999999999997E-2</v>
      </c>
      <c r="K320" s="190">
        <f>SUMIFS(Table1[Horas efetivas],Table1[Tabela],Plano_V3!E320,Table1[Campo],Plano_V3!F320)</f>
        <v>0.6</v>
      </c>
      <c r="L320" s="190">
        <f t="shared" si="53"/>
        <v>7.4999999999999997E-2</v>
      </c>
      <c r="M320" s="184"/>
      <c r="N320" s="184">
        <f t="shared" si="54"/>
        <v>1</v>
      </c>
      <c r="O320" s="184">
        <f t="shared" si="55"/>
        <v>1</v>
      </c>
      <c r="P320" s="90" t="s">
        <v>39</v>
      </c>
      <c r="Q320" s="91">
        <f t="shared" si="56"/>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x14ac:dyDescent="0.25">
      <c r="A321" s="30" t="str">
        <f t="shared" si="57"/>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90">
        <f>SUMIFS(Table1[Estimação (horas)],Table1[Tabela],Plano_V3!E321,Table1[Campo],Plano_V3!F321)</f>
        <v>0.5</v>
      </c>
      <c r="J321" s="190">
        <f t="shared" si="52"/>
        <v>6.25E-2</v>
      </c>
      <c r="K321" s="190">
        <f>SUMIFS(Table1[Horas efetivas],Table1[Tabela],Plano_V3!E321,Table1[Campo],Plano_V3!F321)</f>
        <v>0.5</v>
      </c>
      <c r="L321" s="190">
        <f t="shared" si="53"/>
        <v>6.25E-2</v>
      </c>
      <c r="M321" s="184"/>
      <c r="N321" s="184">
        <f t="shared" si="54"/>
        <v>1</v>
      </c>
      <c r="O321" s="184">
        <f t="shared" si="55"/>
        <v>1</v>
      </c>
      <c r="P321" s="90" t="s">
        <v>39</v>
      </c>
      <c r="Q321" s="91">
        <f t="shared" si="56"/>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x14ac:dyDescent="0.25">
      <c r="A322" s="30" t="str">
        <f t="shared" si="57"/>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90">
        <f>SUMIFS(Table1[Estimação (horas)],Table1[Tabela],Plano_V3!E322,Table1[Campo],Plano_V3!F322)</f>
        <v>0.6</v>
      </c>
      <c r="J322" s="190">
        <f t="shared" si="52"/>
        <v>7.4999999999999997E-2</v>
      </c>
      <c r="K322" s="190">
        <f>SUMIFS(Table1[Horas efetivas],Table1[Tabela],Plano_V3!E322,Table1[Campo],Plano_V3!F322)</f>
        <v>0.6</v>
      </c>
      <c r="L322" s="190">
        <f t="shared" si="53"/>
        <v>7.4999999999999997E-2</v>
      </c>
      <c r="M322" s="184"/>
      <c r="N322" s="184">
        <f t="shared" si="54"/>
        <v>1</v>
      </c>
      <c r="O322" s="184">
        <f t="shared" si="55"/>
        <v>1</v>
      </c>
      <c r="P322" s="90" t="s">
        <v>39</v>
      </c>
      <c r="Q322" s="91">
        <f t="shared" si="56"/>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x14ac:dyDescent="0.25">
      <c r="A323" s="30" t="str">
        <f t="shared" si="57"/>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90">
        <f>SUMIFS(Table1[Estimação (horas)],Table1[Tabela],Plano_V3!E323,Table1[Campo],Plano_V3!F323)</f>
        <v>0.5</v>
      </c>
      <c r="J323" s="190">
        <f t="shared" si="52"/>
        <v>6.25E-2</v>
      </c>
      <c r="K323" s="190">
        <f>SUMIFS(Table1[Horas efetivas],Table1[Tabela],Plano_V3!E323,Table1[Campo],Plano_V3!F323)</f>
        <v>0.5</v>
      </c>
      <c r="L323" s="190">
        <f t="shared" si="53"/>
        <v>6.25E-2</v>
      </c>
      <c r="M323" s="184"/>
      <c r="N323" s="184">
        <f t="shared" si="54"/>
        <v>1</v>
      </c>
      <c r="O323" s="184">
        <f t="shared" si="55"/>
        <v>1</v>
      </c>
      <c r="P323" s="90" t="s">
        <v>39</v>
      </c>
      <c r="Q323" s="91">
        <f t="shared" si="56"/>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x14ac:dyDescent="0.25">
      <c r="A324" s="30" t="str">
        <f t="shared" si="57"/>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90">
        <f>SUMIFS(Table1[Estimação (horas)],Table1[Tabela],Plano_V3!E324,Table1[Campo],Plano_V3!F324)</f>
        <v>0.6</v>
      </c>
      <c r="J324" s="190">
        <f t="shared" si="52"/>
        <v>7.4999999999999997E-2</v>
      </c>
      <c r="K324" s="190">
        <f>SUMIFS(Table1[Horas efetivas],Table1[Tabela],Plano_V3!E324,Table1[Campo],Plano_V3!F324)</f>
        <v>0.6</v>
      </c>
      <c r="L324" s="190">
        <f t="shared" si="53"/>
        <v>7.4999999999999997E-2</v>
      </c>
      <c r="M324" s="184"/>
      <c r="N324" s="184">
        <f t="shared" si="54"/>
        <v>1</v>
      </c>
      <c r="O324" s="184">
        <f t="shared" si="55"/>
        <v>1</v>
      </c>
      <c r="P324" s="90" t="s">
        <v>39</v>
      </c>
      <c r="Q324" s="91">
        <f t="shared" si="56"/>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x14ac:dyDescent="0.25">
      <c r="A325" s="30" t="str">
        <f t="shared" si="57"/>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90">
        <f>SUMIFS(Table1[Estimação (horas)],Table1[Tabela],Plano_V3!E325,Table1[Campo],Plano_V3!F325)</f>
        <v>0.6</v>
      </c>
      <c r="J325" s="190">
        <f t="shared" si="52"/>
        <v>7.4999999999999997E-2</v>
      </c>
      <c r="K325" s="190">
        <f>SUMIFS(Table1[Horas efetivas],Table1[Tabela],Plano_V3!E325,Table1[Campo],Plano_V3!F325)</f>
        <v>0.6</v>
      </c>
      <c r="L325" s="190">
        <f t="shared" si="53"/>
        <v>7.4999999999999997E-2</v>
      </c>
      <c r="M325" s="184"/>
      <c r="N325" s="184">
        <f t="shared" si="54"/>
        <v>1</v>
      </c>
      <c r="O325" s="184">
        <f t="shared" si="55"/>
        <v>1</v>
      </c>
      <c r="P325" s="90" t="s">
        <v>39</v>
      </c>
      <c r="Q325" s="91">
        <f t="shared" si="56"/>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x14ac:dyDescent="0.25">
      <c r="A326" s="30" t="str">
        <f t="shared" si="57"/>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90">
        <f>SUMIFS(Table1[Estimação (horas)],Table1[Tabela],Plano_V3!E326,Table1[Campo],Plano_V3!F326)</f>
        <v>0.6</v>
      </c>
      <c r="J326" s="190">
        <f t="shared" si="52"/>
        <v>7.4999999999999997E-2</v>
      </c>
      <c r="K326" s="190">
        <f>SUMIFS(Table1[Horas efetivas],Table1[Tabela],Plano_V3!E326,Table1[Campo],Plano_V3!F326)</f>
        <v>0.6</v>
      </c>
      <c r="L326" s="190">
        <f t="shared" si="53"/>
        <v>7.4999999999999997E-2</v>
      </c>
      <c r="M326" s="184"/>
      <c r="N326" s="184">
        <f t="shared" si="54"/>
        <v>1</v>
      </c>
      <c r="O326" s="184">
        <f t="shared" si="55"/>
        <v>1</v>
      </c>
      <c r="P326" s="90" t="s">
        <v>39</v>
      </c>
      <c r="Q326" s="91">
        <f t="shared" si="56"/>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x14ac:dyDescent="0.25">
      <c r="A327" s="30" t="str">
        <f t="shared" si="57"/>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90">
        <f>SUMIFS(Table1[Estimação (horas)],Table1[Tabela],Plano_V3!E327,Table1[Campo],Plano_V3!F327)</f>
        <v>0.6</v>
      </c>
      <c r="J327" s="190">
        <f t="shared" si="52"/>
        <v>7.4999999999999997E-2</v>
      </c>
      <c r="K327" s="190">
        <f>SUMIFS(Table1[Horas efetivas],Table1[Tabela],Plano_V3!E327,Table1[Campo],Plano_V3!F327)</f>
        <v>0.6</v>
      </c>
      <c r="L327" s="190">
        <f t="shared" si="53"/>
        <v>7.4999999999999997E-2</v>
      </c>
      <c r="M327" s="184"/>
      <c r="N327" s="184">
        <f t="shared" si="54"/>
        <v>1</v>
      </c>
      <c r="O327" s="184">
        <f t="shared" si="55"/>
        <v>1</v>
      </c>
      <c r="P327" s="90" t="s">
        <v>39</v>
      </c>
      <c r="Q327" s="91">
        <f t="shared" si="56"/>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x14ac:dyDescent="0.25">
      <c r="A328" s="30" t="str">
        <f t="shared" si="57"/>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90">
        <f>SUMIFS(Table1[Estimação (horas)],Table1[Tabela],Plano_V3!E328,Table1[Campo],Plano_V3!F328)</f>
        <v>0.6</v>
      </c>
      <c r="J328" s="190">
        <f t="shared" si="52"/>
        <v>7.4999999999999997E-2</v>
      </c>
      <c r="K328" s="190">
        <f>SUMIFS(Table1[Horas efetivas],Table1[Tabela],Plano_V3!E328,Table1[Campo],Plano_V3!F328)</f>
        <v>0.6</v>
      </c>
      <c r="L328" s="190">
        <f t="shared" si="53"/>
        <v>7.4999999999999997E-2</v>
      </c>
      <c r="M328" s="184"/>
      <c r="N328" s="184">
        <f t="shared" si="54"/>
        <v>1</v>
      </c>
      <c r="O328" s="184">
        <f t="shared" si="55"/>
        <v>1</v>
      </c>
      <c r="P328" s="90" t="s">
        <v>39</v>
      </c>
      <c r="Q328" s="91">
        <f t="shared" si="56"/>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x14ac:dyDescent="0.25">
      <c r="A329" s="30" t="str">
        <f t="shared" si="57"/>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90">
        <f>SUMIFS(Table1[Estimação (horas)],Table1[Tabela],Plano_V3!E329,Table1[Campo],Plano_V3!F329)</f>
        <v>0.5</v>
      </c>
      <c r="J329" s="190">
        <f t="shared" si="52"/>
        <v>6.25E-2</v>
      </c>
      <c r="K329" s="190">
        <f>SUMIFS(Table1[Horas efetivas],Table1[Tabela],Plano_V3!E329,Table1[Campo],Plano_V3!F329)</f>
        <v>0.5</v>
      </c>
      <c r="L329" s="190">
        <f t="shared" si="53"/>
        <v>6.25E-2</v>
      </c>
      <c r="M329" s="184"/>
      <c r="N329" s="184">
        <f t="shared" si="54"/>
        <v>1</v>
      </c>
      <c r="O329" s="184">
        <f t="shared" si="55"/>
        <v>1</v>
      </c>
      <c r="P329" s="90" t="s">
        <v>39</v>
      </c>
      <c r="Q329" s="91">
        <f t="shared" si="56"/>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x14ac:dyDescent="0.25">
      <c r="A330" s="30" t="str">
        <f t="shared" si="57"/>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90">
        <f>SUMIFS(Table1[Estimação (horas)],Table1[Tabela],Plano_V3!E330,Table1[Campo],Plano_V3!F330)</f>
        <v>0.5</v>
      </c>
      <c r="J330" s="190">
        <f t="shared" si="52"/>
        <v>6.25E-2</v>
      </c>
      <c r="K330" s="190">
        <f>SUMIFS(Table1[Horas efetivas],Table1[Tabela],Plano_V3!E330,Table1[Campo],Plano_V3!F330)</f>
        <v>0.5</v>
      </c>
      <c r="L330" s="190">
        <f t="shared" si="53"/>
        <v>6.25E-2</v>
      </c>
      <c r="M330" s="184"/>
      <c r="N330" s="184">
        <f t="shared" si="54"/>
        <v>1</v>
      </c>
      <c r="O330" s="184">
        <f t="shared" si="55"/>
        <v>1</v>
      </c>
      <c r="P330" s="90" t="s">
        <v>39</v>
      </c>
      <c r="Q330" s="91">
        <f t="shared" si="56"/>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x14ac:dyDescent="0.25">
      <c r="A331" s="30" t="str">
        <f t="shared" si="57"/>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90">
        <f>SUMIFS(Table1[Estimação (horas)],Table1[Tabela],Plano_V3!E331,Table1[Campo],Plano_V3!F331)</f>
        <v>0.5</v>
      </c>
      <c r="J331" s="190">
        <f t="shared" si="52"/>
        <v>6.25E-2</v>
      </c>
      <c r="K331" s="190">
        <f>SUMIFS(Table1[Horas efetivas],Table1[Tabela],Plano_V3!E331,Table1[Campo],Plano_V3!F331)</f>
        <v>0.5</v>
      </c>
      <c r="L331" s="190">
        <f t="shared" si="53"/>
        <v>6.25E-2</v>
      </c>
      <c r="M331" s="184"/>
      <c r="N331" s="184">
        <f t="shared" si="54"/>
        <v>1</v>
      </c>
      <c r="O331" s="184">
        <f t="shared" si="55"/>
        <v>1</v>
      </c>
      <c r="P331" s="90" t="s">
        <v>39</v>
      </c>
      <c r="Q331" s="91">
        <f t="shared" si="56"/>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x14ac:dyDescent="0.25">
      <c r="A332" s="30" t="str">
        <f t="shared" si="57"/>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90">
        <f>SUMIFS(Table1[Estimação (horas)],Table1[Tabela],Plano_V3!E332,Table1[Campo],Plano_V3!F332)</f>
        <v>0.5</v>
      </c>
      <c r="J332" s="190">
        <f t="shared" si="52"/>
        <v>6.25E-2</v>
      </c>
      <c r="K332" s="190">
        <f>SUMIFS(Table1[Horas efetivas],Table1[Tabela],Plano_V3!E332,Table1[Campo],Plano_V3!F332)</f>
        <v>0.5</v>
      </c>
      <c r="L332" s="190">
        <f t="shared" si="53"/>
        <v>6.25E-2</v>
      </c>
      <c r="M332" s="184"/>
      <c r="N332" s="184">
        <f t="shared" si="54"/>
        <v>1</v>
      </c>
      <c r="O332" s="184">
        <f t="shared" si="55"/>
        <v>1</v>
      </c>
      <c r="P332" s="90" t="s">
        <v>39</v>
      </c>
      <c r="Q332" s="91">
        <f t="shared" si="56"/>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x14ac:dyDescent="0.25">
      <c r="A333" s="30" t="str">
        <f t="shared" si="57"/>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90">
        <f>SUMIFS(Table1[Estimação (horas)],Table1[Tabela],Plano_V3!E333,Table1[Campo],Plano_V3!F333)</f>
        <v>0.5</v>
      </c>
      <c r="J333" s="190">
        <f t="shared" si="52"/>
        <v>6.25E-2</v>
      </c>
      <c r="K333" s="190">
        <f>SUMIFS(Table1[Horas efetivas],Table1[Tabela],Plano_V3!E333,Table1[Campo],Plano_V3!F333)</f>
        <v>0.5</v>
      </c>
      <c r="L333" s="190">
        <f t="shared" si="53"/>
        <v>6.25E-2</v>
      </c>
      <c r="M333" s="184"/>
      <c r="N333" s="184">
        <f t="shared" si="54"/>
        <v>1</v>
      </c>
      <c r="O333" s="184">
        <f t="shared" si="55"/>
        <v>1</v>
      </c>
      <c r="P333" s="90" t="s">
        <v>39</v>
      </c>
      <c r="Q333" s="91">
        <f t="shared" si="56"/>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x14ac:dyDescent="0.25">
      <c r="A334" s="30" t="str">
        <f t="shared" si="57"/>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90">
        <f>SUMIFS(Table1[Estimação (horas)],Table1[Tabela],Plano_V3!E334,Table1[Campo],Plano_V3!F334)</f>
        <v>0.5</v>
      </c>
      <c r="J334" s="190">
        <f t="shared" si="52"/>
        <v>6.25E-2</v>
      </c>
      <c r="K334" s="190">
        <f>SUMIFS(Table1[Horas efetivas],Table1[Tabela],Plano_V3!E334,Table1[Campo],Plano_V3!F334)</f>
        <v>0.5</v>
      </c>
      <c r="L334" s="190">
        <f t="shared" si="53"/>
        <v>6.25E-2</v>
      </c>
      <c r="M334" s="184"/>
      <c r="N334" s="184">
        <f t="shared" si="54"/>
        <v>1</v>
      </c>
      <c r="O334" s="184">
        <f t="shared" si="55"/>
        <v>1</v>
      </c>
      <c r="P334" s="90" t="s">
        <v>39</v>
      </c>
      <c r="Q334" s="91">
        <f t="shared" si="56"/>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x14ac:dyDescent="0.25">
      <c r="A335" s="30" t="str">
        <f t="shared" si="57"/>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90">
        <f>SUMIFS(Table1[Estimação (horas)],Table1[Tabela],Plano_V3!E335,Table1[Campo],Plano_V3!F335)</f>
        <v>0.5</v>
      </c>
      <c r="J335" s="190">
        <f t="shared" si="52"/>
        <v>6.25E-2</v>
      </c>
      <c r="K335" s="190">
        <f>SUMIFS(Table1[Horas efetivas],Table1[Tabela],Plano_V3!E335,Table1[Campo],Plano_V3!F335)</f>
        <v>0.5</v>
      </c>
      <c r="L335" s="190">
        <f t="shared" si="53"/>
        <v>6.25E-2</v>
      </c>
      <c r="M335" s="184"/>
      <c r="N335" s="184">
        <f t="shared" si="54"/>
        <v>1</v>
      </c>
      <c r="O335" s="184">
        <f t="shared" si="55"/>
        <v>1</v>
      </c>
      <c r="P335" s="90" t="s">
        <v>39</v>
      </c>
      <c r="Q335" s="91">
        <f t="shared" si="56"/>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x14ac:dyDescent="0.25">
      <c r="A336" s="30" t="str">
        <f t="shared" si="57"/>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90">
        <f>SUMIFS(Table1[Estimação (horas)],Table1[Tabela],Plano_V3!E336,Table1[Campo],Plano_V3!F336)</f>
        <v>0.5</v>
      </c>
      <c r="J336" s="190">
        <f t="shared" ref="J336:J369" si="58">I336/8</f>
        <v>6.25E-2</v>
      </c>
      <c r="K336" s="190">
        <f>SUMIFS(Table1[Horas efetivas],Table1[Tabela],Plano_V3!E336,Table1[Campo],Plano_V3!F336)</f>
        <v>0.5</v>
      </c>
      <c r="L336" s="190">
        <f t="shared" si="53"/>
        <v>6.25E-2</v>
      </c>
      <c r="M336" s="184"/>
      <c r="N336" s="184">
        <f t="shared" si="54"/>
        <v>1</v>
      </c>
      <c r="O336" s="184">
        <f t="shared" si="55"/>
        <v>1</v>
      </c>
      <c r="P336" s="90" t="s">
        <v>39</v>
      </c>
      <c r="Q336" s="91">
        <f t="shared" si="56"/>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x14ac:dyDescent="0.25">
      <c r="A337" s="30" t="str">
        <f t="shared" si="57"/>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90">
        <f>SUMIFS(Table1[Estimação (horas)],Table1[Tabela],Plano_V3!E337,Table1[Campo],Plano_V3!F337)</f>
        <v>0.5</v>
      </c>
      <c r="J337" s="190">
        <f t="shared" si="58"/>
        <v>6.25E-2</v>
      </c>
      <c r="K337" s="190">
        <f>SUMIFS(Table1[Horas efetivas],Table1[Tabela],Plano_V3!E337,Table1[Campo],Plano_V3!F337)</f>
        <v>0.5</v>
      </c>
      <c r="L337" s="190">
        <f t="shared" ref="L337:L369" si="59">K337/8</f>
        <v>6.25E-2</v>
      </c>
      <c r="M337" s="184"/>
      <c r="N337" s="184">
        <f t="shared" ref="N337:N369" si="60">L337/J337</f>
        <v>1</v>
      </c>
      <c r="O337" s="184">
        <f t="shared" si="55"/>
        <v>1</v>
      </c>
      <c r="P337" s="90" t="s">
        <v>39</v>
      </c>
      <c r="Q337" s="91">
        <f t="shared" si="56"/>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x14ac:dyDescent="0.25">
      <c r="A338" s="30" t="str">
        <f t="shared" si="57"/>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90">
        <f>SUMIFS(Table1[Estimação (horas)],Table1[Tabela],Plano_V3!E338,Table1[Campo],Plano_V3!F338)</f>
        <v>0.5</v>
      </c>
      <c r="J338" s="190">
        <f t="shared" si="58"/>
        <v>6.25E-2</v>
      </c>
      <c r="K338" s="190">
        <f>SUMIFS(Table1[Horas efetivas],Table1[Tabela],Plano_V3!E338,Table1[Campo],Plano_V3!F338)</f>
        <v>0.5</v>
      </c>
      <c r="L338" s="190">
        <f t="shared" si="59"/>
        <v>6.25E-2</v>
      </c>
      <c r="M338" s="184"/>
      <c r="N338" s="184">
        <f t="shared" si="60"/>
        <v>1</v>
      </c>
      <c r="O338" s="184">
        <f t="shared" si="55"/>
        <v>1</v>
      </c>
      <c r="P338" s="90" t="s">
        <v>39</v>
      </c>
      <c r="Q338" s="91">
        <f t="shared" si="56"/>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x14ac:dyDescent="0.25">
      <c r="A339" s="30" t="str">
        <f t="shared" si="57"/>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90">
        <f>SUMIFS(Table1[Estimação (horas)],Table1[Tabela],Plano_V3!E339,Table1[Campo],Plano_V3!F339)</f>
        <v>0.5</v>
      </c>
      <c r="J339" s="190">
        <f t="shared" si="58"/>
        <v>6.25E-2</v>
      </c>
      <c r="K339" s="190">
        <f>SUMIFS(Table1[Horas efetivas],Table1[Tabela],Plano_V3!E339,Table1[Campo],Plano_V3!F339)</f>
        <v>0.5</v>
      </c>
      <c r="L339" s="190">
        <f t="shared" si="59"/>
        <v>6.25E-2</v>
      </c>
      <c r="M339" s="184"/>
      <c r="N339" s="184">
        <f t="shared" si="60"/>
        <v>1</v>
      </c>
      <c r="O339" s="184">
        <f t="shared" si="55"/>
        <v>1</v>
      </c>
      <c r="P339" s="90" t="s">
        <v>39</v>
      </c>
      <c r="Q339" s="91">
        <f t="shared" si="56"/>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x14ac:dyDescent="0.25">
      <c r="A340" s="30" t="str">
        <f t="shared" si="57"/>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90">
        <f>SUMIFS(Table1[Estimação (horas)],Table1[Tabela],Plano_V3!E340,Table1[Campo],Plano_V3!F340)</f>
        <v>0.5</v>
      </c>
      <c r="J340" s="190">
        <f t="shared" si="58"/>
        <v>6.25E-2</v>
      </c>
      <c r="K340" s="190">
        <f>SUMIFS(Table1[Horas efetivas],Table1[Tabela],Plano_V3!E340,Table1[Campo],Plano_V3!F340)</f>
        <v>0.5</v>
      </c>
      <c r="L340" s="190">
        <f t="shared" si="59"/>
        <v>6.25E-2</v>
      </c>
      <c r="M340" s="184"/>
      <c r="N340" s="184">
        <f t="shared" si="60"/>
        <v>1</v>
      </c>
      <c r="O340" s="184">
        <f t="shared" si="55"/>
        <v>1</v>
      </c>
      <c r="P340" s="90" t="s">
        <v>39</v>
      </c>
      <c r="Q340" s="91">
        <f t="shared" si="56"/>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x14ac:dyDescent="0.25">
      <c r="A341" s="30" t="str">
        <f t="shared" si="57"/>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90">
        <f>SUMIFS(Table1[Estimação (horas)],Table1[Tabela],Plano_V3!E341,Table1[Campo],Plano_V3!F341)</f>
        <v>0.6</v>
      </c>
      <c r="J341" s="190">
        <f t="shared" si="58"/>
        <v>7.4999999999999997E-2</v>
      </c>
      <c r="K341" s="190">
        <f>SUMIFS(Table1[Horas efetivas],Table1[Tabela],Plano_V3!E341,Table1[Campo],Plano_V3!F341)</f>
        <v>0.6</v>
      </c>
      <c r="L341" s="190">
        <f t="shared" si="59"/>
        <v>7.4999999999999997E-2</v>
      </c>
      <c r="M341" s="184"/>
      <c r="N341" s="184">
        <f t="shared" si="60"/>
        <v>1</v>
      </c>
      <c r="O341" s="184">
        <f t="shared" si="55"/>
        <v>1</v>
      </c>
      <c r="P341" s="90" t="s">
        <v>39</v>
      </c>
      <c r="Q341" s="91">
        <f t="shared" si="56"/>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x14ac:dyDescent="0.25">
      <c r="A342" s="30" t="str">
        <f t="shared" si="57"/>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90">
        <f>SUMIFS(Table1[Estimação (horas)],Table1[Tabela],Plano_V3!E342,Table1[Campo],Plano_V3!F342)</f>
        <v>0.5</v>
      </c>
      <c r="J342" s="190">
        <f t="shared" si="58"/>
        <v>6.25E-2</v>
      </c>
      <c r="K342" s="190">
        <f>SUMIFS(Table1[Horas efetivas],Table1[Tabela],Plano_V3!E342,Table1[Campo],Plano_V3!F342)</f>
        <v>0.5</v>
      </c>
      <c r="L342" s="190">
        <f t="shared" si="59"/>
        <v>6.25E-2</v>
      </c>
      <c r="M342" s="184"/>
      <c r="N342" s="184">
        <f t="shared" si="60"/>
        <v>1</v>
      </c>
      <c r="O342" s="184">
        <f t="shared" si="55"/>
        <v>1</v>
      </c>
      <c r="P342" s="90" t="s">
        <v>39</v>
      </c>
      <c r="Q342" s="91">
        <f t="shared" si="56"/>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x14ac:dyDescent="0.25">
      <c r="A343" s="30" t="str">
        <f t="shared" si="57"/>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90">
        <f>SUMIFS(Table1[Estimação (horas)],Table1[Tabela],Plano_V3!E343,Table1[Campo],Plano_V3!F343)</f>
        <v>0.5</v>
      </c>
      <c r="J343" s="190">
        <f t="shared" si="58"/>
        <v>6.25E-2</v>
      </c>
      <c r="K343" s="190">
        <f>SUMIFS(Table1[Horas efetivas],Table1[Tabela],Plano_V3!E343,Table1[Campo],Plano_V3!F343)</f>
        <v>0.5</v>
      </c>
      <c r="L343" s="190">
        <f t="shared" si="59"/>
        <v>6.25E-2</v>
      </c>
      <c r="M343" s="184"/>
      <c r="N343" s="184">
        <f t="shared" si="60"/>
        <v>1</v>
      </c>
      <c r="O343" s="184">
        <f t="shared" si="55"/>
        <v>1</v>
      </c>
      <c r="P343" s="90" t="s">
        <v>39</v>
      </c>
      <c r="Q343" s="91">
        <f t="shared" si="56"/>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x14ac:dyDescent="0.25">
      <c r="A344" s="30" t="str">
        <f t="shared" si="57"/>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90">
        <f>SUMIFS(Table1[Estimação (horas)],Table1[Tabela],Plano_V3!E344,Table1[Campo],Plano_V3!F344)</f>
        <v>0.5</v>
      </c>
      <c r="J344" s="190">
        <f t="shared" si="58"/>
        <v>6.25E-2</v>
      </c>
      <c r="K344" s="190">
        <f>SUMIFS(Table1[Horas efetivas],Table1[Tabela],Plano_V3!E344,Table1[Campo],Plano_V3!F344)</f>
        <v>0.5</v>
      </c>
      <c r="L344" s="190">
        <f t="shared" si="59"/>
        <v>6.25E-2</v>
      </c>
      <c r="M344" s="184"/>
      <c r="N344" s="184">
        <f t="shared" si="60"/>
        <v>1</v>
      </c>
      <c r="O344" s="184">
        <f t="shared" si="55"/>
        <v>1</v>
      </c>
      <c r="P344" s="90" t="s">
        <v>39</v>
      </c>
      <c r="Q344" s="91">
        <f t="shared" si="56"/>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x14ac:dyDescent="0.25">
      <c r="A345" s="30" t="str">
        <f t="shared" si="57"/>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90">
        <f>SUMIFS(Table1[Estimação (horas)],Table1[Tabela],Plano_V3!E345,Table1[Campo],Plano_V3!F345)</f>
        <v>0.5</v>
      </c>
      <c r="J345" s="190">
        <f t="shared" si="58"/>
        <v>6.25E-2</v>
      </c>
      <c r="K345" s="190">
        <f>SUMIFS(Table1[Horas efetivas],Table1[Tabela],Plano_V3!E345,Table1[Campo],Plano_V3!F345)</f>
        <v>0.5</v>
      </c>
      <c r="L345" s="190">
        <f t="shared" si="59"/>
        <v>6.25E-2</v>
      </c>
      <c r="M345" s="184"/>
      <c r="N345" s="184">
        <f t="shared" si="60"/>
        <v>1</v>
      </c>
      <c r="O345" s="184">
        <f t="shared" ref="O345:O408" si="61">N345-M345</f>
        <v>1</v>
      </c>
      <c r="P345" s="90" t="s">
        <v>39</v>
      </c>
      <c r="Q345" s="91">
        <f t="shared" si="56"/>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x14ac:dyDescent="0.25">
      <c r="A346" s="30" t="str">
        <f t="shared" si="57"/>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90">
        <f>SUMIFS(Table1[Estimação (horas)],Table1[Tabela],Plano_V3!E346,Table1[Campo],Plano_V3!F346)</f>
        <v>0.6</v>
      </c>
      <c r="J346" s="190">
        <f t="shared" si="58"/>
        <v>7.4999999999999997E-2</v>
      </c>
      <c r="K346" s="190">
        <f>SUMIFS(Table1[Horas efetivas],Table1[Tabela],Plano_V3!E346,Table1[Campo],Plano_V3!F346)</f>
        <v>0.6</v>
      </c>
      <c r="L346" s="190">
        <f t="shared" si="59"/>
        <v>7.4999999999999997E-2</v>
      </c>
      <c r="M346" s="184"/>
      <c r="N346" s="184">
        <f t="shared" si="60"/>
        <v>1</v>
      </c>
      <c r="O346" s="184">
        <f t="shared" si="61"/>
        <v>1</v>
      </c>
      <c r="P346" s="90" t="s">
        <v>39</v>
      </c>
      <c r="Q346" s="91">
        <f t="shared" si="56"/>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x14ac:dyDescent="0.25">
      <c r="A347" s="30" t="str">
        <f t="shared" si="57"/>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90">
        <f>SUMIFS(Table1[Estimação (horas)],Table1[Tabela],Plano_V3!E347,Table1[Campo],Plano_V3!F347)</f>
        <v>0.5</v>
      </c>
      <c r="J347" s="190">
        <f t="shared" si="58"/>
        <v>6.25E-2</v>
      </c>
      <c r="K347" s="190">
        <f>SUMIFS(Table1[Horas efetivas],Table1[Tabela],Plano_V3!E347,Table1[Campo],Plano_V3!F347)</f>
        <v>0.5</v>
      </c>
      <c r="L347" s="190">
        <f t="shared" si="59"/>
        <v>6.25E-2</v>
      </c>
      <c r="M347" s="184"/>
      <c r="N347" s="184">
        <f t="shared" si="60"/>
        <v>1</v>
      </c>
      <c r="O347" s="184">
        <f t="shared" si="61"/>
        <v>1</v>
      </c>
      <c r="P347" s="90" t="s">
        <v>39</v>
      </c>
      <c r="Q347" s="91">
        <f t="shared" si="56"/>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x14ac:dyDescent="0.25">
      <c r="A348" s="30" t="str">
        <f t="shared" si="57"/>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90">
        <f>SUMIFS(Table1[Estimação (horas)],Table1[Tabela],Plano_V3!E348,Table1[Campo],Plano_V3!F348)</f>
        <v>0.5</v>
      </c>
      <c r="J348" s="190">
        <f t="shared" si="58"/>
        <v>6.25E-2</v>
      </c>
      <c r="K348" s="190">
        <f>SUMIFS(Table1[Horas efetivas],Table1[Tabela],Plano_V3!E348,Table1[Campo],Plano_V3!F348)</f>
        <v>0.5</v>
      </c>
      <c r="L348" s="190">
        <f t="shared" si="59"/>
        <v>6.25E-2</v>
      </c>
      <c r="M348" s="184"/>
      <c r="N348" s="184">
        <f t="shared" si="60"/>
        <v>1</v>
      </c>
      <c r="O348" s="184">
        <f t="shared" si="61"/>
        <v>1</v>
      </c>
      <c r="P348" s="90" t="s">
        <v>39</v>
      </c>
      <c r="Q348" s="91">
        <f t="shared" si="56"/>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x14ac:dyDescent="0.25">
      <c r="A349" s="30" t="str">
        <f t="shared" si="57"/>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90">
        <f>SUMIFS(Table1[Estimação (horas)],Table1[Tabela],Plano_V3!E349,Table1[Campo],Plano_V3!F349)</f>
        <v>0.6</v>
      </c>
      <c r="J349" s="190">
        <f t="shared" si="58"/>
        <v>7.4999999999999997E-2</v>
      </c>
      <c r="K349" s="190">
        <f>SUMIFS(Table1[Horas efetivas],Table1[Tabela],Plano_V3!E349,Table1[Campo],Plano_V3!F349)</f>
        <v>0.6</v>
      </c>
      <c r="L349" s="190">
        <f t="shared" si="59"/>
        <v>7.4999999999999997E-2</v>
      </c>
      <c r="M349" s="184"/>
      <c r="N349" s="184">
        <f t="shared" si="60"/>
        <v>1</v>
      </c>
      <c r="O349" s="184">
        <f t="shared" si="61"/>
        <v>1</v>
      </c>
      <c r="P349" s="90" t="s">
        <v>39</v>
      </c>
      <c r="Q349" s="91">
        <f t="shared" si="56"/>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x14ac:dyDescent="0.25">
      <c r="A350" s="30" t="str">
        <f t="shared" si="57"/>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90">
        <f>SUMIFS(Table1[Estimação (horas)],Table1[Tabela],Plano_V3!E350,Table1[Campo],Plano_V3!F350)</f>
        <v>0.6</v>
      </c>
      <c r="J350" s="190">
        <f t="shared" si="58"/>
        <v>7.4999999999999997E-2</v>
      </c>
      <c r="K350" s="190">
        <f>SUMIFS(Table1[Horas efetivas],Table1[Tabela],Plano_V3!E350,Table1[Campo],Plano_V3!F350)</f>
        <v>0.6</v>
      </c>
      <c r="L350" s="190">
        <f t="shared" si="59"/>
        <v>7.4999999999999997E-2</v>
      </c>
      <c r="M350" s="184"/>
      <c r="N350" s="184">
        <f t="shared" si="60"/>
        <v>1</v>
      </c>
      <c r="O350" s="184">
        <f t="shared" si="61"/>
        <v>1</v>
      </c>
      <c r="P350" s="90" t="s">
        <v>39</v>
      </c>
      <c r="Q350" s="91">
        <f t="shared" si="56"/>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x14ac:dyDescent="0.25">
      <c r="A351" s="30" t="str">
        <f t="shared" si="57"/>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90">
        <f>SUMIFS(Table1[Estimação (horas)],Table1[Tabela],Plano_V3!E351,Table1[Campo],Plano_V3!F351)</f>
        <v>0.6</v>
      </c>
      <c r="J351" s="190">
        <f t="shared" si="58"/>
        <v>7.4999999999999997E-2</v>
      </c>
      <c r="K351" s="190">
        <f>SUMIFS(Table1[Horas efetivas],Table1[Tabela],Plano_V3!E351,Table1[Campo],Plano_V3!F351)</f>
        <v>0.6</v>
      </c>
      <c r="L351" s="190">
        <f t="shared" si="59"/>
        <v>7.4999999999999997E-2</v>
      </c>
      <c r="M351" s="184"/>
      <c r="N351" s="184">
        <f t="shared" si="60"/>
        <v>1</v>
      </c>
      <c r="O351" s="184">
        <f t="shared" si="61"/>
        <v>1</v>
      </c>
      <c r="P351" s="90" t="s">
        <v>39</v>
      </c>
      <c r="Q351" s="91">
        <f t="shared" si="56"/>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x14ac:dyDescent="0.25">
      <c r="A352" s="30" t="str">
        <f t="shared" si="57"/>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90">
        <f>SUMIFS(Table1[Estimação (horas)],Table1[Tabela],Plano_V3!E352,Table1[Campo],Plano_V3!F352)</f>
        <v>0.5</v>
      </c>
      <c r="J352" s="190">
        <f t="shared" si="58"/>
        <v>6.25E-2</v>
      </c>
      <c r="K352" s="190">
        <f>SUMIFS(Table1[Horas efetivas],Table1[Tabela],Plano_V3!E352,Table1[Campo],Plano_V3!F352)</f>
        <v>0.5</v>
      </c>
      <c r="L352" s="190">
        <f t="shared" si="59"/>
        <v>6.25E-2</v>
      </c>
      <c r="M352" s="184"/>
      <c r="N352" s="184">
        <f t="shared" si="60"/>
        <v>1</v>
      </c>
      <c r="O352" s="184">
        <f t="shared" si="61"/>
        <v>1</v>
      </c>
      <c r="P352" s="90" t="s">
        <v>39</v>
      </c>
      <c r="Q352" s="91">
        <f t="shared" si="56"/>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x14ac:dyDescent="0.25">
      <c r="A353" s="30" t="str">
        <f t="shared" si="57"/>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90">
        <f>SUMIFS(Table1[Estimação (horas)],Table1[Tabela],Plano_V3!E353,Table1[Campo],Plano_V3!F353)</f>
        <v>0.5</v>
      </c>
      <c r="J353" s="190">
        <f t="shared" si="58"/>
        <v>6.25E-2</v>
      </c>
      <c r="K353" s="190">
        <f>SUMIFS(Table1[Horas efetivas],Table1[Tabela],Plano_V3!E353,Table1[Campo],Plano_V3!F353)</f>
        <v>0.5</v>
      </c>
      <c r="L353" s="190">
        <f t="shared" si="59"/>
        <v>6.25E-2</v>
      </c>
      <c r="M353" s="184"/>
      <c r="N353" s="184">
        <f t="shared" si="60"/>
        <v>1</v>
      </c>
      <c r="O353" s="184">
        <f t="shared" si="61"/>
        <v>1</v>
      </c>
      <c r="P353" s="90" t="s">
        <v>39</v>
      </c>
      <c r="Q353" s="91">
        <f t="shared" si="56"/>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x14ac:dyDescent="0.25">
      <c r="A354" s="30" t="str">
        <f t="shared" si="57"/>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90">
        <f>SUMIFS(Table1[Estimação (horas)],Table1[Tabela],Plano_V3!E354,Table1[Campo],Plano_V3!F354)</f>
        <v>0.5</v>
      </c>
      <c r="J354" s="190">
        <f t="shared" si="58"/>
        <v>6.25E-2</v>
      </c>
      <c r="K354" s="190">
        <f>SUMIFS(Table1[Horas efetivas],Table1[Tabela],Plano_V3!E354,Table1[Campo],Plano_V3!F354)</f>
        <v>0.5</v>
      </c>
      <c r="L354" s="190">
        <f t="shared" si="59"/>
        <v>6.25E-2</v>
      </c>
      <c r="M354" s="184"/>
      <c r="N354" s="184">
        <f t="shared" si="60"/>
        <v>1</v>
      </c>
      <c r="O354" s="184">
        <f t="shared" si="61"/>
        <v>1</v>
      </c>
      <c r="P354" s="90" t="s">
        <v>39</v>
      </c>
      <c r="Q354" s="91">
        <f t="shared" si="56"/>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x14ac:dyDescent="0.25">
      <c r="A355" s="30" t="str">
        <f t="shared" si="57"/>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90">
        <f>SUMIFS(Table1[Estimação (horas)],Table1[Tabela],Plano_V3!E355,Table1[Campo],Plano_V3!F355)</f>
        <v>0.5</v>
      </c>
      <c r="J355" s="190">
        <f t="shared" si="58"/>
        <v>6.25E-2</v>
      </c>
      <c r="K355" s="190">
        <f>SUMIFS(Table1[Horas efetivas],Table1[Tabela],Plano_V3!E355,Table1[Campo],Plano_V3!F355)</f>
        <v>0.5</v>
      </c>
      <c r="L355" s="190">
        <f t="shared" si="59"/>
        <v>6.25E-2</v>
      </c>
      <c r="M355" s="184"/>
      <c r="N355" s="184">
        <f t="shared" si="60"/>
        <v>1</v>
      </c>
      <c r="O355" s="184">
        <f t="shared" si="61"/>
        <v>1</v>
      </c>
      <c r="P355" s="90" t="s">
        <v>39</v>
      </c>
      <c r="Q355" s="91">
        <f t="shared" si="56"/>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x14ac:dyDescent="0.25">
      <c r="A356" s="30" t="str">
        <f t="shared" si="57"/>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90">
        <f>SUMIFS(Table1[Estimação (horas)],Table1[Tabela],Plano_V3!E356,Table1[Campo],Plano_V3!F356)</f>
        <v>1</v>
      </c>
      <c r="J356" s="190">
        <f t="shared" si="58"/>
        <v>0.125</v>
      </c>
      <c r="K356" s="190">
        <f>SUMIFS(Table1[Horas efetivas],Table1[Tabela],Plano_V3!E356,Table1[Campo],Plano_V3!F356)</f>
        <v>1</v>
      </c>
      <c r="L356" s="190">
        <f t="shared" si="59"/>
        <v>0.125</v>
      </c>
      <c r="M356" s="184"/>
      <c r="N356" s="184">
        <f t="shared" si="60"/>
        <v>1</v>
      </c>
      <c r="O356" s="184">
        <f t="shared" si="61"/>
        <v>1</v>
      </c>
      <c r="P356" s="90" t="s">
        <v>39</v>
      </c>
      <c r="Q356" s="91">
        <f t="shared" ref="Q356:Q419" si="62">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x14ac:dyDescent="0.25">
      <c r="A357" s="30" t="str">
        <f t="shared" si="57"/>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90">
        <f>SUMIFS(Table1[Estimação (horas)],Table1[Tabela],Plano_V3!E357,Table1[Campo],Plano_V3!F357)</f>
        <v>0.5</v>
      </c>
      <c r="J357" s="190">
        <f t="shared" si="58"/>
        <v>6.25E-2</v>
      </c>
      <c r="K357" s="190">
        <f>SUMIFS(Table1[Horas efetivas],Table1[Tabela],Plano_V3!E357,Table1[Campo],Plano_V3!F357)</f>
        <v>0.5</v>
      </c>
      <c r="L357" s="190">
        <f t="shared" si="59"/>
        <v>6.25E-2</v>
      </c>
      <c r="M357" s="184"/>
      <c r="N357" s="184">
        <f t="shared" si="60"/>
        <v>1</v>
      </c>
      <c r="O357" s="184">
        <f t="shared" si="61"/>
        <v>1</v>
      </c>
      <c r="P357" s="90" t="s">
        <v>39</v>
      </c>
      <c r="Q357" s="91">
        <f t="shared" si="62"/>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x14ac:dyDescent="0.25">
      <c r="A358" s="30" t="str">
        <f t="shared" ref="A358:A421" si="63">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90">
        <f>SUMIFS(Table1[Estimação (horas)],Table1[Tabela],Plano_V3!E358,Table1[Campo],Plano_V3!F358)</f>
        <v>0.5</v>
      </c>
      <c r="J358" s="190">
        <f t="shared" si="58"/>
        <v>6.25E-2</v>
      </c>
      <c r="K358" s="190">
        <f>SUMIFS(Table1[Horas efetivas],Table1[Tabela],Plano_V3!E358,Table1[Campo],Plano_V3!F358)</f>
        <v>0.5</v>
      </c>
      <c r="L358" s="190">
        <f t="shared" si="59"/>
        <v>6.25E-2</v>
      </c>
      <c r="M358" s="184"/>
      <c r="N358" s="184">
        <f t="shared" si="60"/>
        <v>1</v>
      </c>
      <c r="O358" s="184">
        <f t="shared" si="61"/>
        <v>1</v>
      </c>
      <c r="P358" s="90" t="s">
        <v>39</v>
      </c>
      <c r="Q358" s="91">
        <f t="shared" si="62"/>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x14ac:dyDescent="0.25">
      <c r="A359" s="30" t="str">
        <f t="shared" si="63"/>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90">
        <f>SUMIFS(Table1[Estimação (horas)],Table1[Tabela],Plano_V3!E359,Table1[Campo],Plano_V3!F359)</f>
        <v>0.5</v>
      </c>
      <c r="J359" s="190">
        <f t="shared" si="58"/>
        <v>6.25E-2</v>
      </c>
      <c r="K359" s="190">
        <f>SUMIFS(Table1[Horas efetivas],Table1[Tabela],Plano_V3!E359,Table1[Campo],Plano_V3!F359)</f>
        <v>0.5</v>
      </c>
      <c r="L359" s="190">
        <f t="shared" si="59"/>
        <v>6.25E-2</v>
      </c>
      <c r="M359" s="184"/>
      <c r="N359" s="184">
        <f t="shared" si="60"/>
        <v>1</v>
      </c>
      <c r="O359" s="184">
        <f t="shared" si="61"/>
        <v>1</v>
      </c>
      <c r="P359" s="90" t="s">
        <v>39</v>
      </c>
      <c r="Q359" s="91">
        <f t="shared" si="62"/>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x14ac:dyDescent="0.25">
      <c r="A360" s="30" t="str">
        <f t="shared" si="63"/>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90">
        <f>SUMIFS(Table1[Estimação (horas)],Table1[Tabela],Plano_V3!E360,Table1[Campo],Plano_V3!F360)</f>
        <v>0.5</v>
      </c>
      <c r="J360" s="190">
        <f t="shared" si="58"/>
        <v>6.25E-2</v>
      </c>
      <c r="K360" s="190">
        <f>SUMIFS(Table1[Horas efetivas],Table1[Tabela],Plano_V3!E360,Table1[Campo],Plano_V3!F360)</f>
        <v>0.5</v>
      </c>
      <c r="L360" s="190">
        <f t="shared" si="59"/>
        <v>6.25E-2</v>
      </c>
      <c r="M360" s="184"/>
      <c r="N360" s="184">
        <f t="shared" si="60"/>
        <v>1</v>
      </c>
      <c r="O360" s="184">
        <f t="shared" si="61"/>
        <v>1</v>
      </c>
      <c r="P360" s="90" t="s">
        <v>39</v>
      </c>
      <c r="Q360" s="91">
        <f t="shared" si="62"/>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x14ac:dyDescent="0.25">
      <c r="A361" s="30" t="str">
        <f t="shared" si="63"/>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90">
        <f>SUMIFS(Table1[Estimação (horas)],Table1[Tabela],Plano_V3!E361,Table1[Campo],Plano_V3!F361)</f>
        <v>0.5</v>
      </c>
      <c r="J361" s="190">
        <f t="shared" si="58"/>
        <v>6.25E-2</v>
      </c>
      <c r="K361" s="190">
        <f>SUMIFS(Table1[Horas efetivas],Table1[Tabela],Plano_V3!E361,Table1[Campo],Plano_V3!F361)</f>
        <v>0</v>
      </c>
      <c r="L361" s="190">
        <f t="shared" si="59"/>
        <v>0</v>
      </c>
      <c r="M361" s="184"/>
      <c r="N361" s="184">
        <f t="shared" si="60"/>
        <v>0</v>
      </c>
      <c r="O361" s="184">
        <f t="shared" si="61"/>
        <v>0</v>
      </c>
      <c r="P361" s="90" t="s">
        <v>39</v>
      </c>
      <c r="Q361" s="91">
        <f t="shared" si="62"/>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x14ac:dyDescent="0.25">
      <c r="A362" s="30" t="str">
        <f t="shared" si="63"/>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90">
        <f>SUMIFS(Table1[Estimação (horas)],Table1[Tabela],Plano_V3!E362,Table1[Campo],Plano_V3!F362)</f>
        <v>0.5</v>
      </c>
      <c r="J362" s="190">
        <f t="shared" si="58"/>
        <v>6.25E-2</v>
      </c>
      <c r="K362" s="190">
        <f>SUMIFS(Table1[Horas efetivas],Table1[Tabela],Plano_V3!E362,Table1[Campo],Plano_V3!F362)</f>
        <v>0.5</v>
      </c>
      <c r="L362" s="190">
        <f t="shared" si="59"/>
        <v>6.25E-2</v>
      </c>
      <c r="M362" s="184"/>
      <c r="N362" s="184">
        <f t="shared" si="60"/>
        <v>1</v>
      </c>
      <c r="O362" s="184">
        <f t="shared" si="61"/>
        <v>1</v>
      </c>
      <c r="P362" s="90" t="s">
        <v>39</v>
      </c>
      <c r="Q362" s="91">
        <f t="shared" si="62"/>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x14ac:dyDescent="0.25">
      <c r="A363" s="30" t="str">
        <f t="shared" si="63"/>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90">
        <f>SUMIFS(Table1[Estimação (horas)],Table1[Tabela],Plano_V3!E363,Table1[Campo],Plano_V3!F363)</f>
        <v>0.5</v>
      </c>
      <c r="J363" s="190">
        <f t="shared" si="58"/>
        <v>6.25E-2</v>
      </c>
      <c r="K363" s="190">
        <f>SUMIFS(Table1[Horas efetivas],Table1[Tabela],Plano_V3!E363,Table1[Campo],Plano_V3!F363)</f>
        <v>0.5</v>
      </c>
      <c r="L363" s="190">
        <f t="shared" si="59"/>
        <v>6.25E-2</v>
      </c>
      <c r="M363" s="184"/>
      <c r="N363" s="184">
        <f t="shared" si="60"/>
        <v>1</v>
      </c>
      <c r="O363" s="184">
        <f t="shared" si="61"/>
        <v>1</v>
      </c>
      <c r="P363" s="90" t="s">
        <v>39</v>
      </c>
      <c r="Q363" s="91">
        <f t="shared" si="62"/>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x14ac:dyDescent="0.25">
      <c r="A364" s="30" t="str">
        <f t="shared" si="63"/>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90">
        <f>SUMIFS(Table1[Estimação (horas)],Table1[Tabela],Plano_V3!E364,Table1[Campo],Plano_V3!F364)</f>
        <v>0.5</v>
      </c>
      <c r="J364" s="190">
        <f t="shared" si="58"/>
        <v>6.25E-2</v>
      </c>
      <c r="K364" s="190">
        <f>SUMIFS(Table1[Horas efetivas],Table1[Tabela],Plano_V3!E364,Table1[Campo],Plano_V3!F364)</f>
        <v>0.5</v>
      </c>
      <c r="L364" s="190">
        <f t="shared" si="59"/>
        <v>6.25E-2</v>
      </c>
      <c r="M364" s="184"/>
      <c r="N364" s="184">
        <f t="shared" si="60"/>
        <v>1</v>
      </c>
      <c r="O364" s="184">
        <f t="shared" si="61"/>
        <v>1</v>
      </c>
      <c r="P364" s="90" t="s">
        <v>39</v>
      </c>
      <c r="Q364" s="91">
        <f t="shared" si="62"/>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x14ac:dyDescent="0.25">
      <c r="A365" s="30" t="str">
        <f t="shared" si="63"/>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90">
        <f>SUMIFS(Table1[Estimação (horas)],Table1[Tabela],Plano_V3!E365,Table1[Campo],Plano_V3!F365)</f>
        <v>0.5</v>
      </c>
      <c r="J365" s="190">
        <f t="shared" si="58"/>
        <v>6.25E-2</v>
      </c>
      <c r="K365" s="190">
        <f>SUMIFS(Table1[Horas efetivas],Table1[Tabela],Plano_V3!E365,Table1[Campo],Plano_V3!F365)</f>
        <v>0.5</v>
      </c>
      <c r="L365" s="190">
        <f t="shared" si="59"/>
        <v>6.25E-2</v>
      </c>
      <c r="M365" s="184"/>
      <c r="N365" s="184">
        <f t="shared" si="60"/>
        <v>1</v>
      </c>
      <c r="O365" s="184">
        <f t="shared" si="61"/>
        <v>1</v>
      </c>
      <c r="P365" s="90" t="s">
        <v>39</v>
      </c>
      <c r="Q365" s="91">
        <f t="shared" si="62"/>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x14ac:dyDescent="0.25">
      <c r="A366" s="30" t="str">
        <f t="shared" si="63"/>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90">
        <f>SUMIFS(Table1[Estimação (horas)],Table1[Tabela],Plano_V3!E366,Table1[Campo],Plano_V3!F366)</f>
        <v>0.5</v>
      </c>
      <c r="J366" s="190">
        <f t="shared" si="58"/>
        <v>6.25E-2</v>
      </c>
      <c r="K366" s="190">
        <f>SUMIFS(Table1[Horas efetivas],Table1[Tabela],Plano_V3!E366,Table1[Campo],Plano_V3!F366)</f>
        <v>0.5</v>
      </c>
      <c r="L366" s="190">
        <f t="shared" si="59"/>
        <v>6.25E-2</v>
      </c>
      <c r="M366" s="184"/>
      <c r="N366" s="184">
        <f t="shared" si="60"/>
        <v>1</v>
      </c>
      <c r="O366" s="184">
        <f t="shared" si="61"/>
        <v>1</v>
      </c>
      <c r="P366" s="90" t="s">
        <v>39</v>
      </c>
      <c r="Q366" s="91">
        <f t="shared" si="62"/>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x14ac:dyDescent="0.25">
      <c r="A367" s="30" t="str">
        <f t="shared" si="63"/>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90">
        <f>SUMIFS(Table1[Estimação (horas)],Table1[Tabela],Plano_V3!E367,Table1[Campo],Plano_V3!F367)</f>
        <v>0.5</v>
      </c>
      <c r="J367" s="190">
        <f t="shared" si="58"/>
        <v>6.25E-2</v>
      </c>
      <c r="K367" s="190">
        <f>SUMIFS(Table1[Horas efetivas],Table1[Tabela],Plano_V3!E367,Table1[Campo],Plano_V3!F367)</f>
        <v>0.5</v>
      </c>
      <c r="L367" s="190">
        <f t="shared" si="59"/>
        <v>6.25E-2</v>
      </c>
      <c r="M367" s="184"/>
      <c r="N367" s="184">
        <f t="shared" si="60"/>
        <v>1</v>
      </c>
      <c r="O367" s="184">
        <f t="shared" si="61"/>
        <v>1</v>
      </c>
      <c r="P367" s="90" t="s">
        <v>39</v>
      </c>
      <c r="Q367" s="91">
        <f t="shared" si="62"/>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x14ac:dyDescent="0.25">
      <c r="A368" s="30" t="str">
        <f t="shared" si="63"/>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90">
        <f>SUMIFS(Table1[Estimação (horas)],Table1[Tabela],Plano_V3!E368,Table1[Campo],Plano_V3!F368)</f>
        <v>0.6</v>
      </c>
      <c r="J368" s="190">
        <f t="shared" si="58"/>
        <v>7.4999999999999997E-2</v>
      </c>
      <c r="K368" s="190">
        <f>SUMIFS(Table1[Horas efetivas],Table1[Tabela],Plano_V3!E368,Table1[Campo],Plano_V3!F368)</f>
        <v>0.6</v>
      </c>
      <c r="L368" s="190">
        <f t="shared" si="59"/>
        <v>7.4999999999999997E-2</v>
      </c>
      <c r="M368" s="184"/>
      <c r="N368" s="184">
        <f t="shared" si="60"/>
        <v>1</v>
      </c>
      <c r="O368" s="184">
        <f t="shared" si="61"/>
        <v>1</v>
      </c>
      <c r="P368" s="90" t="s">
        <v>39</v>
      </c>
      <c r="Q368" s="91">
        <f t="shared" si="62"/>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x14ac:dyDescent="0.25">
      <c r="A369" s="30" t="str">
        <f t="shared" si="63"/>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90">
        <f>SUMIFS(Table1[Estimação (horas)],Table1[Tabela],Plano_V3!E369,Table1[Campo],Plano_V3!F369)</f>
        <v>0.6</v>
      </c>
      <c r="J369" s="190">
        <f t="shared" si="58"/>
        <v>7.4999999999999997E-2</v>
      </c>
      <c r="K369" s="190">
        <f>SUMIFS(Table1[Horas efetivas],Table1[Tabela],Plano_V3!E369,Table1[Campo],Plano_V3!F369)</f>
        <v>0.6</v>
      </c>
      <c r="L369" s="190">
        <f t="shared" si="59"/>
        <v>7.4999999999999997E-2</v>
      </c>
      <c r="M369" s="184"/>
      <c r="N369" s="184">
        <f t="shared" si="60"/>
        <v>1</v>
      </c>
      <c r="O369" s="184">
        <f t="shared" si="61"/>
        <v>1</v>
      </c>
      <c r="P369" s="90" t="s">
        <v>39</v>
      </c>
      <c r="Q369" s="91">
        <f t="shared" si="62"/>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x14ac:dyDescent="0.4">
      <c r="A370" s="30" t="str">
        <f t="shared" si="63"/>
        <v>Re-testesn.a.</v>
      </c>
      <c r="B370" s="68" t="s">
        <v>26</v>
      </c>
      <c r="C370" s="69" t="s">
        <v>181</v>
      </c>
      <c r="D370" s="65" t="s">
        <v>40</v>
      </c>
      <c r="E370" s="67" t="s">
        <v>53</v>
      </c>
      <c r="F370" s="65" t="s">
        <v>38</v>
      </c>
      <c r="G370" s="65" t="s">
        <v>310</v>
      </c>
      <c r="H370" s="65"/>
      <c r="I370" s="190">
        <f>J370*8</f>
        <v>16</v>
      </c>
      <c r="J370" s="190">
        <v>2</v>
      </c>
      <c r="K370" s="190"/>
      <c r="L370" s="190"/>
      <c r="M370" s="184"/>
      <c r="N370" s="184">
        <v>0.25</v>
      </c>
      <c r="O370" s="184">
        <f t="shared" si="61"/>
        <v>0.25</v>
      </c>
      <c r="P370" s="88"/>
      <c r="Q370" s="91">
        <f t="shared" si="62"/>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x14ac:dyDescent="0.4">
      <c r="A371" s="105" t="str">
        <f t="shared" si="63"/>
        <v/>
      </c>
      <c r="B371" s="64" t="s">
        <v>26</v>
      </c>
      <c r="C371" s="97" t="s">
        <v>311</v>
      </c>
      <c r="D371" s="97"/>
      <c r="E371" s="104"/>
      <c r="F371" s="97"/>
      <c r="G371" s="97"/>
      <c r="H371" s="97"/>
      <c r="I371" s="189">
        <f>SUM(I372:I455)</f>
        <v>796.3875000000013</v>
      </c>
      <c r="J371" s="189">
        <f>ROUNDUP(I371/8,0)</f>
        <v>100</v>
      </c>
      <c r="K371" s="189">
        <f>SUM(K372:K455)</f>
        <v>420.41250000000019</v>
      </c>
      <c r="L371" s="189">
        <f>ROUNDUP(K371/8,0)</f>
        <v>53</v>
      </c>
      <c r="M371" s="188">
        <f>SUMIFS(R371:ES371,$R$9:$ES$9,"S")/J371</f>
        <v>0.32500000000000001</v>
      </c>
      <c r="N371" s="188">
        <f>IFERROR(L371/J371,0)-15%</f>
        <v>0.38</v>
      </c>
      <c r="O371" s="188">
        <f t="shared" si="61"/>
        <v>5.4999999999999993E-2</v>
      </c>
      <c r="P371" s="195" t="s">
        <v>1931</v>
      </c>
      <c r="Q371" s="91">
        <f t="shared" si="62"/>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x14ac:dyDescent="0.4">
      <c r="A372" s="30" t="str">
        <f t="shared" si="63"/>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90">
        <f>SUMIFS(Table1[Estimação (horas)],Table1[Tabela],Plano_V3!E372,Table1[Campo],Plano_V3!F372)</f>
        <v>8</v>
      </c>
      <c r="J372" s="190">
        <f t="shared" ref="J372:J435" si="64">I372/8</f>
        <v>1</v>
      </c>
      <c r="K372" s="190">
        <f>SUMIFS(Table1[Horas efetivas],Table1[Tabela],Plano_V3!E372,Table1[Campo],Plano_V3!F372)</f>
        <v>8</v>
      </c>
      <c r="L372" s="190">
        <f t="shared" ref="L372:L435" si="65">K372/8</f>
        <v>1</v>
      </c>
      <c r="M372" s="184"/>
      <c r="N372" s="184">
        <f t="shared" ref="N372:N435" si="66">L372/J372</f>
        <v>1</v>
      </c>
      <c r="O372" s="184">
        <f t="shared" si="61"/>
        <v>1</v>
      </c>
      <c r="P372" s="88" t="s">
        <v>313</v>
      </c>
      <c r="Q372" s="91">
        <f t="shared" si="62"/>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x14ac:dyDescent="0.4">
      <c r="A373" s="30" t="str">
        <f t="shared" si="63"/>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90">
        <f>SUMIFS(Table1[Estimação (horas)],Table1[Tabela],Plano_V3!E373,Table1[Campo],Plano_V3!F373)</f>
        <v>4.0999999999999996</v>
      </c>
      <c r="J373" s="190">
        <f t="shared" si="64"/>
        <v>0.51249999999999996</v>
      </c>
      <c r="K373" s="190">
        <f>SUMIFS(Table1[Horas efetivas],Table1[Tabela],Plano_V3!E373,Table1[Campo],Plano_V3!F373)</f>
        <v>4.0999999999999996</v>
      </c>
      <c r="L373" s="190">
        <f t="shared" si="65"/>
        <v>0.51249999999999996</v>
      </c>
      <c r="M373" s="184"/>
      <c r="N373" s="184">
        <f t="shared" si="66"/>
        <v>1</v>
      </c>
      <c r="O373" s="184">
        <f t="shared" si="61"/>
        <v>1</v>
      </c>
      <c r="P373" s="88" t="s">
        <v>313</v>
      </c>
      <c r="Q373" s="91">
        <f t="shared" si="62"/>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x14ac:dyDescent="0.4">
      <c r="A374" s="30" t="str">
        <f t="shared" si="63"/>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90">
        <f>SUMIFS(Table1[Estimação (horas)],Table1[Tabela],Plano_V3!E374,Table1[Campo],Plano_V3!F374)</f>
        <v>4.0999999999999996</v>
      </c>
      <c r="J374" s="190">
        <f t="shared" si="64"/>
        <v>0.51249999999999996</v>
      </c>
      <c r="K374" s="190">
        <f>SUMIFS(Table1[Horas efetivas],Table1[Tabela],Plano_V3!E374,Table1[Campo],Plano_V3!F374)</f>
        <v>4.0999999999999996</v>
      </c>
      <c r="L374" s="190">
        <f t="shared" si="65"/>
        <v>0.51249999999999996</v>
      </c>
      <c r="M374" s="184"/>
      <c r="N374" s="184">
        <f t="shared" si="66"/>
        <v>1</v>
      </c>
      <c r="O374" s="184">
        <f t="shared" si="61"/>
        <v>1</v>
      </c>
      <c r="P374" s="88" t="s">
        <v>313</v>
      </c>
      <c r="Q374" s="91">
        <f t="shared" si="62"/>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x14ac:dyDescent="0.4">
      <c r="A375" s="30" t="str">
        <f t="shared" si="63"/>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90">
        <f>SUMIFS(Table1[Estimação (horas)],Table1[Tabela],Plano_V3!E375,Table1[Campo],Plano_V3!F375)</f>
        <v>4.0999999999999996</v>
      </c>
      <c r="J375" s="190">
        <f t="shared" si="64"/>
        <v>0.51249999999999996</v>
      </c>
      <c r="K375" s="190">
        <f>SUMIFS(Table1[Horas efetivas],Table1[Tabela],Plano_V3!E375,Table1[Campo],Plano_V3!F375)</f>
        <v>4.0999999999999996</v>
      </c>
      <c r="L375" s="190">
        <f t="shared" si="65"/>
        <v>0.51249999999999996</v>
      </c>
      <c r="M375" s="184"/>
      <c r="N375" s="184">
        <f t="shared" si="66"/>
        <v>1</v>
      </c>
      <c r="O375" s="184">
        <f t="shared" si="61"/>
        <v>1</v>
      </c>
      <c r="P375" s="88" t="s">
        <v>313</v>
      </c>
      <c r="Q375" s="91">
        <f t="shared" si="62"/>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x14ac:dyDescent="0.4">
      <c r="A376" s="30" t="str">
        <f t="shared" si="63"/>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90">
        <f>SUMIFS(Table1[Estimação (horas)],Table1[Tabela],Plano_V3!E376,Table1[Campo],Plano_V3!F376)</f>
        <v>4.0999999999999996</v>
      </c>
      <c r="J376" s="190">
        <f t="shared" si="64"/>
        <v>0.51249999999999996</v>
      </c>
      <c r="K376" s="190">
        <f>SUMIFS(Table1[Horas efetivas],Table1[Tabela],Plano_V3!E376,Table1[Campo],Plano_V3!F376)</f>
        <v>4.0999999999999996</v>
      </c>
      <c r="L376" s="190">
        <f t="shared" si="65"/>
        <v>0.51249999999999996</v>
      </c>
      <c r="M376" s="184"/>
      <c r="N376" s="184">
        <f t="shared" si="66"/>
        <v>1</v>
      </c>
      <c r="O376" s="184">
        <f t="shared" si="61"/>
        <v>1</v>
      </c>
      <c r="P376" s="88" t="s">
        <v>313</v>
      </c>
      <c r="Q376" s="91">
        <f t="shared" si="62"/>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x14ac:dyDescent="0.4">
      <c r="A377" s="30" t="str">
        <f t="shared" si="63"/>
        <v>modesg_out_bens_imoveisflg_rsc_fsc_agd</v>
      </c>
      <c r="B377" s="68" t="s">
        <v>26</v>
      </c>
      <c r="C377" s="69" t="s">
        <v>311</v>
      </c>
      <c r="D377" s="65" t="s">
        <v>40</v>
      </c>
      <c r="E377" s="67" t="s">
        <v>312</v>
      </c>
      <c r="F377" s="65" t="s">
        <v>283</v>
      </c>
      <c r="G377" s="65" t="str">
        <f>INDEX(Auxiliar!$B$16:$B$24,MATCH(Plano_V3!H377,Auxiliar!$C$16:$C$24,0),1)</f>
        <v>6. Em implementação (re-especificação)</v>
      </c>
      <c r="H377" s="65">
        <f>VLOOKUP(A377,'Aux - pivots1'!$A:$B,2,0)</f>
        <v>7</v>
      </c>
      <c r="I377" s="190">
        <f>SUMIFS(Table1[Estimação (horas)],Table1[Tabela],Plano_V3!E377,Table1[Campo],Plano_V3!F377)</f>
        <v>16.100000000000001</v>
      </c>
      <c r="J377" s="190">
        <f t="shared" si="64"/>
        <v>2.0125000000000002</v>
      </c>
      <c r="K377" s="190">
        <f>SUMIFS(Table1[Horas efetivas],Table1[Tabela],Plano_V3!E377,Table1[Campo],Plano_V3!F377)</f>
        <v>4.0250000000000004</v>
      </c>
      <c r="L377" s="190">
        <f t="shared" si="65"/>
        <v>0.50312500000000004</v>
      </c>
      <c r="M377" s="184"/>
      <c r="N377" s="184">
        <f t="shared" si="66"/>
        <v>0.25</v>
      </c>
      <c r="O377" s="184">
        <f t="shared" si="61"/>
        <v>0.25</v>
      </c>
      <c r="P377" s="88" t="s">
        <v>313</v>
      </c>
      <c r="Q377" s="91">
        <f t="shared" si="62"/>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x14ac:dyDescent="0.4">
      <c r="A378" s="30" t="str">
        <f t="shared" si="63"/>
        <v>modesg_out_bens_imoveisflg_rsc_fsc_crnc</v>
      </c>
      <c r="B378" s="68" t="s">
        <v>26</v>
      </c>
      <c r="C378" s="69" t="s">
        <v>311</v>
      </c>
      <c r="D378" s="65" t="s">
        <v>40</v>
      </c>
      <c r="E378" s="67" t="s">
        <v>312</v>
      </c>
      <c r="F378" s="65" t="s">
        <v>284</v>
      </c>
      <c r="G378" s="65" t="str">
        <f>INDEX(Auxiliar!$B$16:$B$24,MATCH(Plano_V3!H378,Auxiliar!$C$16:$C$24,0),1)</f>
        <v>6. Em implementação (re-especificação)</v>
      </c>
      <c r="H378" s="65">
        <f>VLOOKUP(A378,'Aux - pivots1'!$A:$B,2,0)</f>
        <v>7</v>
      </c>
      <c r="I378" s="190">
        <f>SUMIFS(Table1[Estimação (horas)],Table1[Tabela],Plano_V3!E378,Table1[Campo],Plano_V3!F378)</f>
        <v>16.100000000000001</v>
      </c>
      <c r="J378" s="190">
        <f t="shared" si="64"/>
        <v>2.0125000000000002</v>
      </c>
      <c r="K378" s="190">
        <f>SUMIFS(Table1[Horas efetivas],Table1[Tabela],Plano_V3!E378,Table1[Campo],Plano_V3!F378)</f>
        <v>4.0250000000000004</v>
      </c>
      <c r="L378" s="190">
        <f t="shared" si="65"/>
        <v>0.50312500000000004</v>
      </c>
      <c r="M378" s="184"/>
      <c r="N378" s="184">
        <f t="shared" si="66"/>
        <v>0.25</v>
      </c>
      <c r="O378" s="184">
        <f t="shared" si="61"/>
        <v>0.25</v>
      </c>
      <c r="P378" s="88" t="s">
        <v>313</v>
      </c>
      <c r="Q378" s="91">
        <f t="shared" si="62"/>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x14ac:dyDescent="0.4">
      <c r="A379" s="30" t="str">
        <f t="shared" si="63"/>
        <v>modesg_out_bens_imoveisorigem_flg_rsc_fsc_agd</v>
      </c>
      <c r="B379" s="68" t="s">
        <v>26</v>
      </c>
      <c r="C379" s="69" t="s">
        <v>311</v>
      </c>
      <c r="D379" s="65" t="s">
        <v>40</v>
      </c>
      <c r="E379" s="67" t="s">
        <v>312</v>
      </c>
      <c r="F379" s="65" t="s">
        <v>318</v>
      </c>
      <c r="G379" s="65" t="str">
        <f>INDEX(Auxiliar!$B$16:$B$24,MATCH(Plano_V3!H379,Auxiliar!$C$16:$C$24,0),1)</f>
        <v>6. Em implementação (re-especificação)</v>
      </c>
      <c r="H379" s="65">
        <f>VLOOKUP(A379,'Aux - pivots1'!$A:$B,2,0)</f>
        <v>7</v>
      </c>
      <c r="I379" s="190">
        <f>SUMIFS(Table1[Estimação (horas)],Table1[Tabela],Plano_V3!E379,Table1[Campo],Plano_V3!F379)</f>
        <v>4.0999999999999996</v>
      </c>
      <c r="J379" s="190">
        <f t="shared" si="64"/>
        <v>0.51249999999999996</v>
      </c>
      <c r="K379" s="190">
        <f>SUMIFS(Table1[Horas efetivas],Table1[Tabela],Plano_V3!E379,Table1[Campo],Plano_V3!F379)</f>
        <v>1.0249999999999999</v>
      </c>
      <c r="L379" s="190">
        <f t="shared" si="65"/>
        <v>0.12812499999999999</v>
      </c>
      <c r="M379" s="184"/>
      <c r="N379" s="184">
        <f t="shared" si="66"/>
        <v>0.25</v>
      </c>
      <c r="O379" s="184">
        <f t="shared" si="61"/>
        <v>0.25</v>
      </c>
      <c r="P379" s="88" t="s">
        <v>313</v>
      </c>
      <c r="Q379" s="91">
        <f t="shared" si="62"/>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x14ac:dyDescent="0.4">
      <c r="A380" s="30" t="str">
        <f t="shared" si="63"/>
        <v>modesg_out_bens_imoveisorigem_flg_rsc_fsc_crnc</v>
      </c>
      <c r="B380" s="68" t="s">
        <v>26</v>
      </c>
      <c r="C380" s="69" t="s">
        <v>311</v>
      </c>
      <c r="D380" s="65" t="s">
        <v>40</v>
      </c>
      <c r="E380" s="67" t="s">
        <v>312</v>
      </c>
      <c r="F380" s="65" t="s">
        <v>319</v>
      </c>
      <c r="G380" s="65" t="str">
        <f>INDEX(Auxiliar!$B$16:$B$24,MATCH(Plano_V3!H380,Auxiliar!$C$16:$C$24,0),1)</f>
        <v>6. Em implementação (re-especificação)</v>
      </c>
      <c r="H380" s="65">
        <f>VLOOKUP(A380,'Aux - pivots1'!$A:$B,2,0)</f>
        <v>7</v>
      </c>
      <c r="I380" s="190">
        <f>SUMIFS(Table1[Estimação (horas)],Table1[Tabela],Plano_V3!E380,Table1[Campo],Plano_V3!F380)</f>
        <v>4.0999999999999996</v>
      </c>
      <c r="J380" s="190">
        <f t="shared" si="64"/>
        <v>0.51249999999999996</v>
      </c>
      <c r="K380" s="190">
        <f>SUMIFS(Table1[Horas efetivas],Table1[Tabela],Plano_V3!E380,Table1[Campo],Plano_V3!F380)</f>
        <v>1.0249999999999999</v>
      </c>
      <c r="L380" s="190">
        <f t="shared" si="65"/>
        <v>0.12812499999999999</v>
      </c>
      <c r="M380" s="184"/>
      <c r="N380" s="184">
        <f t="shared" si="66"/>
        <v>0.25</v>
      </c>
      <c r="O380" s="184">
        <f t="shared" si="61"/>
        <v>0.25</v>
      </c>
      <c r="P380" s="88" t="s">
        <v>313</v>
      </c>
      <c r="Q380" s="91">
        <f t="shared" si="62"/>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x14ac:dyDescent="0.4">
      <c r="A381" s="30" t="str">
        <f t="shared" si="63"/>
        <v>modesg_out_bens_imoveisorigem_scp1_emss</v>
      </c>
      <c r="B381" s="68" t="s">
        <v>26</v>
      </c>
      <c r="C381" s="69" t="s">
        <v>311</v>
      </c>
      <c r="D381" s="65" t="s">
        <v>40</v>
      </c>
      <c r="E381" s="67" t="s">
        <v>312</v>
      </c>
      <c r="F381" s="65" t="s">
        <v>320</v>
      </c>
      <c r="G381" s="65" t="str">
        <f>INDEX(Auxiliar!$B$16:$B$24,MATCH(Plano_V3!H381,Auxiliar!$C$16:$C$24,0),1)</f>
        <v>1. Concluído</v>
      </c>
      <c r="H381" s="65">
        <f>VLOOKUP(A381,'Aux - pivots1'!$A:$B,2,0)</f>
        <v>1</v>
      </c>
      <c r="I381" s="190">
        <f>SUMIFS(Table1[Estimação (horas)],Table1[Tabela],Plano_V3!E381,Table1[Campo],Plano_V3!F381)</f>
        <v>4.0999999999999996</v>
      </c>
      <c r="J381" s="190">
        <f t="shared" si="64"/>
        <v>0.51249999999999996</v>
      </c>
      <c r="K381" s="190">
        <f>SUMIFS(Table1[Horas efetivas],Table1[Tabela],Plano_V3!E381,Table1[Campo],Plano_V3!F381)</f>
        <v>4.0999999999999996</v>
      </c>
      <c r="L381" s="190">
        <f t="shared" si="65"/>
        <v>0.51249999999999996</v>
      </c>
      <c r="M381" s="184"/>
      <c r="N381" s="184">
        <f t="shared" si="66"/>
        <v>1</v>
      </c>
      <c r="O381" s="184">
        <f t="shared" si="61"/>
        <v>1</v>
      </c>
      <c r="P381" s="88" t="s">
        <v>313</v>
      </c>
      <c r="Q381" s="91">
        <f t="shared" si="62"/>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x14ac:dyDescent="0.4">
      <c r="A382" s="30" t="str">
        <f t="shared" si="63"/>
        <v>modesg_out_bens_imoveisorigem_scp2_emss</v>
      </c>
      <c r="B382" s="68" t="s">
        <v>26</v>
      </c>
      <c r="C382" s="69" t="s">
        <v>311</v>
      </c>
      <c r="D382" s="65" t="s">
        <v>40</v>
      </c>
      <c r="E382" s="67" t="s">
        <v>312</v>
      </c>
      <c r="F382" s="65" t="s">
        <v>321</v>
      </c>
      <c r="G382" s="65" t="str">
        <f>INDEX(Auxiliar!$B$16:$B$24,MATCH(Plano_V3!H382,Auxiliar!$C$16:$C$24,0),1)</f>
        <v>1. Concluído</v>
      </c>
      <c r="H382" s="65">
        <f>VLOOKUP(A382,'Aux - pivots1'!$A:$B,2,0)</f>
        <v>1</v>
      </c>
      <c r="I382" s="190">
        <f>SUMIFS(Table1[Estimação (horas)],Table1[Tabela],Plano_V3!E382,Table1[Campo],Plano_V3!F382)</f>
        <v>4.0999999999999996</v>
      </c>
      <c r="J382" s="190">
        <f t="shared" si="64"/>
        <v>0.51249999999999996</v>
      </c>
      <c r="K382" s="190">
        <f>SUMIFS(Table1[Horas efetivas],Table1[Tabela],Plano_V3!E382,Table1[Campo],Plano_V3!F382)</f>
        <v>4.0999999999999996</v>
      </c>
      <c r="L382" s="190">
        <f t="shared" si="65"/>
        <v>0.51249999999999996</v>
      </c>
      <c r="M382" s="184"/>
      <c r="N382" s="184">
        <f t="shared" si="66"/>
        <v>1</v>
      </c>
      <c r="O382" s="184">
        <f t="shared" si="61"/>
        <v>1</v>
      </c>
      <c r="P382" s="88" t="s">
        <v>313</v>
      </c>
      <c r="Q382" s="91">
        <f t="shared" si="62"/>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x14ac:dyDescent="0.4">
      <c r="A383" s="30" t="str">
        <f t="shared" si="63"/>
        <v>modesg_out_bens_imoveisorigem_scp3_emss</v>
      </c>
      <c r="B383" s="68" t="s">
        <v>26</v>
      </c>
      <c r="C383" s="69" t="s">
        <v>311</v>
      </c>
      <c r="D383" s="65" t="s">
        <v>40</v>
      </c>
      <c r="E383" s="67" t="s">
        <v>312</v>
      </c>
      <c r="F383" s="65" t="s">
        <v>322</v>
      </c>
      <c r="G383" s="65" t="str">
        <f>INDEX(Auxiliar!$B$16:$B$24,MATCH(Plano_V3!H383,Auxiliar!$C$16:$C$24,0),1)</f>
        <v>1. Concluído</v>
      </c>
      <c r="H383" s="65">
        <f>VLOOKUP(A383,'Aux - pivots1'!$A:$B,2,0)</f>
        <v>1</v>
      </c>
      <c r="I383" s="190">
        <f>SUMIFS(Table1[Estimação (horas)],Table1[Tabela],Plano_V3!E383,Table1[Campo],Plano_V3!F383)</f>
        <v>4.0999999999999996</v>
      </c>
      <c r="J383" s="190">
        <f t="shared" si="64"/>
        <v>0.51249999999999996</v>
      </c>
      <c r="K383" s="190">
        <f>SUMIFS(Table1[Horas efetivas],Table1[Tabela],Plano_V3!E383,Table1[Campo],Plano_V3!F383)</f>
        <v>4.0999999999999996</v>
      </c>
      <c r="L383" s="190">
        <f t="shared" si="65"/>
        <v>0.51249999999999996</v>
      </c>
      <c r="M383" s="184"/>
      <c r="N383" s="184">
        <f t="shared" si="66"/>
        <v>1</v>
      </c>
      <c r="O383" s="184">
        <f t="shared" si="61"/>
        <v>1</v>
      </c>
      <c r="P383" s="88" t="s">
        <v>313</v>
      </c>
      <c r="Q383" s="91">
        <f t="shared" si="62"/>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x14ac:dyDescent="0.4">
      <c r="A384" s="30" t="str">
        <f t="shared" si="63"/>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90">
        <f>SUMIFS(Table1[Estimação (horas)],Table1[Tabela],Plano_V3!E384,Table1[Campo],Plano_V3!F384)</f>
        <v>4.0999999999999996</v>
      </c>
      <c r="J384" s="190">
        <f t="shared" si="64"/>
        <v>0.51249999999999996</v>
      </c>
      <c r="K384" s="190">
        <f>SUMIFS(Table1[Horas efetivas],Table1[Tabela],Plano_V3!E384,Table1[Campo],Plano_V3!F384)</f>
        <v>4.0999999999999996</v>
      </c>
      <c r="L384" s="190">
        <f t="shared" si="65"/>
        <v>0.51249999999999996</v>
      </c>
      <c r="M384" s="184"/>
      <c r="N384" s="184">
        <f t="shared" si="66"/>
        <v>1</v>
      </c>
      <c r="O384" s="184">
        <f t="shared" si="61"/>
        <v>1</v>
      </c>
      <c r="P384" s="88" t="s">
        <v>313</v>
      </c>
      <c r="Q384" s="91">
        <f t="shared" si="62"/>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x14ac:dyDescent="0.4">
      <c r="A385" s="30" t="str">
        <f t="shared" si="63"/>
        <v>modesg_out_bens_imoveisscp1_emss</v>
      </c>
      <c r="B385" s="68" t="s">
        <v>26</v>
      </c>
      <c r="C385" s="69" t="s">
        <v>311</v>
      </c>
      <c r="D385" s="65" t="s">
        <v>40</v>
      </c>
      <c r="E385" s="67" t="s">
        <v>312</v>
      </c>
      <c r="F385" s="65" t="s">
        <v>286</v>
      </c>
      <c r="G385" s="65" t="str">
        <f>INDEX(Auxiliar!$B$16:$B$24,MATCH(Plano_V3!H385,Auxiliar!$C$16:$C$24,0),1)</f>
        <v>1. Concluído</v>
      </c>
      <c r="H385" s="65">
        <f>VLOOKUP(A385,'Aux - pivots1'!$A:$B,2,0)</f>
        <v>1</v>
      </c>
      <c r="I385" s="190">
        <f>SUMIFS(Table1[Estimação (horas)],Table1[Tabela],Plano_V3!E385,Table1[Campo],Plano_V3!F385)</f>
        <v>8.1</v>
      </c>
      <c r="J385" s="190">
        <f t="shared" si="64"/>
        <v>1.0125</v>
      </c>
      <c r="K385" s="190">
        <f>SUMIFS(Table1[Horas efetivas],Table1[Tabela],Plano_V3!E385,Table1[Campo],Plano_V3!F385)</f>
        <v>8.1</v>
      </c>
      <c r="L385" s="190">
        <f t="shared" si="65"/>
        <v>1.0125</v>
      </c>
      <c r="M385" s="184"/>
      <c r="N385" s="184">
        <f t="shared" si="66"/>
        <v>1</v>
      </c>
      <c r="O385" s="184">
        <f t="shared" si="61"/>
        <v>1</v>
      </c>
      <c r="P385" s="88" t="s">
        <v>313</v>
      </c>
      <c r="Q385" s="91">
        <f t="shared" si="62"/>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x14ac:dyDescent="0.4">
      <c r="A386" s="30" t="str">
        <f t="shared" si="63"/>
        <v>modesg_out_bens_imoveisscp2_emss</v>
      </c>
      <c r="B386" s="68" t="s">
        <v>26</v>
      </c>
      <c r="C386" s="69" t="s">
        <v>311</v>
      </c>
      <c r="D386" s="65" t="s">
        <v>40</v>
      </c>
      <c r="E386" s="67" t="s">
        <v>312</v>
      </c>
      <c r="F386" s="65" t="s">
        <v>287</v>
      </c>
      <c r="G386" s="65" t="str">
        <f>INDEX(Auxiliar!$B$16:$B$24,MATCH(Plano_V3!H386,Auxiliar!$C$16:$C$24,0),1)</f>
        <v>1. Concluído</v>
      </c>
      <c r="H386" s="65">
        <f>VLOOKUP(A386,'Aux - pivots1'!$A:$B,2,0)</f>
        <v>1</v>
      </c>
      <c r="I386" s="190">
        <f>SUMIFS(Table1[Estimação (horas)],Table1[Tabela],Plano_V3!E386,Table1[Campo],Plano_V3!F386)</f>
        <v>8.1</v>
      </c>
      <c r="J386" s="190">
        <f t="shared" si="64"/>
        <v>1.0125</v>
      </c>
      <c r="K386" s="190">
        <f>SUMIFS(Table1[Horas efetivas],Table1[Tabela],Plano_V3!E386,Table1[Campo],Plano_V3!F386)</f>
        <v>8.1</v>
      </c>
      <c r="L386" s="190">
        <f t="shared" si="65"/>
        <v>1.0125</v>
      </c>
      <c r="M386" s="184"/>
      <c r="N386" s="184">
        <f t="shared" si="66"/>
        <v>1</v>
      </c>
      <c r="O386" s="184">
        <f t="shared" si="61"/>
        <v>1</v>
      </c>
      <c r="P386" s="88" t="s">
        <v>313</v>
      </c>
      <c r="Q386" s="91">
        <f t="shared" si="62"/>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x14ac:dyDescent="0.4">
      <c r="A387" s="30" t="str">
        <f t="shared" si="63"/>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90">
        <f>SUMIFS(Table1[Estimação (horas)],Table1[Tabela],Plano_V3!E387,Table1[Campo],Plano_V3!F387)</f>
        <v>4.0999999999999996</v>
      </c>
      <c r="J387" s="190">
        <f t="shared" si="64"/>
        <v>0.51249999999999996</v>
      </c>
      <c r="K387" s="190">
        <f>SUMIFS(Table1[Horas efetivas],Table1[Tabela],Plano_V3!E387,Table1[Campo],Plano_V3!F387)</f>
        <v>4.0999999999999996</v>
      </c>
      <c r="L387" s="190">
        <f t="shared" si="65"/>
        <v>0.51249999999999996</v>
      </c>
      <c r="M387" s="184"/>
      <c r="N387" s="184">
        <f t="shared" si="66"/>
        <v>1</v>
      </c>
      <c r="O387" s="184">
        <f t="shared" si="61"/>
        <v>1</v>
      </c>
      <c r="P387" s="88" t="s">
        <v>313</v>
      </c>
      <c r="Q387" s="91">
        <f t="shared" si="62"/>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x14ac:dyDescent="0.4">
      <c r="A388" s="30" t="str">
        <f t="shared" si="63"/>
        <v>modesg_out_bens_imoveisunidade_funcional_scp1_emss</v>
      </c>
      <c r="B388" s="68" t="s">
        <v>26</v>
      </c>
      <c r="C388" s="69" t="s">
        <v>311</v>
      </c>
      <c r="D388" s="65" t="s">
        <v>40</v>
      </c>
      <c r="E388" s="67" t="s">
        <v>312</v>
      </c>
      <c r="F388" s="65" t="s">
        <v>323</v>
      </c>
      <c r="G388" s="65" t="str">
        <f>INDEX(Auxiliar!$B$16:$B$24,MATCH(Plano_V3!H388,Auxiliar!$C$16:$C$24,0),1)</f>
        <v>1. Concluído</v>
      </c>
      <c r="H388" s="65">
        <f>VLOOKUP(A388,'Aux - pivots1'!$A:$B,2,0)</f>
        <v>1</v>
      </c>
      <c r="I388" s="190">
        <f>SUMIFS(Table1[Estimação (horas)],Table1[Tabela],Plano_V3!E388,Table1[Campo],Plano_V3!F388)</f>
        <v>4.0999999999999996</v>
      </c>
      <c r="J388" s="190">
        <f t="shared" si="64"/>
        <v>0.51249999999999996</v>
      </c>
      <c r="K388" s="190">
        <f>SUMIFS(Table1[Horas efetivas],Table1[Tabela],Plano_V3!E388,Table1[Campo],Plano_V3!F388)</f>
        <v>4.0999999999999996</v>
      </c>
      <c r="L388" s="190">
        <f t="shared" si="65"/>
        <v>0.51249999999999996</v>
      </c>
      <c r="M388" s="184"/>
      <c r="N388" s="184">
        <f t="shared" si="66"/>
        <v>1</v>
      </c>
      <c r="O388" s="184">
        <f t="shared" si="61"/>
        <v>1</v>
      </c>
      <c r="P388" s="88" t="s">
        <v>313</v>
      </c>
      <c r="Q388" s="91">
        <f t="shared" si="62"/>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x14ac:dyDescent="0.4">
      <c r="A389" s="30" t="str">
        <f t="shared" si="63"/>
        <v>modesg_out_bens_imoveisunidade_funcional_scp2_emss</v>
      </c>
      <c r="B389" s="68" t="s">
        <v>26</v>
      </c>
      <c r="C389" s="69" t="s">
        <v>311</v>
      </c>
      <c r="D389" s="65" t="s">
        <v>40</v>
      </c>
      <c r="E389" s="67" t="s">
        <v>312</v>
      </c>
      <c r="F389" s="65" t="s">
        <v>324</v>
      </c>
      <c r="G389" s="65" t="str">
        <f>INDEX(Auxiliar!$B$16:$B$24,MATCH(Plano_V3!H389,Auxiliar!$C$16:$C$24,0),1)</f>
        <v>1. Concluído</v>
      </c>
      <c r="H389" s="65">
        <f>VLOOKUP(A389,'Aux - pivots1'!$A:$B,2,0)</f>
        <v>1</v>
      </c>
      <c r="I389" s="190">
        <f>SUMIFS(Table1[Estimação (horas)],Table1[Tabela],Plano_V3!E389,Table1[Campo],Plano_V3!F389)</f>
        <v>4.0999999999999996</v>
      </c>
      <c r="J389" s="190">
        <f t="shared" si="64"/>
        <v>0.51249999999999996</v>
      </c>
      <c r="K389" s="190">
        <f>SUMIFS(Table1[Horas efetivas],Table1[Tabela],Plano_V3!E389,Table1[Campo],Plano_V3!F389)</f>
        <v>4.0999999999999996</v>
      </c>
      <c r="L389" s="190">
        <f t="shared" si="65"/>
        <v>0.51249999999999996</v>
      </c>
      <c r="M389" s="184"/>
      <c r="N389" s="184">
        <f t="shared" si="66"/>
        <v>1</v>
      </c>
      <c r="O389" s="184">
        <f t="shared" si="61"/>
        <v>1</v>
      </c>
      <c r="P389" s="88" t="s">
        <v>313</v>
      </c>
      <c r="Q389" s="91">
        <f t="shared" si="62"/>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x14ac:dyDescent="0.4">
      <c r="A390" s="30" t="str">
        <f t="shared" si="63"/>
        <v>modesg_out_bens_imoveisunidade_funcional_scp3_emss</v>
      </c>
      <c r="B390" s="68" t="s">
        <v>26</v>
      </c>
      <c r="C390" s="69" t="s">
        <v>311</v>
      </c>
      <c r="D390" s="65" t="s">
        <v>40</v>
      </c>
      <c r="E390" s="67" t="s">
        <v>312</v>
      </c>
      <c r="F390" s="65" t="s">
        <v>325</v>
      </c>
      <c r="G390" s="65" t="str">
        <f>INDEX(Auxiliar!$B$16:$B$24,MATCH(Plano_V3!H390,Auxiliar!$C$16:$C$24,0),1)</f>
        <v>1. Concluído</v>
      </c>
      <c r="H390" s="65">
        <f>VLOOKUP(A390,'Aux - pivots1'!$A:$B,2,0)</f>
        <v>1</v>
      </c>
      <c r="I390" s="190">
        <f>SUMIFS(Table1[Estimação (horas)],Table1[Tabela],Plano_V3!E390,Table1[Campo],Plano_V3!F390)</f>
        <v>4.0999999999999996</v>
      </c>
      <c r="J390" s="190">
        <f t="shared" si="64"/>
        <v>0.51249999999999996</v>
      </c>
      <c r="K390" s="190">
        <f>SUMIFS(Table1[Horas efetivas],Table1[Tabela],Plano_V3!E390,Table1[Campo],Plano_V3!F390)</f>
        <v>4.0999999999999996</v>
      </c>
      <c r="L390" s="190">
        <f t="shared" si="65"/>
        <v>0.51249999999999996</v>
      </c>
      <c r="M390" s="184"/>
      <c r="N390" s="184">
        <f t="shared" si="66"/>
        <v>1</v>
      </c>
      <c r="O390" s="184">
        <f t="shared" si="61"/>
        <v>1</v>
      </c>
      <c r="P390" s="88" t="s">
        <v>313</v>
      </c>
      <c r="Q390" s="91">
        <f t="shared" si="62"/>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x14ac:dyDescent="0.4">
      <c r="A391" s="30" t="str">
        <f t="shared" si="63"/>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90">
        <f>SUMIFS(Table1[Estimação (horas)],Table1[Tabela],Plano_V3!E391,Table1[Campo],Plano_V3!F391)</f>
        <v>8</v>
      </c>
      <c r="J391" s="190">
        <f t="shared" si="64"/>
        <v>1</v>
      </c>
      <c r="K391" s="190">
        <f>SUMIFS(Table1[Horas efetivas],Table1[Tabela],Plano_V3!E391,Table1[Campo],Plano_V3!F391)</f>
        <v>8</v>
      </c>
      <c r="L391" s="190">
        <f t="shared" si="65"/>
        <v>1</v>
      </c>
      <c r="M391" s="184"/>
      <c r="N391" s="184">
        <f t="shared" si="66"/>
        <v>1</v>
      </c>
      <c r="O391" s="184">
        <f t="shared" si="61"/>
        <v>1</v>
      </c>
      <c r="P391" s="88" t="s">
        <v>327</v>
      </c>
      <c r="Q391" s="91">
        <f t="shared" si="62"/>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x14ac:dyDescent="0.4">
      <c r="A392" s="30" t="str">
        <f t="shared" si="63"/>
        <v>modesg_out_empr_info_nfincca_capex_enblng_algnd</v>
      </c>
      <c r="B392" s="68" t="s">
        <v>26</v>
      </c>
      <c r="C392" s="69" t="s">
        <v>311</v>
      </c>
      <c r="D392" s="65" t="s">
        <v>40</v>
      </c>
      <c r="E392" s="67" t="s">
        <v>326</v>
      </c>
      <c r="F392" s="65" t="s">
        <v>250</v>
      </c>
      <c r="G392" s="65" t="str">
        <f>INDEX(Auxiliar!$B$16:$B$24,MATCH(Plano_V3!H392,Auxiliar!$C$16:$C$24,0),1)</f>
        <v>2.1 Em Teste</v>
      </c>
      <c r="H392" s="65">
        <f>VLOOKUP(A392,'Aux - pivots1'!$A:$B,2,0)</f>
        <v>2</v>
      </c>
      <c r="I392" s="190">
        <f>SUMIFS(Table1[Estimação (horas)],Table1[Tabela],Plano_V3!E392,Table1[Campo],Plano_V3!F392)</f>
        <v>16.100000000000001</v>
      </c>
      <c r="J392" s="190">
        <f t="shared" si="64"/>
        <v>2.0125000000000002</v>
      </c>
      <c r="K392" s="190">
        <f>SUMIFS(Table1[Horas efetivas],Table1[Tabela],Plano_V3!E392,Table1[Campo],Plano_V3!F392)</f>
        <v>8.0500000000000007</v>
      </c>
      <c r="L392" s="190">
        <f t="shared" si="65"/>
        <v>1.0062500000000001</v>
      </c>
      <c r="M392" s="184"/>
      <c r="N392" s="184">
        <f t="shared" si="66"/>
        <v>0.5</v>
      </c>
      <c r="O392" s="184">
        <f t="shared" si="61"/>
        <v>0.5</v>
      </c>
      <c r="P392" s="88" t="s">
        <v>327</v>
      </c>
      <c r="Q392" s="91">
        <f t="shared" si="62"/>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x14ac:dyDescent="0.4">
      <c r="A393" s="30" t="str">
        <f t="shared" si="63"/>
        <v>modesg_out_empr_info_nfincca_capex_own_prfrmnce_algnd</v>
      </c>
      <c r="B393" s="68" t="s">
        <v>26</v>
      </c>
      <c r="C393" s="69" t="s">
        <v>311</v>
      </c>
      <c r="D393" s="65" t="s">
        <v>40</v>
      </c>
      <c r="E393" s="67" t="s">
        <v>326</v>
      </c>
      <c r="F393" s="65" t="s">
        <v>251</v>
      </c>
      <c r="G393" s="65" t="str">
        <f>INDEX(Auxiliar!$B$16:$B$24,MATCH(Plano_V3!H393,Auxiliar!$C$16:$C$24,0),1)</f>
        <v>2.1 Em Teste</v>
      </c>
      <c r="H393" s="65">
        <f>VLOOKUP(A393,'Aux - pivots1'!$A:$B,2,0)</f>
        <v>2</v>
      </c>
      <c r="I393" s="190">
        <f>SUMIFS(Table1[Estimação (horas)],Table1[Tabela],Plano_V3!E393,Table1[Campo],Plano_V3!F393)</f>
        <v>16.100000000000001</v>
      </c>
      <c r="J393" s="190">
        <f t="shared" si="64"/>
        <v>2.0125000000000002</v>
      </c>
      <c r="K393" s="190">
        <f>SUMIFS(Table1[Horas efetivas],Table1[Tabela],Plano_V3!E393,Table1[Campo],Plano_V3!F393)</f>
        <v>8.0500000000000007</v>
      </c>
      <c r="L393" s="190">
        <f t="shared" si="65"/>
        <v>1.0062500000000001</v>
      </c>
      <c r="M393" s="184"/>
      <c r="N393" s="184">
        <f t="shared" si="66"/>
        <v>0.5</v>
      </c>
      <c r="O393" s="184">
        <f t="shared" si="61"/>
        <v>0.5</v>
      </c>
      <c r="P393" s="88" t="s">
        <v>327</v>
      </c>
      <c r="Q393" s="91">
        <f t="shared" si="62"/>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x14ac:dyDescent="0.4">
      <c r="A394" s="30" t="str">
        <f t="shared" si="63"/>
        <v>modesg_out_empr_info_nfincca_capex_ttl_elgbl</v>
      </c>
      <c r="B394" s="68" t="s">
        <v>26</v>
      </c>
      <c r="C394" s="69" t="s">
        <v>311</v>
      </c>
      <c r="D394" s="65" t="s">
        <v>40</v>
      </c>
      <c r="E394" s="67" t="s">
        <v>326</v>
      </c>
      <c r="F394" s="65" t="s">
        <v>249</v>
      </c>
      <c r="G394" s="65" t="str">
        <f>INDEX(Auxiliar!$B$16:$B$24,MATCH(Plano_V3!H394,Auxiliar!$C$16:$C$24,0),1)</f>
        <v>2.1 Em Teste</v>
      </c>
      <c r="H394" s="65">
        <f>VLOOKUP(A394,'Aux - pivots1'!$A:$B,2,0)</f>
        <v>2</v>
      </c>
      <c r="I394" s="190">
        <f>SUMIFS(Table1[Estimação (horas)],Table1[Tabela],Plano_V3!E394,Table1[Campo],Plano_V3!F394)</f>
        <v>16.100000000000001</v>
      </c>
      <c r="J394" s="190">
        <f t="shared" si="64"/>
        <v>2.0125000000000002</v>
      </c>
      <c r="K394" s="190">
        <f>SUMIFS(Table1[Horas efetivas],Table1[Tabela],Plano_V3!E394,Table1[Campo],Plano_V3!F394)</f>
        <v>8.0500000000000007</v>
      </c>
      <c r="L394" s="190">
        <f t="shared" si="65"/>
        <v>1.0062500000000001</v>
      </c>
      <c r="M394" s="184"/>
      <c r="N394" s="184">
        <f t="shared" si="66"/>
        <v>0.5</v>
      </c>
      <c r="O394" s="184">
        <f t="shared" si="61"/>
        <v>0.5</v>
      </c>
      <c r="P394" s="88" t="s">
        <v>327</v>
      </c>
      <c r="Q394" s="91">
        <f t="shared" si="62"/>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x14ac:dyDescent="0.4">
      <c r="A395" s="30" t="str">
        <f t="shared" si="63"/>
        <v>modesg_out_empr_info_nfincca_trnvr_enblng_alignd</v>
      </c>
      <c r="B395" s="68" t="s">
        <v>26</v>
      </c>
      <c r="C395" s="69" t="s">
        <v>311</v>
      </c>
      <c r="D395" s="65" t="s">
        <v>40</v>
      </c>
      <c r="E395" s="67" t="s">
        <v>326</v>
      </c>
      <c r="F395" s="65" t="s">
        <v>247</v>
      </c>
      <c r="G395" s="65" t="str">
        <f>INDEX(Auxiliar!$B$16:$B$24,MATCH(Plano_V3!H395,Auxiliar!$C$16:$C$24,0),1)</f>
        <v>2.1 Em Teste</v>
      </c>
      <c r="H395" s="65">
        <f>VLOOKUP(A395,'Aux - pivots1'!$A:$B,2,0)</f>
        <v>2</v>
      </c>
      <c r="I395" s="190">
        <f>SUMIFS(Table1[Estimação (horas)],Table1[Tabela],Plano_V3!E395,Table1[Campo],Plano_V3!F395)</f>
        <v>16.100000000000001</v>
      </c>
      <c r="J395" s="190">
        <f t="shared" si="64"/>
        <v>2.0125000000000002</v>
      </c>
      <c r="K395" s="190">
        <f>SUMIFS(Table1[Horas efetivas],Table1[Tabela],Plano_V3!E395,Table1[Campo],Plano_V3!F395)</f>
        <v>8.0500000000000007</v>
      </c>
      <c r="L395" s="190">
        <f t="shared" si="65"/>
        <v>1.0062500000000001</v>
      </c>
      <c r="M395" s="184"/>
      <c r="N395" s="184">
        <f t="shared" si="66"/>
        <v>0.5</v>
      </c>
      <c r="O395" s="184">
        <f t="shared" si="61"/>
        <v>0.5</v>
      </c>
      <c r="P395" s="88" t="s">
        <v>327</v>
      </c>
      <c r="Q395" s="91">
        <f t="shared" si="62"/>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x14ac:dyDescent="0.4">
      <c r="A396" s="30" t="str">
        <f t="shared" si="63"/>
        <v>modesg_out_empr_info_nfincca_trnvr_ttl_elgbl</v>
      </c>
      <c r="B396" s="68" t="s">
        <v>26</v>
      </c>
      <c r="C396" s="69" t="s">
        <v>311</v>
      </c>
      <c r="D396" s="65" t="s">
        <v>40</v>
      </c>
      <c r="E396" s="67" t="s">
        <v>326</v>
      </c>
      <c r="F396" s="65" t="s">
        <v>246</v>
      </c>
      <c r="G396" s="65" t="str">
        <f>INDEX(Auxiliar!$B$16:$B$24,MATCH(Plano_V3!H396,Auxiliar!$C$16:$C$24,0),1)</f>
        <v>2.1 Em Teste</v>
      </c>
      <c r="H396" s="65">
        <f>VLOOKUP(A396,'Aux - pivots1'!$A:$B,2,0)</f>
        <v>2</v>
      </c>
      <c r="I396" s="190">
        <f>SUMIFS(Table1[Estimação (horas)],Table1[Tabela],Plano_V3!E396,Table1[Campo],Plano_V3!F396)</f>
        <v>16.100000000000001</v>
      </c>
      <c r="J396" s="190">
        <f t="shared" si="64"/>
        <v>2.0125000000000002</v>
      </c>
      <c r="K396" s="190">
        <f>SUMIFS(Table1[Horas efetivas],Table1[Tabela],Plano_V3!E396,Table1[Campo],Plano_V3!F396)</f>
        <v>8.0500000000000007</v>
      </c>
      <c r="L396" s="190">
        <f t="shared" si="65"/>
        <v>1.0062500000000001</v>
      </c>
      <c r="M396" s="184"/>
      <c r="N396" s="184">
        <f t="shared" si="66"/>
        <v>0.5</v>
      </c>
      <c r="O396" s="184">
        <f t="shared" si="61"/>
        <v>0.5</v>
      </c>
      <c r="P396" s="88" t="s">
        <v>327</v>
      </c>
      <c r="Q396" s="91">
        <f t="shared" si="62"/>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x14ac:dyDescent="0.4">
      <c r="A397" s="30" t="str">
        <f t="shared" si="63"/>
        <v>modesg_out_empr_info_nfincca_turnover_own_prfrmnce_algnd</v>
      </c>
      <c r="B397" s="68" t="s">
        <v>26</v>
      </c>
      <c r="C397" s="69" t="s">
        <v>311</v>
      </c>
      <c r="D397" s="65" t="s">
        <v>40</v>
      </c>
      <c r="E397" s="67" t="s">
        <v>326</v>
      </c>
      <c r="F397" s="65" t="s">
        <v>248</v>
      </c>
      <c r="G397" s="65" t="str">
        <f>INDEX(Auxiliar!$B$16:$B$24,MATCH(Plano_V3!H397,Auxiliar!$C$16:$C$24,0),1)</f>
        <v>2.1 Em Teste</v>
      </c>
      <c r="H397" s="65">
        <f>VLOOKUP(A397,'Aux - pivots1'!$A:$B,2,0)</f>
        <v>2</v>
      </c>
      <c r="I397" s="190">
        <f>SUMIFS(Table1[Estimação (horas)],Table1[Tabela],Plano_V3!E397,Table1[Campo],Plano_V3!F397)</f>
        <v>16.100000000000001</v>
      </c>
      <c r="J397" s="190">
        <f t="shared" si="64"/>
        <v>2.0125000000000002</v>
      </c>
      <c r="K397" s="190">
        <f>SUMIFS(Table1[Horas efetivas],Table1[Tabela],Plano_V3!E397,Table1[Campo],Plano_V3!F397)</f>
        <v>8.0500000000000007</v>
      </c>
      <c r="L397" s="190">
        <f t="shared" si="65"/>
        <v>1.0062500000000001</v>
      </c>
      <c r="M397" s="184"/>
      <c r="N397" s="184">
        <f t="shared" si="66"/>
        <v>0.5</v>
      </c>
      <c r="O397" s="184">
        <f t="shared" si="61"/>
        <v>0.5</v>
      </c>
      <c r="P397" s="88" t="s">
        <v>327</v>
      </c>
      <c r="Q397" s="91">
        <f t="shared" si="62"/>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x14ac:dyDescent="0.4">
      <c r="A398" s="30" t="str">
        <f t="shared" si="63"/>
        <v>modesg_out_empr_info_nfinccm_capex_enblng_algnd</v>
      </c>
      <c r="B398" s="68" t="s">
        <v>26</v>
      </c>
      <c r="C398" s="69" t="s">
        <v>311</v>
      </c>
      <c r="D398" s="65" t="s">
        <v>40</v>
      </c>
      <c r="E398" s="67" t="s">
        <v>326</v>
      </c>
      <c r="F398" s="65" t="s">
        <v>257</v>
      </c>
      <c r="G398" s="65" t="str">
        <f>INDEX(Auxiliar!$B$16:$B$24,MATCH(Plano_V3!H398,Auxiliar!$C$16:$C$24,0),1)</f>
        <v>2.1 Em Teste</v>
      </c>
      <c r="H398" s="65">
        <f>VLOOKUP(A398,'Aux - pivots1'!$A:$B,2,0)</f>
        <v>2</v>
      </c>
      <c r="I398" s="190">
        <f>SUMIFS(Table1[Estimação (horas)],Table1[Tabela],Plano_V3!E398,Table1[Campo],Plano_V3!F398)</f>
        <v>16.100000000000001</v>
      </c>
      <c r="J398" s="190">
        <f t="shared" si="64"/>
        <v>2.0125000000000002</v>
      </c>
      <c r="K398" s="190">
        <f>SUMIFS(Table1[Horas efetivas],Table1[Tabela],Plano_V3!E398,Table1[Campo],Plano_V3!F398)</f>
        <v>8.0500000000000007</v>
      </c>
      <c r="L398" s="190">
        <f t="shared" si="65"/>
        <v>1.0062500000000001</v>
      </c>
      <c r="M398" s="184"/>
      <c r="N398" s="184">
        <f t="shared" si="66"/>
        <v>0.5</v>
      </c>
      <c r="O398" s="184">
        <f t="shared" si="61"/>
        <v>0.5</v>
      </c>
      <c r="P398" s="88" t="s">
        <v>327</v>
      </c>
      <c r="Q398" s="91">
        <f t="shared" si="62"/>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x14ac:dyDescent="0.4">
      <c r="A399" s="30" t="str">
        <f t="shared" si="63"/>
        <v>modesg_out_empr_info_nfinccm_capex_own_prfrmnce_algnd</v>
      </c>
      <c r="B399" s="68" t="s">
        <v>26</v>
      </c>
      <c r="C399" s="69" t="s">
        <v>311</v>
      </c>
      <c r="D399" s="65" t="s">
        <v>40</v>
      </c>
      <c r="E399" s="67" t="s">
        <v>326</v>
      </c>
      <c r="F399" s="65" t="s">
        <v>259</v>
      </c>
      <c r="G399" s="65" t="str">
        <f>INDEX(Auxiliar!$B$16:$B$24,MATCH(Plano_V3!H399,Auxiliar!$C$16:$C$24,0),1)</f>
        <v>2.1 Em Teste</v>
      </c>
      <c r="H399" s="65">
        <f>VLOOKUP(A399,'Aux - pivots1'!$A:$B,2,0)</f>
        <v>2</v>
      </c>
      <c r="I399" s="190">
        <f>SUMIFS(Table1[Estimação (horas)],Table1[Tabela],Plano_V3!E399,Table1[Campo],Plano_V3!F399)</f>
        <v>16.100000000000001</v>
      </c>
      <c r="J399" s="190">
        <f t="shared" si="64"/>
        <v>2.0125000000000002</v>
      </c>
      <c r="K399" s="190">
        <f>SUMIFS(Table1[Horas efetivas],Table1[Tabela],Plano_V3!E399,Table1[Campo],Plano_V3!F399)</f>
        <v>8.0500000000000007</v>
      </c>
      <c r="L399" s="190">
        <f t="shared" si="65"/>
        <v>1.0062500000000001</v>
      </c>
      <c r="M399" s="184"/>
      <c r="N399" s="184">
        <f t="shared" si="66"/>
        <v>0.5</v>
      </c>
      <c r="O399" s="184">
        <f t="shared" si="61"/>
        <v>0.5</v>
      </c>
      <c r="P399" s="88" t="s">
        <v>327</v>
      </c>
      <c r="Q399" s="91">
        <f t="shared" si="62"/>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x14ac:dyDescent="0.4">
      <c r="A400" s="30" t="str">
        <f t="shared" si="63"/>
        <v>modesg_out_empr_info_nfinccm_capex_trnstn_algnd</v>
      </c>
      <c r="B400" s="68" t="s">
        <v>26</v>
      </c>
      <c r="C400" s="69" t="s">
        <v>311</v>
      </c>
      <c r="D400" s="65" t="s">
        <v>40</v>
      </c>
      <c r="E400" s="67" t="s">
        <v>326</v>
      </c>
      <c r="F400" s="65" t="s">
        <v>258</v>
      </c>
      <c r="G400" s="65" t="str">
        <f>INDEX(Auxiliar!$B$16:$B$24,MATCH(Plano_V3!H400,Auxiliar!$C$16:$C$24,0),1)</f>
        <v>2.1 Em Teste</v>
      </c>
      <c r="H400" s="65">
        <f>VLOOKUP(A400,'Aux - pivots1'!$A:$B,2,0)</f>
        <v>2</v>
      </c>
      <c r="I400" s="190">
        <f>SUMIFS(Table1[Estimação (horas)],Table1[Tabela],Plano_V3!E400,Table1[Campo],Plano_V3!F400)</f>
        <v>16.100000000000001</v>
      </c>
      <c r="J400" s="190">
        <f t="shared" si="64"/>
        <v>2.0125000000000002</v>
      </c>
      <c r="K400" s="190">
        <f>SUMIFS(Table1[Horas efetivas],Table1[Tabela],Plano_V3!E400,Table1[Campo],Plano_V3!F400)</f>
        <v>8.0500000000000007</v>
      </c>
      <c r="L400" s="190">
        <f t="shared" si="65"/>
        <v>1.0062500000000001</v>
      </c>
      <c r="M400" s="184"/>
      <c r="N400" s="184">
        <f t="shared" si="66"/>
        <v>0.5</v>
      </c>
      <c r="O400" s="184">
        <f t="shared" si="61"/>
        <v>0.5</v>
      </c>
      <c r="P400" s="88" t="s">
        <v>327</v>
      </c>
      <c r="Q400" s="91">
        <f t="shared" si="62"/>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x14ac:dyDescent="0.4">
      <c r="A401" s="30" t="str">
        <f t="shared" si="63"/>
        <v>modesg_out_empr_info_nfinccm_capex_ttl_elgbl</v>
      </c>
      <c r="B401" s="68" t="s">
        <v>26</v>
      </c>
      <c r="C401" s="69" t="s">
        <v>311</v>
      </c>
      <c r="D401" s="65" t="s">
        <v>40</v>
      </c>
      <c r="E401" s="67" t="s">
        <v>326</v>
      </c>
      <c r="F401" s="65" t="s">
        <v>256</v>
      </c>
      <c r="G401" s="65" t="str">
        <f>INDEX(Auxiliar!$B$16:$B$24,MATCH(Plano_V3!H401,Auxiliar!$C$16:$C$24,0),1)</f>
        <v>2.1 Em Teste</v>
      </c>
      <c r="H401" s="65">
        <f>VLOOKUP(A401,'Aux - pivots1'!$A:$B,2,0)</f>
        <v>2</v>
      </c>
      <c r="I401" s="190">
        <f>SUMIFS(Table1[Estimação (horas)],Table1[Tabela],Plano_V3!E401,Table1[Campo],Plano_V3!F401)</f>
        <v>16.100000000000001</v>
      </c>
      <c r="J401" s="190">
        <f t="shared" si="64"/>
        <v>2.0125000000000002</v>
      </c>
      <c r="K401" s="190">
        <f>SUMIFS(Table1[Horas efetivas],Table1[Tabela],Plano_V3!E401,Table1[Campo],Plano_V3!F401)</f>
        <v>8.0500000000000007</v>
      </c>
      <c r="L401" s="190">
        <f t="shared" si="65"/>
        <v>1.0062500000000001</v>
      </c>
      <c r="M401" s="184"/>
      <c r="N401" s="184">
        <f t="shared" si="66"/>
        <v>0.5</v>
      </c>
      <c r="O401" s="184">
        <f t="shared" si="61"/>
        <v>0.5</v>
      </c>
      <c r="P401" s="88" t="s">
        <v>327</v>
      </c>
      <c r="Q401" s="91">
        <f t="shared" si="62"/>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x14ac:dyDescent="0.4">
      <c r="A402" s="30" t="str">
        <f t="shared" si="63"/>
        <v>modesg_out_empr_info_nfinccm_trnvr_enblng_algnd</v>
      </c>
      <c r="B402" s="68" t="s">
        <v>26</v>
      </c>
      <c r="C402" s="69" t="s">
        <v>311</v>
      </c>
      <c r="D402" s="65" t="s">
        <v>40</v>
      </c>
      <c r="E402" s="67" t="s">
        <v>326</v>
      </c>
      <c r="F402" s="65" t="s">
        <v>253</v>
      </c>
      <c r="G402" s="65" t="str">
        <f>INDEX(Auxiliar!$B$16:$B$24,MATCH(Plano_V3!H402,Auxiliar!$C$16:$C$24,0),1)</f>
        <v>2.1 Em Teste</v>
      </c>
      <c r="H402" s="65">
        <f>VLOOKUP(A402,'Aux - pivots1'!$A:$B,2,0)</f>
        <v>2</v>
      </c>
      <c r="I402" s="190">
        <f>SUMIFS(Table1[Estimação (horas)],Table1[Tabela],Plano_V3!E402,Table1[Campo],Plano_V3!F402)</f>
        <v>16.100000000000001</v>
      </c>
      <c r="J402" s="190">
        <f t="shared" si="64"/>
        <v>2.0125000000000002</v>
      </c>
      <c r="K402" s="190">
        <f>SUMIFS(Table1[Horas efetivas],Table1[Tabela],Plano_V3!E402,Table1[Campo],Plano_V3!F402)</f>
        <v>8.0500000000000007</v>
      </c>
      <c r="L402" s="190">
        <f t="shared" si="65"/>
        <v>1.0062500000000001</v>
      </c>
      <c r="M402" s="184"/>
      <c r="N402" s="184">
        <f t="shared" si="66"/>
        <v>0.5</v>
      </c>
      <c r="O402" s="184">
        <f t="shared" si="61"/>
        <v>0.5</v>
      </c>
      <c r="P402" s="88" t="s">
        <v>327</v>
      </c>
      <c r="Q402" s="91">
        <f t="shared" si="62"/>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x14ac:dyDescent="0.4">
      <c r="A403" s="30" t="str">
        <f t="shared" si="63"/>
        <v>modesg_out_empr_info_nfinccm_trnvr_own_prfrmnce_algnd</v>
      </c>
      <c r="B403" s="68" t="s">
        <v>26</v>
      </c>
      <c r="C403" s="69" t="s">
        <v>311</v>
      </c>
      <c r="D403" s="65" t="s">
        <v>40</v>
      </c>
      <c r="E403" s="67" t="s">
        <v>326</v>
      </c>
      <c r="F403" s="65" t="s">
        <v>255</v>
      </c>
      <c r="G403" s="65" t="str">
        <f>INDEX(Auxiliar!$B$16:$B$24,MATCH(Plano_V3!H403,Auxiliar!$C$16:$C$24,0),1)</f>
        <v>2.1 Em Teste</v>
      </c>
      <c r="H403" s="65">
        <f>VLOOKUP(A403,'Aux - pivots1'!$A:$B,2,0)</f>
        <v>2</v>
      </c>
      <c r="I403" s="190">
        <f>SUMIFS(Table1[Estimação (horas)],Table1[Tabela],Plano_V3!E403,Table1[Campo],Plano_V3!F403)</f>
        <v>16.100000000000001</v>
      </c>
      <c r="J403" s="190">
        <f t="shared" si="64"/>
        <v>2.0125000000000002</v>
      </c>
      <c r="K403" s="190">
        <f>SUMIFS(Table1[Horas efetivas],Table1[Tabela],Plano_V3!E403,Table1[Campo],Plano_V3!F403)</f>
        <v>8.0500000000000007</v>
      </c>
      <c r="L403" s="190">
        <f t="shared" si="65"/>
        <v>1.0062500000000001</v>
      </c>
      <c r="M403" s="184"/>
      <c r="N403" s="184">
        <f t="shared" si="66"/>
        <v>0.5</v>
      </c>
      <c r="O403" s="184">
        <f t="shared" si="61"/>
        <v>0.5</v>
      </c>
      <c r="P403" s="88" t="s">
        <v>327</v>
      </c>
      <c r="Q403" s="91">
        <f t="shared" si="62"/>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x14ac:dyDescent="0.4">
      <c r="A404" s="30" t="str">
        <f t="shared" si="63"/>
        <v>modesg_out_empr_info_nfinccm_trnvr_trnstn_alignd</v>
      </c>
      <c r="B404" s="68" t="s">
        <v>26</v>
      </c>
      <c r="C404" s="69" t="s">
        <v>311</v>
      </c>
      <c r="D404" s="65" t="s">
        <v>40</v>
      </c>
      <c r="E404" s="67" t="s">
        <v>326</v>
      </c>
      <c r="F404" s="65" t="s">
        <v>254</v>
      </c>
      <c r="G404" s="65" t="str">
        <f>INDEX(Auxiliar!$B$16:$B$24,MATCH(Plano_V3!H404,Auxiliar!$C$16:$C$24,0),1)</f>
        <v>2.1 Em Teste</v>
      </c>
      <c r="H404" s="65">
        <f>VLOOKUP(A404,'Aux - pivots1'!$A:$B,2,0)</f>
        <v>2</v>
      </c>
      <c r="I404" s="190">
        <f>SUMIFS(Table1[Estimação (horas)],Table1[Tabela],Plano_V3!E404,Table1[Campo],Plano_V3!F404)</f>
        <v>16.100000000000001</v>
      </c>
      <c r="J404" s="190">
        <f t="shared" si="64"/>
        <v>2.0125000000000002</v>
      </c>
      <c r="K404" s="190">
        <f>SUMIFS(Table1[Horas efetivas],Table1[Tabela],Plano_V3!E404,Table1[Campo],Plano_V3!F404)</f>
        <v>8.0500000000000007</v>
      </c>
      <c r="L404" s="190">
        <f t="shared" si="65"/>
        <v>1.0062500000000001</v>
      </c>
      <c r="M404" s="184"/>
      <c r="N404" s="184">
        <f t="shared" si="66"/>
        <v>0.5</v>
      </c>
      <c r="O404" s="184">
        <f t="shared" si="61"/>
        <v>0.5</v>
      </c>
      <c r="P404" s="88" t="s">
        <v>327</v>
      </c>
      <c r="Q404" s="91">
        <f t="shared" si="62"/>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x14ac:dyDescent="0.4">
      <c r="A405" s="30" t="str">
        <f t="shared" si="63"/>
        <v>modesg_out_empr_info_nfinccm_trnvr_ttl_elgbl</v>
      </c>
      <c r="B405" s="68" t="s">
        <v>26</v>
      </c>
      <c r="C405" s="69" t="s">
        <v>311</v>
      </c>
      <c r="D405" s="65" t="s">
        <v>40</v>
      </c>
      <c r="E405" s="67" t="s">
        <v>326</v>
      </c>
      <c r="F405" s="65" t="s">
        <v>252</v>
      </c>
      <c r="G405" s="65" t="str">
        <f>INDEX(Auxiliar!$B$16:$B$24,MATCH(Plano_V3!H405,Auxiliar!$C$16:$C$24,0),1)</f>
        <v>2.1 Em Teste</v>
      </c>
      <c r="H405" s="65">
        <f>VLOOKUP(A405,'Aux - pivots1'!$A:$B,2,0)</f>
        <v>2</v>
      </c>
      <c r="I405" s="190">
        <f>SUMIFS(Table1[Estimação (horas)],Table1[Tabela],Plano_V3!E405,Table1[Campo],Plano_V3!F405)</f>
        <v>16.100000000000001</v>
      </c>
      <c r="J405" s="190">
        <f t="shared" si="64"/>
        <v>2.0125000000000002</v>
      </c>
      <c r="K405" s="190">
        <f>SUMIFS(Table1[Horas efetivas],Table1[Tabela],Plano_V3!E405,Table1[Campo],Plano_V3!F405)</f>
        <v>8.0500000000000007</v>
      </c>
      <c r="L405" s="190">
        <f t="shared" si="65"/>
        <v>1.0062500000000001</v>
      </c>
      <c r="M405" s="184"/>
      <c r="N405" s="184">
        <f t="shared" si="66"/>
        <v>0.5</v>
      </c>
      <c r="O405" s="184">
        <f t="shared" si="61"/>
        <v>0.5</v>
      </c>
      <c r="P405" s="88" t="s">
        <v>327</v>
      </c>
      <c r="Q405" s="91">
        <f t="shared" si="62"/>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x14ac:dyDescent="0.4">
      <c r="A406" s="30" t="str">
        <f t="shared" si="63"/>
        <v>modesg_out_empr_info_nfincod_nace_esg</v>
      </c>
      <c r="B406" s="68" t="s">
        <v>26</v>
      </c>
      <c r="C406" s="69" t="s">
        <v>311</v>
      </c>
      <c r="D406" s="65" t="s">
        <v>40</v>
      </c>
      <c r="E406" s="67" t="s">
        <v>326</v>
      </c>
      <c r="F406" s="65" t="s">
        <v>282</v>
      </c>
      <c r="G406" s="65" t="str">
        <f>INDEX(Auxiliar!$B$16:$B$24,MATCH(Plano_V3!H406,Auxiliar!$C$16:$C$24,0),1)</f>
        <v>2.1 Em Teste</v>
      </c>
      <c r="H406" s="65">
        <f>VLOOKUP(A406,'Aux - pivots1'!$A:$B,2,0)</f>
        <v>2</v>
      </c>
      <c r="I406" s="190">
        <f>SUMIFS(Table1[Estimação (horas)],Table1[Tabela],Plano_V3!E406,Table1[Campo],Plano_V3!F406)</f>
        <v>16.100000000000001</v>
      </c>
      <c r="J406" s="190">
        <f t="shared" si="64"/>
        <v>2.0125000000000002</v>
      </c>
      <c r="K406" s="190">
        <f>SUMIFS(Table1[Horas efetivas],Table1[Tabela],Plano_V3!E406,Table1[Campo],Plano_V3!F406)</f>
        <v>8.0500000000000007</v>
      </c>
      <c r="L406" s="190">
        <f t="shared" si="65"/>
        <v>1.0062500000000001</v>
      </c>
      <c r="M406" s="184"/>
      <c r="N406" s="184">
        <f t="shared" si="66"/>
        <v>0.5</v>
      </c>
      <c r="O406" s="184">
        <f t="shared" si="61"/>
        <v>0.5</v>
      </c>
      <c r="P406" s="88" t="s">
        <v>327</v>
      </c>
      <c r="Q406" s="91">
        <f t="shared" si="62"/>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x14ac:dyDescent="0.4">
      <c r="A407" s="30" t="str">
        <f t="shared" si="63"/>
        <v>modesg_out_empr_info_nfinflg_emprs_excl_paris</v>
      </c>
      <c r="B407" s="68" t="s">
        <v>26</v>
      </c>
      <c r="C407" s="69" t="s">
        <v>311</v>
      </c>
      <c r="D407" s="65" t="s">
        <v>40</v>
      </c>
      <c r="E407" s="67" t="s">
        <v>326</v>
      </c>
      <c r="F407" s="65" t="s">
        <v>328</v>
      </c>
      <c r="G407" s="65" t="str">
        <f>INDEX(Auxiliar!$B$16:$B$24,MATCH(Plano_V3!H407,Auxiliar!$C$16:$C$24,0),1)</f>
        <v>2.1 Em Teste</v>
      </c>
      <c r="H407" s="65">
        <f>VLOOKUP(A407,'Aux - pivots1'!$A:$B,2,0)</f>
        <v>2</v>
      </c>
      <c r="I407" s="190">
        <f>SUMIFS(Table1[Estimação (horas)],Table1[Tabela],Plano_V3!E407,Table1[Campo],Plano_V3!F407)</f>
        <v>8.1</v>
      </c>
      <c r="J407" s="190">
        <f t="shared" si="64"/>
        <v>1.0125</v>
      </c>
      <c r="K407" s="190">
        <f>SUMIFS(Table1[Horas efetivas],Table1[Tabela],Plano_V3!E407,Table1[Campo],Plano_V3!F407)</f>
        <v>4.05</v>
      </c>
      <c r="L407" s="190">
        <f t="shared" si="65"/>
        <v>0.50624999999999998</v>
      </c>
      <c r="M407" s="184"/>
      <c r="N407" s="184">
        <f t="shared" si="66"/>
        <v>0.5</v>
      </c>
      <c r="O407" s="184">
        <f t="shared" si="61"/>
        <v>0.5</v>
      </c>
      <c r="P407" s="88" t="s">
        <v>327</v>
      </c>
      <c r="Q407" s="91">
        <f t="shared" si="62"/>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x14ac:dyDescent="0.4">
      <c r="A408" s="30" t="str">
        <f t="shared" si="63"/>
        <v>modesg_out_empr_info_nfinflg_nfrd</v>
      </c>
      <c r="B408" s="68" t="s">
        <v>26</v>
      </c>
      <c r="C408" s="69" t="s">
        <v>311</v>
      </c>
      <c r="D408" s="65" t="s">
        <v>40</v>
      </c>
      <c r="E408" s="67" t="s">
        <v>326</v>
      </c>
      <c r="F408" s="65" t="s">
        <v>245</v>
      </c>
      <c r="G408" s="65" t="str">
        <f>INDEX(Auxiliar!$B$16:$B$24,MATCH(Plano_V3!H408,Auxiliar!$C$16:$C$24,0),1)</f>
        <v>2.1 Em Teste</v>
      </c>
      <c r="H408" s="65">
        <f>VLOOKUP(A408,'Aux - pivots1'!$A:$B,2,0)</f>
        <v>2</v>
      </c>
      <c r="I408" s="190">
        <f>SUMIFS(Table1[Estimação (horas)],Table1[Tabela],Plano_V3!E408,Table1[Campo],Plano_V3!F408)</f>
        <v>8.1</v>
      </c>
      <c r="J408" s="190">
        <f t="shared" si="64"/>
        <v>1.0125</v>
      </c>
      <c r="K408" s="190">
        <f>SUMIFS(Table1[Horas efetivas],Table1[Tabela],Plano_V3!E408,Table1[Campo],Plano_V3!F408)</f>
        <v>4.05</v>
      </c>
      <c r="L408" s="190">
        <f t="shared" si="65"/>
        <v>0.50624999999999998</v>
      </c>
      <c r="M408" s="184"/>
      <c r="N408" s="184">
        <f t="shared" si="66"/>
        <v>0.5</v>
      </c>
      <c r="O408" s="184">
        <f t="shared" si="61"/>
        <v>0.5</v>
      </c>
      <c r="P408" s="88" t="s">
        <v>327</v>
      </c>
      <c r="Q408" s="91">
        <f t="shared" si="62"/>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x14ac:dyDescent="0.4">
      <c r="A409" s="30" t="str">
        <f t="shared" si="63"/>
        <v>modesg_out_empr_info_nfinflg_rsc_fsc_agd</v>
      </c>
      <c r="B409" s="68" t="s">
        <v>26</v>
      </c>
      <c r="C409" s="69" t="s">
        <v>311</v>
      </c>
      <c r="D409" s="65" t="s">
        <v>40</v>
      </c>
      <c r="E409" s="67" t="s">
        <v>326</v>
      </c>
      <c r="F409" s="65" t="s">
        <v>283</v>
      </c>
      <c r="G409" s="65" t="str">
        <f>INDEX(Auxiliar!$B$16:$B$24,MATCH(Plano_V3!H409,Auxiliar!$C$16:$C$24,0),1)</f>
        <v>6. Em implementação (re-especificação)</v>
      </c>
      <c r="H409" s="65">
        <f>VLOOKUP(A409,'Aux - pivots1'!$A:$B,2,0)</f>
        <v>7</v>
      </c>
      <c r="I409" s="190">
        <f>SUMIFS(Table1[Estimação (horas)],Table1[Tabela],Plano_V3!E409,Table1[Campo],Plano_V3!F409)</f>
        <v>16.100000000000001</v>
      </c>
      <c r="J409" s="190">
        <f t="shared" si="64"/>
        <v>2.0125000000000002</v>
      </c>
      <c r="K409" s="190">
        <f>SUMIFS(Table1[Horas efetivas],Table1[Tabela],Plano_V3!E409,Table1[Campo],Plano_V3!F409)</f>
        <v>4.0250000000000004</v>
      </c>
      <c r="L409" s="190">
        <f t="shared" si="65"/>
        <v>0.50312500000000004</v>
      </c>
      <c r="M409" s="184"/>
      <c r="N409" s="184">
        <f t="shared" si="66"/>
        <v>0.25</v>
      </c>
      <c r="O409" s="184">
        <f t="shared" ref="O409:O456" si="67">N409-M409</f>
        <v>0.25</v>
      </c>
      <c r="P409" s="88" t="s">
        <v>327</v>
      </c>
      <c r="Q409" s="91">
        <f t="shared" si="62"/>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x14ac:dyDescent="0.4">
      <c r="A410" s="30" t="str">
        <f t="shared" si="63"/>
        <v>modesg_out_empr_info_nfinflg_rsc_fsc_crnc</v>
      </c>
      <c r="B410" s="68" t="s">
        <v>26</v>
      </c>
      <c r="C410" s="69" t="s">
        <v>311</v>
      </c>
      <c r="D410" s="65" t="s">
        <v>40</v>
      </c>
      <c r="E410" s="67" t="s">
        <v>326</v>
      </c>
      <c r="F410" s="65" t="s">
        <v>284</v>
      </c>
      <c r="G410" s="65" t="str">
        <f>INDEX(Auxiliar!$B$16:$B$24,MATCH(Plano_V3!H410,Auxiliar!$C$16:$C$24,0),1)</f>
        <v>6. Em implementação (re-especificação)</v>
      </c>
      <c r="H410" s="65">
        <f>VLOOKUP(A410,'Aux - pivots1'!$A:$B,2,0)</f>
        <v>7</v>
      </c>
      <c r="I410" s="190">
        <f>SUMIFS(Table1[Estimação (horas)],Table1[Tabela],Plano_V3!E410,Table1[Campo],Plano_V3!F410)</f>
        <v>16.100000000000001</v>
      </c>
      <c r="J410" s="190">
        <f t="shared" si="64"/>
        <v>2.0125000000000002</v>
      </c>
      <c r="K410" s="190">
        <f>SUMIFS(Table1[Horas efetivas],Table1[Tabela],Plano_V3!E410,Table1[Campo],Plano_V3!F410)</f>
        <v>4.0250000000000004</v>
      </c>
      <c r="L410" s="190">
        <f t="shared" si="65"/>
        <v>0.50312500000000004</v>
      </c>
      <c r="M410" s="184"/>
      <c r="N410" s="184">
        <f t="shared" si="66"/>
        <v>0.25</v>
      </c>
      <c r="O410" s="184">
        <f t="shared" si="67"/>
        <v>0.25</v>
      </c>
      <c r="P410" s="88" t="s">
        <v>327</v>
      </c>
      <c r="Q410" s="91">
        <f t="shared" si="62"/>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x14ac:dyDescent="0.4">
      <c r="A411" s="30" t="str">
        <f t="shared" si="63"/>
        <v>modesg_out_empr_info_nfinorigem_alinhamentos</v>
      </c>
      <c r="B411" s="68" t="s">
        <v>26</v>
      </c>
      <c r="C411" s="69" t="s">
        <v>311</v>
      </c>
      <c r="D411" s="65" t="s">
        <v>40</v>
      </c>
      <c r="E411" s="67" t="s">
        <v>326</v>
      </c>
      <c r="F411" s="65" t="s">
        <v>329</v>
      </c>
      <c r="G411" s="65" t="str">
        <f>INDEX(Auxiliar!$B$16:$B$24,MATCH(Plano_V3!H411,Auxiliar!$C$16:$C$24,0),1)</f>
        <v>2.1 Em Teste</v>
      </c>
      <c r="H411" s="65">
        <f>VLOOKUP(A411,'Aux - pivots1'!$A:$B,2,0)</f>
        <v>2</v>
      </c>
      <c r="I411" s="190">
        <f>SUMIFS(Table1[Estimação (horas)],Table1[Tabela],Plano_V3!E411,Table1[Campo],Plano_V3!F411)</f>
        <v>4.0999999999999996</v>
      </c>
      <c r="J411" s="190">
        <f t="shared" si="64"/>
        <v>0.51249999999999996</v>
      </c>
      <c r="K411" s="190">
        <f>SUMIFS(Table1[Horas efetivas],Table1[Tabela],Plano_V3!E411,Table1[Campo],Plano_V3!F411)</f>
        <v>2.0499999999999998</v>
      </c>
      <c r="L411" s="190">
        <f t="shared" si="65"/>
        <v>0.25624999999999998</v>
      </c>
      <c r="M411" s="184"/>
      <c r="N411" s="184">
        <f t="shared" si="66"/>
        <v>0.5</v>
      </c>
      <c r="O411" s="184">
        <f t="shared" si="67"/>
        <v>0.5</v>
      </c>
      <c r="P411" s="88" t="s">
        <v>327</v>
      </c>
      <c r="Q411" s="91">
        <f t="shared" si="62"/>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x14ac:dyDescent="0.4">
      <c r="A412" s="30" t="str">
        <f t="shared" si="63"/>
        <v>modesg_out_empr_info_nfinorigem_flg_emprs_excl_paris</v>
      </c>
      <c r="B412" s="68" t="s">
        <v>26</v>
      </c>
      <c r="C412" s="69" t="s">
        <v>311</v>
      </c>
      <c r="D412" s="65" t="s">
        <v>40</v>
      </c>
      <c r="E412" s="67" t="s">
        <v>326</v>
      </c>
      <c r="F412" s="65" t="s">
        <v>330</v>
      </c>
      <c r="G412" s="65" t="str">
        <f>INDEX(Auxiliar!$B$16:$B$24,MATCH(Plano_V3!H412,Auxiliar!$C$16:$C$24,0),1)</f>
        <v>2.1 Em Teste</v>
      </c>
      <c r="H412" s="65">
        <f>VLOOKUP(A412,'Aux - pivots1'!$A:$B,2,0)</f>
        <v>2</v>
      </c>
      <c r="I412" s="190">
        <f>SUMIFS(Table1[Estimação (horas)],Table1[Tabela],Plano_V3!E412,Table1[Campo],Plano_V3!F412)</f>
        <v>4.0999999999999996</v>
      </c>
      <c r="J412" s="190">
        <f t="shared" si="64"/>
        <v>0.51249999999999996</v>
      </c>
      <c r="K412" s="190">
        <f>SUMIFS(Table1[Horas efetivas],Table1[Tabela],Plano_V3!E412,Table1[Campo],Plano_V3!F412)</f>
        <v>2.0499999999999998</v>
      </c>
      <c r="L412" s="190">
        <f t="shared" si="65"/>
        <v>0.25624999999999998</v>
      </c>
      <c r="M412" s="184"/>
      <c r="N412" s="184">
        <f t="shared" si="66"/>
        <v>0.5</v>
      </c>
      <c r="O412" s="184">
        <f t="shared" si="67"/>
        <v>0.5</v>
      </c>
      <c r="P412" s="88" t="s">
        <v>327</v>
      </c>
      <c r="Q412" s="91">
        <f t="shared" si="62"/>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x14ac:dyDescent="0.4">
      <c r="A413" s="30" t="str">
        <f t="shared" si="63"/>
        <v>modesg_out_empr_info_nfinorigem_flg_nfrd</v>
      </c>
      <c r="B413" s="68" t="s">
        <v>26</v>
      </c>
      <c r="C413" s="69" t="s">
        <v>311</v>
      </c>
      <c r="D413" s="65" t="s">
        <v>40</v>
      </c>
      <c r="E413" s="67" t="s">
        <v>326</v>
      </c>
      <c r="F413" s="65" t="s">
        <v>331</v>
      </c>
      <c r="G413" s="65" t="str">
        <f>INDEX(Auxiliar!$B$16:$B$24,MATCH(Plano_V3!H413,Auxiliar!$C$16:$C$24,0),1)</f>
        <v>2.1 Em Teste</v>
      </c>
      <c r="H413" s="65">
        <f>VLOOKUP(A413,'Aux - pivots1'!$A:$B,2,0)</f>
        <v>2</v>
      </c>
      <c r="I413" s="190">
        <f>SUMIFS(Table1[Estimação (horas)],Table1[Tabela],Plano_V3!E413,Table1[Campo],Plano_V3!F413)</f>
        <v>4.0999999999999996</v>
      </c>
      <c r="J413" s="190">
        <f t="shared" si="64"/>
        <v>0.51249999999999996</v>
      </c>
      <c r="K413" s="190">
        <f>SUMIFS(Table1[Horas efetivas],Table1[Tabela],Plano_V3!E413,Table1[Campo],Plano_V3!F413)</f>
        <v>2.0499999999999998</v>
      </c>
      <c r="L413" s="190">
        <f t="shared" si="65"/>
        <v>0.25624999999999998</v>
      </c>
      <c r="M413" s="184"/>
      <c r="N413" s="184">
        <f t="shared" si="66"/>
        <v>0.5</v>
      </c>
      <c r="O413" s="184">
        <f t="shared" si="67"/>
        <v>0.5</v>
      </c>
      <c r="P413" s="88" t="s">
        <v>327</v>
      </c>
      <c r="Q413" s="91">
        <f t="shared" si="62"/>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x14ac:dyDescent="0.4">
      <c r="A414" s="30" t="str">
        <f t="shared" si="63"/>
        <v>modesg_out_empr_info_nfinorigem_flg_rsc_fsc_agd</v>
      </c>
      <c r="B414" s="68" t="s">
        <v>26</v>
      </c>
      <c r="C414" s="69" t="s">
        <v>311</v>
      </c>
      <c r="D414" s="65" t="s">
        <v>40</v>
      </c>
      <c r="E414" s="67" t="s">
        <v>326</v>
      </c>
      <c r="F414" s="65" t="s">
        <v>318</v>
      </c>
      <c r="G414" s="65" t="str">
        <f>INDEX(Auxiliar!$B$16:$B$24,MATCH(Plano_V3!H414,Auxiliar!$C$16:$C$24,0),1)</f>
        <v>6. Em implementação (re-especificação)</v>
      </c>
      <c r="H414" s="65">
        <f>VLOOKUP(A414,'Aux - pivots1'!$A:$B,2,0)</f>
        <v>7</v>
      </c>
      <c r="I414" s="190">
        <f>SUMIFS(Table1[Estimação (horas)],Table1[Tabela],Plano_V3!E414,Table1[Campo],Plano_V3!F414)</f>
        <v>4.0999999999999996</v>
      </c>
      <c r="J414" s="190">
        <f t="shared" si="64"/>
        <v>0.51249999999999996</v>
      </c>
      <c r="K414" s="190">
        <f>SUMIFS(Table1[Horas efetivas],Table1[Tabela],Plano_V3!E414,Table1[Campo],Plano_V3!F414)</f>
        <v>1.0249999999999999</v>
      </c>
      <c r="L414" s="190">
        <f t="shared" si="65"/>
        <v>0.12812499999999999</v>
      </c>
      <c r="M414" s="184"/>
      <c r="N414" s="184">
        <f t="shared" si="66"/>
        <v>0.25</v>
      </c>
      <c r="O414" s="184">
        <f t="shared" si="67"/>
        <v>0.25</v>
      </c>
      <c r="P414" s="88" t="s">
        <v>327</v>
      </c>
      <c r="Q414" s="91">
        <f t="shared" si="62"/>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x14ac:dyDescent="0.4">
      <c r="A415" s="30" t="str">
        <f t="shared" si="63"/>
        <v>modesg_out_empr_info_nfinorigem_flg_rsc_fsc_crnc</v>
      </c>
      <c r="B415" s="68" t="s">
        <v>26</v>
      </c>
      <c r="C415" s="69" t="s">
        <v>311</v>
      </c>
      <c r="D415" s="65" t="s">
        <v>40</v>
      </c>
      <c r="E415" s="67" t="s">
        <v>326</v>
      </c>
      <c r="F415" s="65" t="s">
        <v>319</v>
      </c>
      <c r="G415" s="65" t="str">
        <f>INDEX(Auxiliar!$B$16:$B$24,MATCH(Plano_V3!H415,Auxiliar!$C$16:$C$24,0),1)</f>
        <v>6. Em implementação (re-especificação)</v>
      </c>
      <c r="H415" s="65">
        <f>VLOOKUP(A415,'Aux - pivots1'!$A:$B,2,0)</f>
        <v>7</v>
      </c>
      <c r="I415" s="190">
        <f>SUMIFS(Table1[Estimação (horas)],Table1[Tabela],Plano_V3!E415,Table1[Campo],Plano_V3!F415)</f>
        <v>4.0999999999999996</v>
      </c>
      <c r="J415" s="190">
        <f t="shared" si="64"/>
        <v>0.51249999999999996</v>
      </c>
      <c r="K415" s="190">
        <f>SUMIFS(Table1[Horas efetivas],Table1[Tabela],Plano_V3!E415,Table1[Campo],Plano_V3!F415)</f>
        <v>1.0249999999999999</v>
      </c>
      <c r="L415" s="190">
        <f t="shared" si="65"/>
        <v>0.12812499999999999</v>
      </c>
      <c r="M415" s="184"/>
      <c r="N415" s="184">
        <f t="shared" si="66"/>
        <v>0.25</v>
      </c>
      <c r="O415" s="184">
        <f t="shared" si="67"/>
        <v>0.25</v>
      </c>
      <c r="P415" s="88" t="s">
        <v>327</v>
      </c>
      <c r="Q415" s="91">
        <f t="shared" si="62"/>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x14ac:dyDescent="0.4">
      <c r="A416" s="30" t="str">
        <f t="shared" si="63"/>
        <v>modesg_out_empr_info_nfinorigem_scp1_emss</v>
      </c>
      <c r="B416" s="68" t="s">
        <v>26</v>
      </c>
      <c r="C416" s="69" t="s">
        <v>311</v>
      </c>
      <c r="D416" s="65" t="s">
        <v>40</v>
      </c>
      <c r="E416" s="67" t="s">
        <v>326</v>
      </c>
      <c r="F416" s="65" t="s">
        <v>320</v>
      </c>
      <c r="G416" s="65" t="str">
        <f>INDEX(Auxiliar!$B$16:$B$24,MATCH(Plano_V3!H416,Auxiliar!$C$16:$C$24,0),1)</f>
        <v>2.1 Em Teste</v>
      </c>
      <c r="H416" s="65">
        <f>VLOOKUP(A416,'Aux - pivots1'!$A:$B,2,0)</f>
        <v>2</v>
      </c>
      <c r="I416" s="190">
        <f>SUMIFS(Table1[Estimação (horas)],Table1[Tabela],Plano_V3!E416,Table1[Campo],Plano_V3!F416)</f>
        <v>4.0999999999999996</v>
      </c>
      <c r="J416" s="190">
        <f t="shared" si="64"/>
        <v>0.51249999999999996</v>
      </c>
      <c r="K416" s="190">
        <f>SUMIFS(Table1[Horas efetivas],Table1[Tabela],Plano_V3!E416,Table1[Campo],Plano_V3!F416)</f>
        <v>2.0499999999999998</v>
      </c>
      <c r="L416" s="190">
        <f t="shared" si="65"/>
        <v>0.25624999999999998</v>
      </c>
      <c r="M416" s="184"/>
      <c r="N416" s="184">
        <f t="shared" si="66"/>
        <v>0.5</v>
      </c>
      <c r="O416" s="184">
        <f t="shared" si="67"/>
        <v>0.5</v>
      </c>
      <c r="P416" s="88" t="s">
        <v>327</v>
      </c>
      <c r="Q416" s="91">
        <f t="shared" si="62"/>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x14ac:dyDescent="0.4">
      <c r="A417" s="30" t="str">
        <f t="shared" si="63"/>
        <v>modesg_out_empr_info_nfinorigem_scp2_emss</v>
      </c>
      <c r="B417" s="68" t="s">
        <v>26</v>
      </c>
      <c r="C417" s="69" t="s">
        <v>311</v>
      </c>
      <c r="D417" s="65" t="s">
        <v>40</v>
      </c>
      <c r="E417" s="67" t="s">
        <v>326</v>
      </c>
      <c r="F417" s="65" t="s">
        <v>321</v>
      </c>
      <c r="G417" s="65" t="str">
        <f>INDEX(Auxiliar!$B$16:$B$24,MATCH(Plano_V3!H417,Auxiliar!$C$16:$C$24,0),1)</f>
        <v>2.1 Em Teste</v>
      </c>
      <c r="H417" s="65">
        <f>VLOOKUP(A417,'Aux - pivots1'!$A:$B,2,0)</f>
        <v>2</v>
      </c>
      <c r="I417" s="190">
        <f>SUMIFS(Table1[Estimação (horas)],Table1[Tabela],Plano_V3!E417,Table1[Campo],Plano_V3!F417)</f>
        <v>4.0999999999999996</v>
      </c>
      <c r="J417" s="190">
        <f t="shared" si="64"/>
        <v>0.51249999999999996</v>
      </c>
      <c r="K417" s="190">
        <f>SUMIFS(Table1[Horas efetivas],Table1[Tabela],Plano_V3!E417,Table1[Campo],Plano_V3!F417)</f>
        <v>2.0499999999999998</v>
      </c>
      <c r="L417" s="190">
        <f t="shared" si="65"/>
        <v>0.25624999999999998</v>
      </c>
      <c r="M417" s="184"/>
      <c r="N417" s="184">
        <f t="shared" si="66"/>
        <v>0.5</v>
      </c>
      <c r="O417" s="184">
        <f t="shared" si="67"/>
        <v>0.5</v>
      </c>
      <c r="P417" s="88" t="s">
        <v>327</v>
      </c>
      <c r="Q417" s="91">
        <f t="shared" si="62"/>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x14ac:dyDescent="0.4">
      <c r="A418" s="30" t="str">
        <f t="shared" si="63"/>
        <v>modesg_out_empr_info_nfinorigem_scp3_emss</v>
      </c>
      <c r="B418" s="68" t="s">
        <v>26</v>
      </c>
      <c r="C418" s="69" t="s">
        <v>311</v>
      </c>
      <c r="D418" s="65" t="s">
        <v>40</v>
      </c>
      <c r="E418" s="67" t="s">
        <v>326</v>
      </c>
      <c r="F418" s="65" t="s">
        <v>322</v>
      </c>
      <c r="G418" s="65" t="str">
        <f>INDEX(Auxiliar!$B$16:$B$24,MATCH(Plano_V3!H418,Auxiliar!$C$16:$C$24,0),1)</f>
        <v>2.1 Em Teste</v>
      </c>
      <c r="H418" s="65">
        <f>VLOOKUP(A418,'Aux - pivots1'!$A:$B,2,0)</f>
        <v>2</v>
      </c>
      <c r="I418" s="190">
        <f>SUMIFS(Table1[Estimação (horas)],Table1[Tabela],Plano_V3!E418,Table1[Campo],Plano_V3!F418)</f>
        <v>4.0999999999999996</v>
      </c>
      <c r="J418" s="190">
        <f t="shared" si="64"/>
        <v>0.51249999999999996</v>
      </c>
      <c r="K418" s="190">
        <f>SUMIFS(Table1[Horas efetivas],Table1[Tabela],Plano_V3!E418,Table1[Campo],Plano_V3!F418)</f>
        <v>2.0499999999999998</v>
      </c>
      <c r="L418" s="190">
        <f t="shared" si="65"/>
        <v>0.25624999999999998</v>
      </c>
      <c r="M418" s="184"/>
      <c r="N418" s="184">
        <f t="shared" si="66"/>
        <v>0.5</v>
      </c>
      <c r="O418" s="184">
        <f t="shared" si="67"/>
        <v>0.5</v>
      </c>
      <c r="P418" s="88" t="s">
        <v>327</v>
      </c>
      <c r="Q418" s="91">
        <f t="shared" si="62"/>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x14ac:dyDescent="0.4">
      <c r="A419" s="30" t="str">
        <f t="shared" si="63"/>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90">
        <f>SUMIFS(Table1[Estimação (horas)],Table1[Tabela],Plano_V3!E419,Table1[Campo],Plano_V3!F419)</f>
        <v>4.0999999999999996</v>
      </c>
      <c r="J419" s="190">
        <f t="shared" si="64"/>
        <v>0.51249999999999996</v>
      </c>
      <c r="K419" s="190">
        <f>SUMIFS(Table1[Horas efetivas],Table1[Tabela],Plano_V3!E419,Table1[Campo],Plano_V3!F419)</f>
        <v>4.0999999999999996</v>
      </c>
      <c r="L419" s="190">
        <f t="shared" si="65"/>
        <v>0.51249999999999996</v>
      </c>
      <c r="M419" s="184"/>
      <c r="N419" s="184">
        <f t="shared" si="66"/>
        <v>1</v>
      </c>
      <c r="O419" s="184">
        <f t="shared" si="67"/>
        <v>1</v>
      </c>
      <c r="P419" s="88" t="s">
        <v>327</v>
      </c>
      <c r="Q419" s="91">
        <f t="shared" si="62"/>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x14ac:dyDescent="0.4">
      <c r="A420" s="30" t="str">
        <f t="shared" si="63"/>
        <v>modesg_out_empr_info_nfinscp1_emss</v>
      </c>
      <c r="B420" s="68" t="s">
        <v>26</v>
      </c>
      <c r="C420" s="69" t="s">
        <v>311</v>
      </c>
      <c r="D420" s="65" t="s">
        <v>40</v>
      </c>
      <c r="E420" s="67" t="s">
        <v>326</v>
      </c>
      <c r="F420" s="65" t="s">
        <v>286</v>
      </c>
      <c r="G420" s="65" t="str">
        <f>INDEX(Auxiliar!$B$16:$B$24,MATCH(Plano_V3!H420,Auxiliar!$C$16:$C$24,0),1)</f>
        <v>2.1 Em Teste</v>
      </c>
      <c r="H420" s="65">
        <f>VLOOKUP(A420,'Aux - pivots1'!$A:$B,2,0)</f>
        <v>2</v>
      </c>
      <c r="I420" s="190">
        <f>SUMIFS(Table1[Estimação (horas)],Table1[Tabela],Plano_V3!E420,Table1[Campo],Plano_V3!F420)</f>
        <v>8.1</v>
      </c>
      <c r="J420" s="190">
        <f t="shared" si="64"/>
        <v>1.0125</v>
      </c>
      <c r="K420" s="190">
        <f>SUMIFS(Table1[Horas efetivas],Table1[Tabela],Plano_V3!E420,Table1[Campo],Plano_V3!F420)</f>
        <v>4.05</v>
      </c>
      <c r="L420" s="190">
        <f t="shared" si="65"/>
        <v>0.50624999999999998</v>
      </c>
      <c r="M420" s="184"/>
      <c r="N420" s="184">
        <f t="shared" si="66"/>
        <v>0.5</v>
      </c>
      <c r="O420" s="184">
        <f t="shared" si="67"/>
        <v>0.5</v>
      </c>
      <c r="P420" s="88" t="s">
        <v>327</v>
      </c>
      <c r="Q420" s="91">
        <f t="shared" ref="Q420:Q456" si="68">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x14ac:dyDescent="0.4">
      <c r="A421" s="30" t="str">
        <f t="shared" si="63"/>
        <v>modesg_out_empr_info_nfinscp2_emss</v>
      </c>
      <c r="B421" s="68" t="s">
        <v>26</v>
      </c>
      <c r="C421" s="69" t="s">
        <v>311</v>
      </c>
      <c r="D421" s="65" t="s">
        <v>40</v>
      </c>
      <c r="E421" s="67" t="s">
        <v>326</v>
      </c>
      <c r="F421" s="65" t="s">
        <v>287</v>
      </c>
      <c r="G421" s="65" t="str">
        <f>INDEX(Auxiliar!$B$16:$B$24,MATCH(Plano_V3!H421,Auxiliar!$C$16:$C$24,0),1)</f>
        <v>2.1 Em Teste</v>
      </c>
      <c r="H421" s="65">
        <f>VLOOKUP(A421,'Aux - pivots1'!$A:$B,2,0)</f>
        <v>2</v>
      </c>
      <c r="I421" s="190">
        <f>SUMIFS(Table1[Estimação (horas)],Table1[Tabela],Plano_V3!E421,Table1[Campo],Plano_V3!F421)</f>
        <v>8.1</v>
      </c>
      <c r="J421" s="190">
        <f t="shared" si="64"/>
        <v>1.0125</v>
      </c>
      <c r="K421" s="190">
        <f>SUMIFS(Table1[Horas efetivas],Table1[Tabela],Plano_V3!E421,Table1[Campo],Plano_V3!F421)</f>
        <v>4.05</v>
      </c>
      <c r="L421" s="190">
        <f t="shared" si="65"/>
        <v>0.50624999999999998</v>
      </c>
      <c r="M421" s="184"/>
      <c r="N421" s="184">
        <f t="shared" si="66"/>
        <v>0.5</v>
      </c>
      <c r="O421" s="184">
        <f t="shared" si="67"/>
        <v>0.5</v>
      </c>
      <c r="P421" s="88" t="s">
        <v>327</v>
      </c>
      <c r="Q421" s="91">
        <f t="shared" si="68"/>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x14ac:dyDescent="0.4">
      <c r="A422" s="30" t="str">
        <f t="shared" ref="A422:A485" si="69">E422&amp;F422</f>
        <v>modesg_out_empr_info_nfinscp3_emss</v>
      </c>
      <c r="B422" s="68" t="s">
        <v>26</v>
      </c>
      <c r="C422" s="69" t="s">
        <v>311</v>
      </c>
      <c r="D422" s="65" t="s">
        <v>40</v>
      </c>
      <c r="E422" s="67" t="s">
        <v>326</v>
      </c>
      <c r="F422" s="65" t="s">
        <v>288</v>
      </c>
      <c r="G422" s="65" t="str">
        <f>INDEX(Auxiliar!$B$16:$B$24,MATCH(Plano_V3!H422,Auxiliar!$C$16:$C$24,0),1)</f>
        <v>2.1 Em Teste</v>
      </c>
      <c r="H422" s="65">
        <f>VLOOKUP(A422,'Aux - pivots1'!$A:$B,2,0)</f>
        <v>2</v>
      </c>
      <c r="I422" s="190">
        <f>SUMIFS(Table1[Estimação (horas)],Table1[Tabela],Plano_V3!E422,Table1[Campo],Plano_V3!F422)</f>
        <v>8.1</v>
      </c>
      <c r="J422" s="190">
        <f t="shared" si="64"/>
        <v>1.0125</v>
      </c>
      <c r="K422" s="190">
        <f>SUMIFS(Table1[Horas efetivas],Table1[Tabela],Plano_V3!E422,Table1[Campo],Plano_V3!F422)</f>
        <v>4.05</v>
      </c>
      <c r="L422" s="190">
        <f t="shared" si="65"/>
        <v>0.50624999999999998</v>
      </c>
      <c r="M422" s="184"/>
      <c r="N422" s="184">
        <f t="shared" si="66"/>
        <v>0.5</v>
      </c>
      <c r="O422" s="184">
        <f t="shared" si="67"/>
        <v>0.5</v>
      </c>
      <c r="P422" s="88" t="s">
        <v>327</v>
      </c>
      <c r="Q422" s="91">
        <f t="shared" si="68"/>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x14ac:dyDescent="0.4">
      <c r="A423" s="30" t="str">
        <f t="shared" si="69"/>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90">
        <f>SUMIFS(Table1[Estimação (horas)],Table1[Tabela],Plano_V3!E423,Table1[Campo],Plano_V3!F423)</f>
        <v>4.0999999999999996</v>
      </c>
      <c r="J423" s="190">
        <f t="shared" si="64"/>
        <v>0.51249999999999996</v>
      </c>
      <c r="K423" s="190">
        <f>SUMIFS(Table1[Horas efetivas],Table1[Tabela],Plano_V3!E423,Table1[Campo],Plano_V3!F423)</f>
        <v>4.0999999999999996</v>
      </c>
      <c r="L423" s="190">
        <f t="shared" si="65"/>
        <v>0.51249999999999996</v>
      </c>
      <c r="M423" s="184"/>
      <c r="N423" s="184">
        <f t="shared" si="66"/>
        <v>1</v>
      </c>
      <c r="O423" s="184">
        <f t="shared" si="67"/>
        <v>1</v>
      </c>
      <c r="P423" s="88" t="s">
        <v>327</v>
      </c>
      <c r="Q423" s="91">
        <f t="shared" si="68"/>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x14ac:dyDescent="0.4">
      <c r="A424" s="30" t="str">
        <f t="shared" si="69"/>
        <v>modesg_out_emss_vclsn.a.</v>
      </c>
      <c r="B424" s="68" t="s">
        <v>26</v>
      </c>
      <c r="C424" s="69" t="s">
        <v>311</v>
      </c>
      <c r="D424" s="65" t="s">
        <v>36</v>
      </c>
      <c r="E424" s="67" t="s">
        <v>332</v>
      </c>
      <c r="F424" s="65" t="s">
        <v>38</v>
      </c>
      <c r="G424" s="65" t="str">
        <f>INDEX(Auxiliar!$B$16:$B$24,MATCH(Plano_V3!H424,Auxiliar!$C$16:$C$24,0),1)</f>
        <v>2.1 Em Teste</v>
      </c>
      <c r="H424" s="65">
        <f>VLOOKUP(A424,'Aux - pivots1'!$A:$B,2,0)</f>
        <v>2</v>
      </c>
      <c r="I424" s="190">
        <f>SUMIFS(Table1[Estimação (horas)],Table1[Tabela],Plano_V3!E424,Table1[Campo],Plano_V3!F424)</f>
        <v>8</v>
      </c>
      <c r="J424" s="190">
        <f t="shared" si="64"/>
        <v>1</v>
      </c>
      <c r="K424" s="190">
        <f>SUMIFS(Table1[Horas efetivas],Table1[Tabela],Plano_V3!E424,Table1[Campo],Plano_V3!F424)</f>
        <v>4</v>
      </c>
      <c r="L424" s="190">
        <f t="shared" si="65"/>
        <v>0.5</v>
      </c>
      <c r="M424" s="184"/>
      <c r="N424" s="184">
        <f t="shared" si="66"/>
        <v>0.5</v>
      </c>
      <c r="O424" s="184">
        <f t="shared" si="67"/>
        <v>0.5</v>
      </c>
      <c r="P424" s="88" t="s">
        <v>333</v>
      </c>
      <c r="Q424" s="91">
        <f t="shared" si="68"/>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x14ac:dyDescent="0.4">
      <c r="A425" s="30" t="str">
        <f t="shared" si="69"/>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90">
        <f>SUMIFS(Table1[Estimação (horas)],Table1[Tabela],Plano_V3!E425,Table1[Campo],Plano_V3!F425)</f>
        <v>4.0999999999999996</v>
      </c>
      <c r="J425" s="190">
        <f t="shared" si="64"/>
        <v>0.51249999999999996</v>
      </c>
      <c r="K425" s="190">
        <f>SUMIFS(Table1[Horas efetivas],Table1[Tabela],Plano_V3!E425,Table1[Campo],Plano_V3!F425)</f>
        <v>4.0999999999999996</v>
      </c>
      <c r="L425" s="190">
        <f t="shared" si="65"/>
        <v>0.51249999999999996</v>
      </c>
      <c r="M425" s="184"/>
      <c r="N425" s="184">
        <f t="shared" si="66"/>
        <v>1</v>
      </c>
      <c r="O425" s="184">
        <f t="shared" si="67"/>
        <v>1</v>
      </c>
      <c r="P425" s="88" t="s">
        <v>333</v>
      </c>
      <c r="Q425" s="91">
        <f t="shared" si="68"/>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x14ac:dyDescent="0.4">
      <c r="A426" s="30" t="str">
        <f t="shared" si="69"/>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90">
        <f>SUMIFS(Table1[Estimação (horas)],Table1[Tabela],Plano_V3!E426,Table1[Campo],Plano_V3!F426)</f>
        <v>4.0999999999999996</v>
      </c>
      <c r="J426" s="190">
        <f t="shared" si="64"/>
        <v>0.51249999999999996</v>
      </c>
      <c r="K426" s="190">
        <f>SUMIFS(Table1[Horas efetivas],Table1[Tabela],Plano_V3!E426,Table1[Campo],Plano_V3!F426)</f>
        <v>4.0999999999999996</v>
      </c>
      <c r="L426" s="190">
        <f t="shared" si="65"/>
        <v>0.51249999999999996</v>
      </c>
      <c r="M426" s="184"/>
      <c r="N426" s="184">
        <f t="shared" si="66"/>
        <v>1</v>
      </c>
      <c r="O426" s="184">
        <f t="shared" si="67"/>
        <v>1</v>
      </c>
      <c r="P426" s="88" t="s">
        <v>333</v>
      </c>
      <c r="Q426" s="91">
        <f t="shared" si="68"/>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x14ac:dyDescent="0.4">
      <c r="A427" s="30" t="str">
        <f t="shared" si="69"/>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90">
        <f>SUMIFS(Table1[Estimação (horas)],Table1[Tabela],Plano_V3!E427,Table1[Campo],Plano_V3!F427)</f>
        <v>4.0999999999999996</v>
      </c>
      <c r="J427" s="190">
        <f t="shared" si="64"/>
        <v>0.51249999999999996</v>
      </c>
      <c r="K427" s="190">
        <f>SUMIFS(Table1[Horas efetivas],Table1[Tabela],Plano_V3!E427,Table1[Campo],Plano_V3!F427)</f>
        <v>4.0999999999999996</v>
      </c>
      <c r="L427" s="190">
        <f t="shared" si="65"/>
        <v>0.51249999999999996</v>
      </c>
      <c r="M427" s="184"/>
      <c r="N427" s="184">
        <f t="shared" si="66"/>
        <v>1</v>
      </c>
      <c r="O427" s="184">
        <f t="shared" si="67"/>
        <v>1</v>
      </c>
      <c r="P427" s="88" t="s">
        <v>333</v>
      </c>
      <c r="Q427" s="91">
        <f t="shared" si="68"/>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x14ac:dyDescent="0.4">
      <c r="A428" s="30" t="str">
        <f t="shared" si="69"/>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90">
        <f>SUMIFS(Table1[Estimação (horas)],Table1[Tabela],Plano_V3!E428,Table1[Campo],Plano_V3!F428)</f>
        <v>4.0999999999999996</v>
      </c>
      <c r="J428" s="190">
        <f t="shared" si="64"/>
        <v>0.51249999999999996</v>
      </c>
      <c r="K428" s="190">
        <f>SUMIFS(Table1[Horas efetivas],Table1[Tabela],Plano_V3!E428,Table1[Campo],Plano_V3!F428)</f>
        <v>4.0999999999999996</v>
      </c>
      <c r="L428" s="190">
        <f t="shared" si="65"/>
        <v>0.51249999999999996</v>
      </c>
      <c r="M428" s="184"/>
      <c r="N428" s="184">
        <f t="shared" si="66"/>
        <v>1</v>
      </c>
      <c r="O428" s="184">
        <f t="shared" si="67"/>
        <v>1</v>
      </c>
      <c r="P428" s="88" t="s">
        <v>333</v>
      </c>
      <c r="Q428" s="91">
        <f t="shared" si="68"/>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x14ac:dyDescent="0.4">
      <c r="A429" s="30" t="str">
        <f t="shared" si="69"/>
        <v>modesg_out_emss_vclscnsm_co2</v>
      </c>
      <c r="B429" s="68" t="s">
        <v>26</v>
      </c>
      <c r="C429" s="69" t="s">
        <v>311</v>
      </c>
      <c r="D429" s="65" t="s">
        <v>40</v>
      </c>
      <c r="E429" s="67" t="s">
        <v>332</v>
      </c>
      <c r="F429" s="65" t="s">
        <v>188</v>
      </c>
      <c r="G429" s="65" t="str">
        <f>INDEX(Auxiliar!$B$16:$B$24,MATCH(Plano_V3!H429,Auxiliar!$C$16:$C$24,0),1)</f>
        <v>1. Concluído</v>
      </c>
      <c r="H429" s="65">
        <f>VLOOKUP(A429,'Aux - pivots1'!$A:$B,2,0)</f>
        <v>1</v>
      </c>
      <c r="I429" s="190">
        <f>SUMIFS(Table1[Estimação (horas)],Table1[Tabela],Plano_V3!E429,Table1[Campo],Plano_V3!F429)</f>
        <v>8.1</v>
      </c>
      <c r="J429" s="190">
        <f t="shared" si="64"/>
        <v>1.0125</v>
      </c>
      <c r="K429" s="190">
        <f>SUMIFS(Table1[Horas efetivas],Table1[Tabela],Plano_V3!E429,Table1[Campo],Plano_V3!F429)</f>
        <v>8.1</v>
      </c>
      <c r="L429" s="190">
        <f t="shared" si="65"/>
        <v>1.0125</v>
      </c>
      <c r="M429" s="184"/>
      <c r="N429" s="184">
        <f t="shared" si="66"/>
        <v>1</v>
      </c>
      <c r="O429" s="184">
        <f t="shared" si="67"/>
        <v>1</v>
      </c>
      <c r="P429" s="88" t="s">
        <v>333</v>
      </c>
      <c r="Q429" s="91">
        <f t="shared" si="68"/>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x14ac:dyDescent="0.4">
      <c r="A430" s="30" t="str">
        <f t="shared" si="69"/>
        <v>modesg_out_emss_vclsorigem_scp1_emss</v>
      </c>
      <c r="B430" s="68" t="s">
        <v>26</v>
      </c>
      <c r="C430" s="69" t="s">
        <v>311</v>
      </c>
      <c r="D430" s="65" t="s">
        <v>40</v>
      </c>
      <c r="E430" s="67" t="s">
        <v>332</v>
      </c>
      <c r="F430" s="65" t="s">
        <v>320</v>
      </c>
      <c r="G430" s="65" t="str">
        <f>INDEX(Auxiliar!$B$16:$B$24,MATCH(Plano_V3!H430,Auxiliar!$C$16:$C$24,0),1)</f>
        <v>5. Em Correção</v>
      </c>
      <c r="H430" s="65">
        <f>VLOOKUP(A430,'Aux - pivots1'!$A:$B,2,0)</f>
        <v>6</v>
      </c>
      <c r="I430" s="190">
        <f>SUMIFS(Table1[Estimação (horas)],Table1[Tabela],Plano_V3!E430,Table1[Campo],Plano_V3!F430)</f>
        <v>8.1</v>
      </c>
      <c r="J430" s="190">
        <f t="shared" si="64"/>
        <v>1.0125</v>
      </c>
      <c r="K430" s="190">
        <f>SUMIFS(Table1[Horas efetivas],Table1[Tabela],Plano_V3!E430,Table1[Campo],Plano_V3!F430)</f>
        <v>2.0249999999999999</v>
      </c>
      <c r="L430" s="190">
        <f t="shared" si="65"/>
        <v>0.25312499999999999</v>
      </c>
      <c r="M430" s="184"/>
      <c r="N430" s="184">
        <f t="shared" si="66"/>
        <v>0.25</v>
      </c>
      <c r="O430" s="184">
        <f t="shared" si="67"/>
        <v>0.25</v>
      </c>
      <c r="P430" s="88" t="s">
        <v>333</v>
      </c>
      <c r="Q430" s="91">
        <f t="shared" si="68"/>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x14ac:dyDescent="0.4">
      <c r="A431" s="30" t="str">
        <f t="shared" si="69"/>
        <v>modesg_out_emss_vclsorigem_scp2_emss</v>
      </c>
      <c r="B431" s="68" t="s">
        <v>26</v>
      </c>
      <c r="C431" s="69" t="s">
        <v>311</v>
      </c>
      <c r="D431" s="65" t="s">
        <v>40</v>
      </c>
      <c r="E431" s="67" t="s">
        <v>332</v>
      </c>
      <c r="F431" s="65" t="s">
        <v>321</v>
      </c>
      <c r="G431" s="65" t="str">
        <f>INDEX(Auxiliar!$B$16:$B$24,MATCH(Plano_V3!H431,Auxiliar!$C$16:$C$24,0),1)</f>
        <v>5. Em Correção</v>
      </c>
      <c r="H431" s="65">
        <f>VLOOKUP(A431,'Aux - pivots1'!$A:$B,2,0)</f>
        <v>6</v>
      </c>
      <c r="I431" s="190">
        <f>SUMIFS(Table1[Estimação (horas)],Table1[Tabela],Plano_V3!E431,Table1[Campo],Plano_V3!F431)</f>
        <v>8.1</v>
      </c>
      <c r="J431" s="190">
        <f t="shared" si="64"/>
        <v>1.0125</v>
      </c>
      <c r="K431" s="190">
        <f>SUMIFS(Table1[Horas efetivas],Table1[Tabela],Plano_V3!E431,Table1[Campo],Plano_V3!F431)</f>
        <v>2.0249999999999999</v>
      </c>
      <c r="L431" s="190">
        <f t="shared" si="65"/>
        <v>0.25312499999999999</v>
      </c>
      <c r="M431" s="184"/>
      <c r="N431" s="184">
        <f t="shared" si="66"/>
        <v>0.25</v>
      </c>
      <c r="O431" s="184">
        <f t="shared" si="67"/>
        <v>0.25</v>
      </c>
      <c r="P431" s="88" t="s">
        <v>333</v>
      </c>
      <c r="Q431" s="91">
        <f t="shared" si="68"/>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x14ac:dyDescent="0.4">
      <c r="A432" s="30" t="str">
        <f t="shared" si="69"/>
        <v>modesg_out_emss_vclsorigem_scp3_emss</v>
      </c>
      <c r="B432" s="68" t="s">
        <v>26</v>
      </c>
      <c r="C432" s="69" t="s">
        <v>311</v>
      </c>
      <c r="D432" s="65" t="s">
        <v>40</v>
      </c>
      <c r="E432" s="67" t="s">
        <v>332</v>
      </c>
      <c r="F432" s="65" t="s">
        <v>322</v>
      </c>
      <c r="G432" s="65" t="str">
        <f>INDEX(Auxiliar!$B$16:$B$24,MATCH(Plano_V3!H432,Auxiliar!$C$16:$C$24,0),1)</f>
        <v>1. Concluído</v>
      </c>
      <c r="H432" s="65">
        <f>VLOOKUP(A432,'Aux - pivots1'!$A:$B,2,0)</f>
        <v>1</v>
      </c>
      <c r="I432" s="190">
        <f>SUMIFS(Table1[Estimação (horas)],Table1[Tabela],Plano_V3!E432,Table1[Campo],Plano_V3!F432)</f>
        <v>8.1</v>
      </c>
      <c r="J432" s="190">
        <f t="shared" si="64"/>
        <v>1.0125</v>
      </c>
      <c r="K432" s="190">
        <f>SUMIFS(Table1[Horas efetivas],Table1[Tabela],Plano_V3!E432,Table1[Campo],Plano_V3!F432)</f>
        <v>8.1</v>
      </c>
      <c r="L432" s="190">
        <f t="shared" si="65"/>
        <v>1.0125</v>
      </c>
      <c r="M432" s="184"/>
      <c r="N432" s="184">
        <f t="shared" si="66"/>
        <v>1</v>
      </c>
      <c r="O432" s="184">
        <f t="shared" si="67"/>
        <v>1</v>
      </c>
      <c r="P432" s="88" t="s">
        <v>333</v>
      </c>
      <c r="Q432" s="91">
        <f t="shared" si="68"/>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x14ac:dyDescent="0.4">
      <c r="A433" s="30" t="str">
        <f t="shared" si="69"/>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90">
        <f>SUMIFS(Table1[Estimação (horas)],Table1[Tabela],Plano_V3!E433,Table1[Campo],Plano_V3!F433)</f>
        <v>4.0999999999999996</v>
      </c>
      <c r="J433" s="190">
        <f t="shared" si="64"/>
        <v>0.51249999999999996</v>
      </c>
      <c r="K433" s="190">
        <f>SUMIFS(Table1[Horas efetivas],Table1[Tabela],Plano_V3!E433,Table1[Campo],Plano_V3!F433)</f>
        <v>4.0999999999999996</v>
      </c>
      <c r="L433" s="190">
        <f t="shared" si="65"/>
        <v>0.51249999999999996</v>
      </c>
      <c r="M433" s="184"/>
      <c r="N433" s="184">
        <f t="shared" si="66"/>
        <v>1</v>
      </c>
      <c r="O433" s="184">
        <f t="shared" si="67"/>
        <v>1</v>
      </c>
      <c r="P433" s="88" t="s">
        <v>333</v>
      </c>
      <c r="Q433" s="91">
        <f t="shared" si="68"/>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x14ac:dyDescent="0.4">
      <c r="A434" s="30" t="str">
        <f t="shared" si="69"/>
        <v>modesg_out_emss_vclsscp1_emss</v>
      </c>
      <c r="B434" s="68" t="s">
        <v>26</v>
      </c>
      <c r="C434" s="69" t="s">
        <v>311</v>
      </c>
      <c r="D434" s="65" t="s">
        <v>40</v>
      </c>
      <c r="E434" s="67" t="s">
        <v>332</v>
      </c>
      <c r="F434" s="65" t="s">
        <v>286</v>
      </c>
      <c r="G434" s="65" t="str">
        <f>INDEX(Auxiliar!$B$16:$B$24,MATCH(Plano_V3!H434,Auxiliar!$C$16:$C$24,0),1)</f>
        <v>5. Em Correção</v>
      </c>
      <c r="H434" s="65">
        <f>VLOOKUP(A434,'Aux - pivots1'!$A:$B,2,0)</f>
        <v>6</v>
      </c>
      <c r="I434" s="190">
        <f>SUMIFS(Table1[Estimação (horas)],Table1[Tabela],Plano_V3!E434,Table1[Campo],Plano_V3!F434)</f>
        <v>16.100000000000001</v>
      </c>
      <c r="J434" s="190">
        <f t="shared" si="64"/>
        <v>2.0125000000000002</v>
      </c>
      <c r="K434" s="190">
        <f>SUMIFS(Table1[Horas efetivas],Table1[Tabela],Plano_V3!E434,Table1[Campo],Plano_V3!F434)</f>
        <v>4.0250000000000004</v>
      </c>
      <c r="L434" s="190">
        <f t="shared" si="65"/>
        <v>0.50312500000000004</v>
      </c>
      <c r="M434" s="184"/>
      <c r="N434" s="184">
        <f t="shared" si="66"/>
        <v>0.25</v>
      </c>
      <c r="O434" s="184">
        <f t="shared" si="67"/>
        <v>0.25</v>
      </c>
      <c r="P434" s="88" t="s">
        <v>333</v>
      </c>
      <c r="Q434" s="91">
        <f t="shared" si="68"/>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x14ac:dyDescent="0.4">
      <c r="A435" s="30" t="str">
        <f t="shared" si="69"/>
        <v>modesg_out_emss_vclsscp2_emss</v>
      </c>
      <c r="B435" s="68" t="s">
        <v>26</v>
      </c>
      <c r="C435" s="69" t="s">
        <v>311</v>
      </c>
      <c r="D435" s="65" t="s">
        <v>40</v>
      </c>
      <c r="E435" s="67" t="s">
        <v>332</v>
      </c>
      <c r="F435" s="65" t="s">
        <v>287</v>
      </c>
      <c r="G435" s="65" t="str">
        <f>INDEX(Auxiliar!$B$16:$B$24,MATCH(Plano_V3!H435,Auxiliar!$C$16:$C$24,0),1)</f>
        <v>5. Em Correção</v>
      </c>
      <c r="H435" s="65">
        <f>VLOOKUP(A435,'Aux - pivots1'!$A:$B,2,0)</f>
        <v>6</v>
      </c>
      <c r="I435" s="190">
        <f>SUMIFS(Table1[Estimação (horas)],Table1[Tabela],Plano_V3!E435,Table1[Campo],Plano_V3!F435)</f>
        <v>16.100000000000001</v>
      </c>
      <c r="J435" s="190">
        <f t="shared" si="64"/>
        <v>2.0125000000000002</v>
      </c>
      <c r="K435" s="190">
        <f>SUMIFS(Table1[Horas efetivas],Table1[Tabela],Plano_V3!E435,Table1[Campo],Plano_V3!F435)</f>
        <v>4.0250000000000004</v>
      </c>
      <c r="L435" s="190">
        <f t="shared" si="65"/>
        <v>0.50312500000000004</v>
      </c>
      <c r="M435" s="184"/>
      <c r="N435" s="184">
        <f t="shared" si="66"/>
        <v>0.25</v>
      </c>
      <c r="O435" s="184">
        <f t="shared" si="67"/>
        <v>0.25</v>
      </c>
      <c r="P435" s="88" t="s">
        <v>333</v>
      </c>
      <c r="Q435" s="91">
        <f t="shared" si="68"/>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x14ac:dyDescent="0.4">
      <c r="A436" s="30" t="str">
        <f t="shared" si="69"/>
        <v>modesg_out_emss_vclsscp3_emss</v>
      </c>
      <c r="B436" s="68" t="s">
        <v>26</v>
      </c>
      <c r="C436" s="69" t="s">
        <v>311</v>
      </c>
      <c r="D436" s="65" t="s">
        <v>40</v>
      </c>
      <c r="E436" s="67" t="s">
        <v>332</v>
      </c>
      <c r="F436" s="65" t="s">
        <v>288</v>
      </c>
      <c r="G436" s="65" t="str">
        <f>INDEX(Auxiliar!$B$16:$B$24,MATCH(Plano_V3!H436,Auxiliar!$C$16:$C$24,0),1)</f>
        <v>1. Concluído</v>
      </c>
      <c r="H436" s="65">
        <f>VLOOKUP(A436,'Aux - pivots1'!$A:$B,2,0)</f>
        <v>1</v>
      </c>
      <c r="I436" s="190">
        <f>SUMIFS(Table1[Estimação (horas)],Table1[Tabela],Plano_V3!E436,Table1[Campo],Plano_V3!F436)</f>
        <v>16.100000000000001</v>
      </c>
      <c r="J436" s="190">
        <f t="shared" ref="J436:J454" si="70">I436/8</f>
        <v>2.0125000000000002</v>
      </c>
      <c r="K436" s="190">
        <f>SUMIFS(Table1[Horas efetivas],Table1[Tabela],Plano_V3!E436,Table1[Campo],Plano_V3!F436)</f>
        <v>16.100000000000001</v>
      </c>
      <c r="L436" s="190">
        <f t="shared" ref="L436:L454" si="71">K436/8</f>
        <v>2.0125000000000002</v>
      </c>
      <c r="M436" s="184"/>
      <c r="N436" s="184">
        <f t="shared" ref="N436:N455" si="72">L436/J436</f>
        <v>1</v>
      </c>
      <c r="O436" s="184">
        <f t="shared" si="67"/>
        <v>1</v>
      </c>
      <c r="P436" s="88" t="s">
        <v>333</v>
      </c>
      <c r="Q436" s="91">
        <f t="shared" si="68"/>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x14ac:dyDescent="0.4">
      <c r="A437" s="30" t="str">
        <f t="shared" si="69"/>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90">
        <f>SUMIFS(Table1[Estimação (horas)],Table1[Tabela],Plano_V3!E437,Table1[Campo],Plano_V3!F437)</f>
        <v>4.0999999999999996</v>
      </c>
      <c r="J437" s="190">
        <f t="shared" si="70"/>
        <v>0.51249999999999996</v>
      </c>
      <c r="K437" s="190">
        <f>SUMIFS(Table1[Horas efetivas],Table1[Tabela],Plano_V3!E437,Table1[Campo],Plano_V3!F437)</f>
        <v>4.0999999999999996</v>
      </c>
      <c r="L437" s="190">
        <f t="shared" si="71"/>
        <v>0.51249999999999996</v>
      </c>
      <c r="M437" s="184"/>
      <c r="N437" s="184">
        <f t="shared" si="72"/>
        <v>1</v>
      </c>
      <c r="O437" s="184">
        <f t="shared" si="67"/>
        <v>1</v>
      </c>
      <c r="P437" s="88" t="s">
        <v>333</v>
      </c>
      <c r="Q437" s="91">
        <f t="shared" si="68"/>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x14ac:dyDescent="0.4">
      <c r="A438" s="30" t="str">
        <f t="shared" si="69"/>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90">
        <f>SUMIFS(Table1[Estimação (horas)],Table1[Tabela],Plano_V3!E438,Table1[Campo],Plano_V3!F438)</f>
        <v>4.0999999999999996</v>
      </c>
      <c r="J438" s="190">
        <f t="shared" si="70"/>
        <v>0.51249999999999996</v>
      </c>
      <c r="K438" s="190">
        <f>SUMIFS(Table1[Horas efetivas],Table1[Tabela],Plano_V3!E438,Table1[Campo],Plano_V3!F438)</f>
        <v>4.0999999999999996</v>
      </c>
      <c r="L438" s="190">
        <f t="shared" si="71"/>
        <v>0.51249999999999996</v>
      </c>
      <c r="M438" s="184"/>
      <c r="N438" s="184">
        <f t="shared" si="72"/>
        <v>1</v>
      </c>
      <c r="O438" s="184">
        <f t="shared" si="67"/>
        <v>1</v>
      </c>
      <c r="P438" s="88" t="s">
        <v>333</v>
      </c>
      <c r="Q438" s="91">
        <f t="shared" si="68"/>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x14ac:dyDescent="0.4">
      <c r="A439" s="30" t="str">
        <f t="shared" si="69"/>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90">
        <f>SUMIFS(Table1[Estimação (horas)],Table1[Tabela],Plano_V3!E439,Table1[Campo],Plano_V3!F439)</f>
        <v>4.0999999999999996</v>
      </c>
      <c r="J439" s="190">
        <f t="shared" si="70"/>
        <v>0.51249999999999996</v>
      </c>
      <c r="K439" s="190">
        <f>SUMIFS(Table1[Horas efetivas],Table1[Tabela],Plano_V3!E439,Table1[Campo],Plano_V3!F439)</f>
        <v>4.0999999999999996</v>
      </c>
      <c r="L439" s="190">
        <f t="shared" si="71"/>
        <v>0.51249999999999996</v>
      </c>
      <c r="M439" s="184"/>
      <c r="N439" s="184">
        <f t="shared" si="72"/>
        <v>1</v>
      </c>
      <c r="O439" s="184">
        <f t="shared" si="67"/>
        <v>1</v>
      </c>
      <c r="P439" s="88" t="s">
        <v>333</v>
      </c>
      <c r="Q439" s="91">
        <f t="shared" si="68"/>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x14ac:dyDescent="0.4">
      <c r="A440" s="30" t="str">
        <f t="shared" si="69"/>
        <v>modesg_out_sfcs_taxon_europeian.a.</v>
      </c>
      <c r="B440" s="68" t="s">
        <v>26</v>
      </c>
      <c r="C440" s="69" t="s">
        <v>311</v>
      </c>
      <c r="D440" s="65" t="s">
        <v>36</v>
      </c>
      <c r="E440" s="67" t="s">
        <v>334</v>
      </c>
      <c r="F440" s="65" t="s">
        <v>38</v>
      </c>
      <c r="G440" s="65" t="str">
        <f>INDEX(Auxiliar!$B$16:$B$24,MATCH(Plano_V3!H440,Auxiliar!$C$16:$C$24,0),1)</f>
        <v>6. Em implementação (re-especificação)</v>
      </c>
      <c r="H440" s="65">
        <f>VLOOKUP(A440,'Aux - pivots1'!$A:$B,2,0)</f>
        <v>7</v>
      </c>
      <c r="I440" s="190">
        <f>SUMIFS(Table1[Estimação (horas)],Table1[Tabela],Plano_V3!E440,Table1[Campo],Plano_V3!F440)</f>
        <v>8</v>
      </c>
      <c r="J440" s="190">
        <f t="shared" si="70"/>
        <v>1</v>
      </c>
      <c r="K440" s="190">
        <f>SUMIFS(Table1[Horas efetivas],Table1[Tabela],Plano_V3!E440,Table1[Campo],Plano_V3!F440)</f>
        <v>2</v>
      </c>
      <c r="L440" s="190">
        <f t="shared" si="71"/>
        <v>0.25</v>
      </c>
      <c r="M440" s="184"/>
      <c r="N440" s="184">
        <f t="shared" si="72"/>
        <v>0.25</v>
      </c>
      <c r="O440" s="184">
        <f t="shared" si="67"/>
        <v>0.25</v>
      </c>
      <c r="P440" s="88" t="s">
        <v>335</v>
      </c>
      <c r="Q440" s="91">
        <f t="shared" si="68"/>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x14ac:dyDescent="0.4">
      <c r="A441" s="30" t="str">
        <f t="shared" si="69"/>
        <v>modesg_out_sfcs_taxon_europeiacbalcao</v>
      </c>
      <c r="B441" s="68" t="s">
        <v>26</v>
      </c>
      <c r="C441" s="69" t="s">
        <v>311</v>
      </c>
      <c r="D441" s="65" t="s">
        <v>40</v>
      </c>
      <c r="E441" s="67" t="s">
        <v>334</v>
      </c>
      <c r="F441" s="65" t="s">
        <v>183</v>
      </c>
      <c r="G441" s="65" t="str">
        <f>INDEX(Auxiliar!$B$16:$B$24,MATCH(Plano_V3!H441,Auxiliar!$C$16:$C$24,0),1)</f>
        <v>6. Em implementação (re-especificação)</v>
      </c>
      <c r="H441" s="65">
        <f>VLOOKUP(A441,'Aux - pivots1'!$A:$B,2,0)</f>
        <v>7</v>
      </c>
      <c r="I441" s="190">
        <f>SUMIFS(Table1[Estimação (horas)],Table1[Tabela],Plano_V3!E441,Table1[Campo],Plano_V3!F441)</f>
        <v>4.0999999999999996</v>
      </c>
      <c r="J441" s="190">
        <f t="shared" si="70"/>
        <v>0.51249999999999996</v>
      </c>
      <c r="K441" s="190">
        <f>SUMIFS(Table1[Horas efetivas],Table1[Tabela],Plano_V3!E441,Table1[Campo],Plano_V3!F441)</f>
        <v>1.0249999999999999</v>
      </c>
      <c r="L441" s="190">
        <f t="shared" si="71"/>
        <v>0.12812499999999999</v>
      </c>
      <c r="M441" s="184"/>
      <c r="N441" s="184">
        <f t="shared" si="72"/>
        <v>0.25</v>
      </c>
      <c r="O441" s="184">
        <f t="shared" si="67"/>
        <v>0.25</v>
      </c>
      <c r="P441" s="88" t="s">
        <v>335</v>
      </c>
      <c r="Q441" s="91">
        <f t="shared" si="68"/>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x14ac:dyDescent="0.4">
      <c r="A442" s="30" t="str">
        <f t="shared" si="69"/>
        <v>modesg_out_sfcs_taxon_europeiacempresa</v>
      </c>
      <c r="B442" s="68" t="s">
        <v>26</v>
      </c>
      <c r="C442" s="69" t="s">
        <v>311</v>
      </c>
      <c r="D442" s="65" t="s">
        <v>40</v>
      </c>
      <c r="E442" s="67" t="s">
        <v>334</v>
      </c>
      <c r="F442" s="65" t="s">
        <v>184</v>
      </c>
      <c r="G442" s="65" t="str">
        <f>INDEX(Auxiliar!$B$16:$B$24,MATCH(Plano_V3!H442,Auxiliar!$C$16:$C$24,0),1)</f>
        <v>6. Em implementação (re-especificação)</v>
      </c>
      <c r="H442" s="65">
        <f>VLOOKUP(A442,'Aux - pivots1'!$A:$B,2,0)</f>
        <v>7</v>
      </c>
      <c r="I442" s="190">
        <f>SUMIFS(Table1[Estimação (horas)],Table1[Tabela],Plano_V3!E442,Table1[Campo],Plano_V3!F442)</f>
        <v>4.0999999999999996</v>
      </c>
      <c r="J442" s="190">
        <f t="shared" si="70"/>
        <v>0.51249999999999996</v>
      </c>
      <c r="K442" s="190">
        <f>SUMIFS(Table1[Horas efetivas],Table1[Tabela],Plano_V3!E442,Table1[Campo],Plano_V3!F442)</f>
        <v>1.0249999999999999</v>
      </c>
      <c r="L442" s="190">
        <f t="shared" si="71"/>
        <v>0.12812499999999999</v>
      </c>
      <c r="M442" s="184"/>
      <c r="N442" s="184">
        <f t="shared" si="72"/>
        <v>0.25</v>
      </c>
      <c r="O442" s="184">
        <f t="shared" si="67"/>
        <v>0.25</v>
      </c>
      <c r="P442" s="88" t="s">
        <v>335</v>
      </c>
      <c r="Q442" s="91">
        <f t="shared" si="68"/>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x14ac:dyDescent="0.4">
      <c r="A443" s="30" t="str">
        <f t="shared" si="69"/>
        <v>modesg_out_sfcs_taxon_europeiacnumecta</v>
      </c>
      <c r="B443" s="68" t="s">
        <v>26</v>
      </c>
      <c r="C443" s="69" t="s">
        <v>311</v>
      </c>
      <c r="D443" s="65" t="s">
        <v>40</v>
      </c>
      <c r="E443" s="67" t="s">
        <v>334</v>
      </c>
      <c r="F443" s="65" t="s">
        <v>189</v>
      </c>
      <c r="G443" s="65" t="str">
        <f>INDEX(Auxiliar!$B$16:$B$24,MATCH(Plano_V3!H443,Auxiliar!$C$16:$C$24,0),1)</f>
        <v>6. Em implementação (re-especificação)</v>
      </c>
      <c r="H443" s="65">
        <f>VLOOKUP(A443,'Aux - pivots1'!$A:$B,2,0)</f>
        <v>7</v>
      </c>
      <c r="I443" s="190">
        <f>SUMIFS(Table1[Estimação (horas)],Table1[Tabela],Plano_V3!E443,Table1[Campo],Plano_V3!F443)</f>
        <v>4.0999999999999996</v>
      </c>
      <c r="J443" s="190">
        <f t="shared" si="70"/>
        <v>0.51249999999999996</v>
      </c>
      <c r="K443" s="190">
        <f>SUMIFS(Table1[Horas efetivas],Table1[Tabela],Plano_V3!E443,Table1[Campo],Plano_V3!F443)</f>
        <v>1.0249999999999999</v>
      </c>
      <c r="L443" s="190">
        <f t="shared" si="71"/>
        <v>0.12812499999999999</v>
      </c>
      <c r="M443" s="184"/>
      <c r="N443" s="184">
        <f t="shared" si="72"/>
        <v>0.25</v>
      </c>
      <c r="O443" s="184">
        <f t="shared" si="67"/>
        <v>0.25</v>
      </c>
      <c r="P443" s="88" t="s">
        <v>335</v>
      </c>
      <c r="Q443" s="91">
        <f t="shared" si="68"/>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x14ac:dyDescent="0.4">
      <c r="A444" s="30" t="str">
        <f t="shared" si="69"/>
        <v>modesg_out_sfcs_taxon_europeiacod_regra</v>
      </c>
      <c r="B444" s="68" t="s">
        <v>26</v>
      </c>
      <c r="C444" s="69" t="s">
        <v>311</v>
      </c>
      <c r="D444" s="65" t="s">
        <v>40</v>
      </c>
      <c r="E444" s="67" t="s">
        <v>334</v>
      </c>
      <c r="F444" s="65" t="s">
        <v>191</v>
      </c>
      <c r="G444" s="65" t="str">
        <f>INDEX(Auxiliar!$B$16:$B$24,MATCH(Plano_V3!H444,Auxiliar!$C$16:$C$24,0),1)</f>
        <v>6. Em implementação (re-especificação)</v>
      </c>
      <c r="H444" s="65">
        <f>VLOOKUP(A444,'Aux - pivots1'!$A:$B,2,0)</f>
        <v>7</v>
      </c>
      <c r="I444" s="190">
        <f>SUMIFS(Table1[Estimação (horas)],Table1[Tabela],Plano_V3!E444,Table1[Campo],Plano_V3!F444)</f>
        <v>4.0999999999999996</v>
      </c>
      <c r="J444" s="190">
        <f t="shared" si="70"/>
        <v>0.51249999999999996</v>
      </c>
      <c r="K444" s="190">
        <f>SUMIFS(Table1[Horas efetivas],Table1[Tabela],Plano_V3!E444,Table1[Campo],Plano_V3!F444)</f>
        <v>1.0249999999999999</v>
      </c>
      <c r="L444" s="190">
        <f t="shared" si="71"/>
        <v>0.12812499999999999</v>
      </c>
      <c r="M444" s="184"/>
      <c r="N444" s="184">
        <f t="shared" si="72"/>
        <v>0.25</v>
      </c>
      <c r="O444" s="184">
        <f t="shared" si="67"/>
        <v>0.25</v>
      </c>
      <c r="P444" s="88" t="s">
        <v>335</v>
      </c>
      <c r="Q444" s="91">
        <f t="shared" si="68"/>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x14ac:dyDescent="0.4">
      <c r="A445" s="30" t="str">
        <f t="shared" si="69"/>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90">
        <f>SUMIFS(Table1[Estimação (horas)],Table1[Tabela],Plano_V3!E445,Table1[Campo],Plano_V3!F445)</f>
        <v>4.0999999999999996</v>
      </c>
      <c r="J445" s="190">
        <f t="shared" si="70"/>
        <v>0.51249999999999996</v>
      </c>
      <c r="K445" s="190">
        <f>SUMIFS(Table1[Horas efetivas],Table1[Tabela],Plano_V3!E445,Table1[Campo],Plano_V3!F445)</f>
        <v>0</v>
      </c>
      <c r="L445" s="190">
        <f t="shared" si="71"/>
        <v>0</v>
      </c>
      <c r="M445" s="184"/>
      <c r="N445" s="184">
        <f t="shared" si="72"/>
        <v>0</v>
      </c>
      <c r="O445" s="184">
        <f t="shared" si="67"/>
        <v>0</v>
      </c>
      <c r="P445" s="88" t="s">
        <v>335</v>
      </c>
      <c r="Q445" s="91">
        <f t="shared" si="68"/>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x14ac:dyDescent="0.4">
      <c r="A446" s="30" t="str">
        <f t="shared" si="69"/>
        <v>modesg_out_sfcs_taxon_europeiamontante_pndrc</v>
      </c>
      <c r="B446" s="68" t="s">
        <v>26</v>
      </c>
      <c r="C446" s="69" t="s">
        <v>311</v>
      </c>
      <c r="D446" s="65" t="s">
        <v>40</v>
      </c>
      <c r="E446" s="67" t="s">
        <v>334</v>
      </c>
      <c r="F446" s="65" t="s">
        <v>202</v>
      </c>
      <c r="G446" s="65" t="str">
        <f>INDEX(Auxiliar!$B$16:$B$24,MATCH(Plano_V3!H446,Auxiliar!$C$16:$C$24,0),1)</f>
        <v>6. Em implementação (re-especificação)</v>
      </c>
      <c r="H446" s="65">
        <f>VLOOKUP(A446,'Aux - pivots1'!$A:$B,2,0)</f>
        <v>7</v>
      </c>
      <c r="I446" s="190">
        <f>SUMIFS(Table1[Estimação (horas)],Table1[Tabela],Plano_V3!E446,Table1[Campo],Plano_V3!F446)</f>
        <v>16.100000000000001</v>
      </c>
      <c r="J446" s="190">
        <f t="shared" si="70"/>
        <v>2.0125000000000002</v>
      </c>
      <c r="K446" s="190">
        <f>SUMIFS(Table1[Horas efetivas],Table1[Tabela],Plano_V3!E446,Table1[Campo],Plano_V3!F446)</f>
        <v>4.0250000000000004</v>
      </c>
      <c r="L446" s="190">
        <f t="shared" si="71"/>
        <v>0.50312500000000004</v>
      </c>
      <c r="M446" s="184"/>
      <c r="N446" s="184">
        <f t="shared" si="72"/>
        <v>0.25</v>
      </c>
      <c r="O446" s="184">
        <f t="shared" si="67"/>
        <v>0.25</v>
      </c>
      <c r="P446" s="88" t="s">
        <v>335</v>
      </c>
      <c r="Q446" s="91">
        <f t="shared" si="68"/>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x14ac:dyDescent="0.4">
      <c r="A447" s="30" t="str">
        <f t="shared" si="69"/>
        <v>modesg_out_sfcs_taxon_europeianome_ctgr_sfcs</v>
      </c>
      <c r="B447" s="68" t="s">
        <v>26</v>
      </c>
      <c r="C447" s="69" t="s">
        <v>311</v>
      </c>
      <c r="D447" s="65" t="s">
        <v>40</v>
      </c>
      <c r="E447" s="67" t="s">
        <v>334</v>
      </c>
      <c r="F447" s="65" t="s">
        <v>203</v>
      </c>
      <c r="G447" s="65" t="str">
        <f>INDEX(Auxiliar!$B$16:$B$24,MATCH(Plano_V3!H447,Auxiliar!$C$16:$C$24,0),1)</f>
        <v>6. Em implementação (re-especificação)</v>
      </c>
      <c r="H447" s="65">
        <f>VLOOKUP(A447,'Aux - pivots1'!$A:$B,2,0)</f>
        <v>7</v>
      </c>
      <c r="I447" s="190">
        <f>SUMIFS(Table1[Estimação (horas)],Table1[Tabela],Plano_V3!E447,Table1[Campo],Plano_V3!F447)</f>
        <v>16.100000000000001</v>
      </c>
      <c r="J447" s="190">
        <f t="shared" si="70"/>
        <v>2.0125000000000002</v>
      </c>
      <c r="K447" s="190">
        <f>SUMIFS(Table1[Horas efetivas],Table1[Tabela],Plano_V3!E447,Table1[Campo],Plano_V3!F447)</f>
        <v>4.0250000000000004</v>
      </c>
      <c r="L447" s="190">
        <f t="shared" si="71"/>
        <v>0.50312500000000004</v>
      </c>
      <c r="M447" s="184"/>
      <c r="N447" s="184">
        <f t="shared" si="72"/>
        <v>0.25</v>
      </c>
      <c r="O447" s="184">
        <f t="shared" si="67"/>
        <v>0.25</v>
      </c>
      <c r="P447" s="88" t="s">
        <v>335</v>
      </c>
      <c r="Q447" s="91">
        <f t="shared" si="68"/>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x14ac:dyDescent="0.4">
      <c r="A448" s="30" t="str">
        <f t="shared" si="69"/>
        <v>modesg_out_sfcs_taxon_europeianome_general_specific_purpose</v>
      </c>
      <c r="B448" s="68" t="s">
        <v>26</v>
      </c>
      <c r="C448" s="69" t="s">
        <v>311</v>
      </c>
      <c r="D448" s="65" t="s">
        <v>40</v>
      </c>
      <c r="E448" s="67" t="s">
        <v>334</v>
      </c>
      <c r="F448" s="65" t="s">
        <v>204</v>
      </c>
      <c r="G448" s="65" t="str">
        <f>INDEX(Auxiliar!$B$16:$B$24,MATCH(Plano_V3!H448,Auxiliar!$C$16:$C$24,0),1)</f>
        <v>6. Em implementação (re-especificação)</v>
      </c>
      <c r="H448" s="65">
        <f>VLOOKUP(A448,'Aux - pivots1'!$A:$B,2,0)</f>
        <v>7</v>
      </c>
      <c r="I448" s="190">
        <f>SUMIFS(Table1[Estimação (horas)],Table1[Tabela],Plano_V3!E448,Table1[Campo],Plano_V3!F448)</f>
        <v>8.1</v>
      </c>
      <c r="J448" s="190">
        <f t="shared" si="70"/>
        <v>1.0125</v>
      </c>
      <c r="K448" s="190">
        <f>SUMIFS(Table1[Horas efetivas],Table1[Tabela],Plano_V3!E448,Table1[Campo],Plano_V3!F448)</f>
        <v>2.0249999999999999</v>
      </c>
      <c r="L448" s="190">
        <f t="shared" si="71"/>
        <v>0.25312499999999999</v>
      </c>
      <c r="M448" s="184"/>
      <c r="N448" s="184">
        <f t="shared" si="72"/>
        <v>0.25</v>
      </c>
      <c r="O448" s="184">
        <f t="shared" si="67"/>
        <v>0.25</v>
      </c>
      <c r="P448" s="88" t="s">
        <v>335</v>
      </c>
      <c r="Q448" s="91">
        <f t="shared" si="68"/>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x14ac:dyDescent="0.4">
      <c r="A449" s="30" t="str">
        <f t="shared" si="69"/>
        <v>modesg_out_sfcs_taxon_europeianome_purpose_esg</v>
      </c>
      <c r="B449" s="68" t="s">
        <v>26</v>
      </c>
      <c r="C449" s="69" t="s">
        <v>311</v>
      </c>
      <c r="D449" s="65" t="s">
        <v>40</v>
      </c>
      <c r="E449" s="67" t="s">
        <v>334</v>
      </c>
      <c r="F449" s="65" t="s">
        <v>205</v>
      </c>
      <c r="G449" s="65" t="str">
        <f>INDEX(Auxiliar!$B$16:$B$24,MATCH(Plano_V3!H449,Auxiliar!$C$16:$C$24,0),1)</f>
        <v>6. Em implementação (re-especificação)</v>
      </c>
      <c r="H449" s="65">
        <f>VLOOKUP(A449,'Aux - pivots1'!$A:$B,2,0)</f>
        <v>7</v>
      </c>
      <c r="I449" s="190">
        <f>SUMIFS(Table1[Estimação (horas)],Table1[Tabela],Plano_V3!E449,Table1[Campo],Plano_V3!F449)</f>
        <v>8.1</v>
      </c>
      <c r="J449" s="190">
        <f t="shared" si="70"/>
        <v>1.0125</v>
      </c>
      <c r="K449" s="190">
        <f>SUMIFS(Table1[Horas efetivas],Table1[Tabela],Plano_V3!E449,Table1[Campo],Plano_V3!F449)</f>
        <v>2.0249999999999999</v>
      </c>
      <c r="L449" s="190">
        <f t="shared" si="71"/>
        <v>0.25312499999999999</v>
      </c>
      <c r="M449" s="184"/>
      <c r="N449" s="184">
        <f t="shared" si="72"/>
        <v>0.25</v>
      </c>
      <c r="O449" s="184">
        <f t="shared" si="67"/>
        <v>0.25</v>
      </c>
      <c r="P449" s="88" t="s">
        <v>335</v>
      </c>
      <c r="Q449" s="91">
        <f t="shared" si="68"/>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x14ac:dyDescent="0.4">
      <c r="A450" s="30" t="str">
        <f t="shared" si="69"/>
        <v>modesg_out_sfcs_taxon_europeianome_specific_eligible</v>
      </c>
      <c r="B450" s="68" t="s">
        <v>26</v>
      </c>
      <c r="C450" s="69" t="s">
        <v>311</v>
      </c>
      <c r="D450" s="65" t="s">
        <v>40</v>
      </c>
      <c r="E450" s="67" t="s">
        <v>334</v>
      </c>
      <c r="F450" s="65" t="s">
        <v>206</v>
      </c>
      <c r="G450" s="65" t="str">
        <f>INDEX(Auxiliar!$B$16:$B$24,MATCH(Plano_V3!H450,Auxiliar!$C$16:$C$24,0),1)</f>
        <v>6. Em implementação (re-especificação)</v>
      </c>
      <c r="H450" s="65">
        <f>VLOOKUP(A450,'Aux - pivots1'!$A:$B,2,0)</f>
        <v>7</v>
      </c>
      <c r="I450" s="190">
        <f>SUMIFS(Table1[Estimação (horas)],Table1[Tabela],Plano_V3!E450,Table1[Campo],Plano_V3!F450)</f>
        <v>8.1</v>
      </c>
      <c r="J450" s="190">
        <f t="shared" si="70"/>
        <v>1.0125</v>
      </c>
      <c r="K450" s="190">
        <f>SUMIFS(Table1[Horas efetivas],Table1[Tabela],Plano_V3!E450,Table1[Campo],Plano_V3!F450)</f>
        <v>2.0249999999999999</v>
      </c>
      <c r="L450" s="190">
        <f t="shared" si="71"/>
        <v>0.25312499999999999</v>
      </c>
      <c r="M450" s="184"/>
      <c r="N450" s="184">
        <f t="shared" si="72"/>
        <v>0.25</v>
      </c>
      <c r="O450" s="184">
        <f t="shared" si="67"/>
        <v>0.25</v>
      </c>
      <c r="P450" s="88" t="s">
        <v>335</v>
      </c>
      <c r="Q450" s="91">
        <f t="shared" si="68"/>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x14ac:dyDescent="0.4">
      <c r="A451" s="30" t="str">
        <f t="shared" si="69"/>
        <v>modesg_out_sfcs_taxon_europeianome_specific_sustainable</v>
      </c>
      <c r="B451" s="68" t="s">
        <v>26</v>
      </c>
      <c r="C451" s="69" t="s">
        <v>311</v>
      </c>
      <c r="D451" s="65" t="s">
        <v>40</v>
      </c>
      <c r="E451" s="67" t="s">
        <v>334</v>
      </c>
      <c r="F451" s="65" t="s">
        <v>207</v>
      </c>
      <c r="G451" s="65" t="str">
        <f>INDEX(Auxiliar!$B$16:$B$24,MATCH(Plano_V3!H451,Auxiliar!$C$16:$C$24,0),1)</f>
        <v>6. Em implementação (re-especificação)</v>
      </c>
      <c r="H451" s="65">
        <f>VLOOKUP(A451,'Aux - pivots1'!$A:$B,2,0)</f>
        <v>7</v>
      </c>
      <c r="I451" s="190">
        <f>SUMIFS(Table1[Estimação (horas)],Table1[Tabela],Plano_V3!E451,Table1[Campo],Plano_V3!F451)</f>
        <v>8.1</v>
      </c>
      <c r="J451" s="190">
        <f t="shared" si="70"/>
        <v>1.0125</v>
      </c>
      <c r="K451" s="190">
        <f>SUMIFS(Table1[Horas efetivas],Table1[Tabela],Plano_V3!E451,Table1[Campo],Plano_V3!F451)</f>
        <v>2.0249999999999999</v>
      </c>
      <c r="L451" s="190">
        <f t="shared" si="71"/>
        <v>0.25312499999999999</v>
      </c>
      <c r="M451" s="184"/>
      <c r="N451" s="184">
        <f t="shared" si="72"/>
        <v>0.25</v>
      </c>
      <c r="O451" s="184">
        <f t="shared" si="67"/>
        <v>0.25</v>
      </c>
      <c r="P451" s="88" t="s">
        <v>335</v>
      </c>
      <c r="Q451" s="91">
        <f t="shared" si="68"/>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x14ac:dyDescent="0.4">
      <c r="A452" s="30" t="str">
        <f t="shared" si="69"/>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90">
        <f>SUMIFS(Table1[Estimação (horas)],Table1[Tabela],Plano_V3!E452,Table1[Campo],Plano_V3!F452)</f>
        <v>4.0999999999999996</v>
      </c>
      <c r="J452" s="190">
        <f t="shared" si="70"/>
        <v>0.51249999999999996</v>
      </c>
      <c r="K452" s="190">
        <f>SUMIFS(Table1[Horas efetivas],Table1[Tabela],Plano_V3!E452,Table1[Campo],Plano_V3!F452)</f>
        <v>4.0999999999999996</v>
      </c>
      <c r="L452" s="190">
        <f t="shared" si="71"/>
        <v>0.51249999999999996</v>
      </c>
      <c r="M452" s="184"/>
      <c r="N452" s="184">
        <f t="shared" si="72"/>
        <v>1</v>
      </c>
      <c r="O452" s="184">
        <f t="shared" si="67"/>
        <v>1</v>
      </c>
      <c r="P452" s="88" t="s">
        <v>335</v>
      </c>
      <c r="Q452" s="91">
        <f t="shared" si="68"/>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x14ac:dyDescent="0.4">
      <c r="A453" s="30" t="str">
        <f t="shared" si="69"/>
        <v>modesg_out_sfcs_taxon_europeiaref_date</v>
      </c>
      <c r="B453" s="68" t="s">
        <v>26</v>
      </c>
      <c r="C453" s="69" t="s">
        <v>311</v>
      </c>
      <c r="D453" s="65" t="s">
        <v>40</v>
      </c>
      <c r="E453" s="67" t="s">
        <v>334</v>
      </c>
      <c r="F453" s="65" t="s">
        <v>208</v>
      </c>
      <c r="G453" s="65" t="str">
        <f>INDEX(Auxiliar!$B$16:$B$24,MATCH(Plano_V3!H453,Auxiliar!$C$16:$C$24,0),1)</f>
        <v>6. Em implementação (re-especificação)</v>
      </c>
      <c r="H453" s="65">
        <f>VLOOKUP(A453,'Aux - pivots1'!$A:$B,2,0)</f>
        <v>7</v>
      </c>
      <c r="I453" s="190">
        <f>SUMIFS(Table1[Estimação (horas)],Table1[Tabela],Plano_V3!E453,Table1[Campo],Plano_V3!F453)</f>
        <v>4.0999999999999996</v>
      </c>
      <c r="J453" s="190">
        <f t="shared" si="70"/>
        <v>0.51249999999999996</v>
      </c>
      <c r="K453" s="190">
        <f>SUMIFS(Table1[Horas efetivas],Table1[Tabela],Plano_V3!E453,Table1[Campo],Plano_V3!F453)</f>
        <v>1.0249999999999999</v>
      </c>
      <c r="L453" s="190">
        <f t="shared" si="71"/>
        <v>0.12812499999999999</v>
      </c>
      <c r="M453" s="184"/>
      <c r="N453" s="184">
        <f t="shared" si="72"/>
        <v>0.25</v>
      </c>
      <c r="O453" s="184">
        <f t="shared" si="67"/>
        <v>0.25</v>
      </c>
      <c r="P453" s="88" t="s">
        <v>335</v>
      </c>
      <c r="Q453" s="91">
        <f t="shared" si="68"/>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x14ac:dyDescent="0.4">
      <c r="A454" s="30" t="str">
        <f t="shared" si="69"/>
        <v>modesg_out_sfcs_taxon_europeiazdeposit</v>
      </c>
      <c r="B454" s="68" t="s">
        <v>26</v>
      </c>
      <c r="C454" s="69" t="s">
        <v>311</v>
      </c>
      <c r="D454" s="65" t="s">
        <v>40</v>
      </c>
      <c r="E454" s="67" t="s">
        <v>334</v>
      </c>
      <c r="F454" s="65" t="s">
        <v>210</v>
      </c>
      <c r="G454" s="65" t="str">
        <f>INDEX(Auxiliar!$B$16:$B$24,MATCH(Plano_V3!H454,Auxiliar!$C$16:$C$24,0),1)</f>
        <v>6. Em implementação (re-especificação)</v>
      </c>
      <c r="H454" s="65">
        <f>VLOOKUP(A454,'Aux - pivots1'!$A:$B,2,0)</f>
        <v>7</v>
      </c>
      <c r="I454" s="190">
        <f>SUMIFS(Table1[Estimação (horas)],Table1[Tabela],Plano_V3!E454,Table1[Campo],Plano_V3!F454)</f>
        <v>8.1</v>
      </c>
      <c r="J454" s="190">
        <f t="shared" si="70"/>
        <v>1.0125</v>
      </c>
      <c r="K454" s="190">
        <f>SUMIFS(Table1[Horas efetivas],Table1[Tabela],Plano_V3!E454,Table1[Campo],Plano_V3!F454)</f>
        <v>2.0249999999999999</v>
      </c>
      <c r="L454" s="190">
        <f t="shared" si="71"/>
        <v>0.25312499999999999</v>
      </c>
      <c r="M454" s="184"/>
      <c r="N454" s="184">
        <f t="shared" si="72"/>
        <v>0.25</v>
      </c>
      <c r="O454" s="184">
        <f t="shared" si="67"/>
        <v>0.25</v>
      </c>
      <c r="P454" s="88" t="s">
        <v>335</v>
      </c>
      <c r="Q454" s="91">
        <f t="shared" si="68"/>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x14ac:dyDescent="0.4">
      <c r="A455" s="30" t="str">
        <f t="shared" si="69"/>
        <v>Re-testesn.a.</v>
      </c>
      <c r="B455" s="68" t="s">
        <v>26</v>
      </c>
      <c r="C455" s="69" t="s">
        <v>311</v>
      </c>
      <c r="D455" s="65" t="s">
        <v>40</v>
      </c>
      <c r="E455" s="67" t="s">
        <v>53</v>
      </c>
      <c r="F455" s="65" t="s">
        <v>38</v>
      </c>
      <c r="G455" s="65" t="s">
        <v>180</v>
      </c>
      <c r="H455" s="65"/>
      <c r="I455" s="190">
        <f>SUM(I372:I454)*$D$7</f>
        <v>88.487500000000139</v>
      </c>
      <c r="J455" s="190">
        <f>I455/8</f>
        <v>11.060937500000017</v>
      </c>
      <c r="K455" s="190">
        <f>SUM(K372:K454)*$D$7</f>
        <v>46.71250000000002</v>
      </c>
      <c r="L455" s="190">
        <f>K455/8</f>
        <v>5.8390625000000025</v>
      </c>
      <c r="M455" s="184"/>
      <c r="N455" s="184">
        <f t="shared" si="72"/>
        <v>0.52789942082214947</v>
      </c>
      <c r="O455" s="184">
        <f t="shared" si="67"/>
        <v>0.52789942082214947</v>
      </c>
      <c r="P455" s="88"/>
      <c r="Q455" s="91">
        <f t="shared" si="68"/>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x14ac:dyDescent="0.4">
      <c r="A456" s="30" t="str">
        <f t="shared" si="69"/>
        <v/>
      </c>
      <c r="B456" s="102" t="s">
        <v>26</v>
      </c>
      <c r="C456" s="103" t="s">
        <v>30</v>
      </c>
      <c r="D456" s="97"/>
      <c r="E456" s="104"/>
      <c r="F456" s="97"/>
      <c r="G456" s="97"/>
      <c r="H456" s="97"/>
      <c r="I456" s="189">
        <f>SUM(I457:I592)</f>
        <v>377.63750000000158</v>
      </c>
      <c r="J456" s="189">
        <f>ROUNDUP(I456/8,0)</f>
        <v>48</v>
      </c>
      <c r="K456" s="189">
        <f>SUM(K457:K592)</f>
        <v>227.27187499999974</v>
      </c>
      <c r="L456" s="189">
        <f>ROUNDUP(K456/8,0)</f>
        <v>29</v>
      </c>
      <c r="M456" s="188">
        <f>SUMIFS(R456:ES456,$R$9:$ES$9,"S")/J456</f>
        <v>6.25E-2</v>
      </c>
      <c r="N456" s="188">
        <f>IFERROR(L456/J456,0)</f>
        <v>0.60416666666666663</v>
      </c>
      <c r="O456" s="188">
        <f t="shared" si="67"/>
        <v>0.54166666666666663</v>
      </c>
      <c r="P456" s="196" t="s">
        <v>1938</v>
      </c>
      <c r="Q456" s="91">
        <f t="shared" si="68"/>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9"/>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outlineLevel="1" x14ac:dyDescent="0.4">
      <c r="A457" s="30" t="str">
        <f t="shared" si="69"/>
        <v>lt003_entitynace_esg</v>
      </c>
      <c r="B457" s="68" t="s">
        <v>26</v>
      </c>
      <c r="C457" s="69" t="s">
        <v>26</v>
      </c>
      <c r="D457" s="65" t="s">
        <v>40</v>
      </c>
      <c r="E457" s="71" t="s">
        <v>336</v>
      </c>
      <c r="F457" s="72" t="s">
        <v>337</v>
      </c>
      <c r="G457" s="65" t="str">
        <f>INDEX(Auxiliar!$B$16:$B$24,MATCH(Plano_V3!H457,Auxiliar!$C$16:$C$24,0),1)</f>
        <v>2.1 Em Teste</v>
      </c>
      <c r="H457" s="65">
        <f>VLOOKUP(A457,'Aux - pivots1'!$A:$B,2,0)</f>
        <v>2</v>
      </c>
      <c r="I457" s="182">
        <f>SUMIFS(Table1[Estimação (horas)],Table1[Tabela],Plano_V3!E457,Table1[Campo],Plano_V3!F457)</f>
        <v>4.0999999999999996</v>
      </c>
      <c r="J457" s="182">
        <f t="shared" ref="J457:J525" si="73">I457/8</f>
        <v>0.51249999999999996</v>
      </c>
      <c r="K457" s="182">
        <f>SUMIFS(Table1[Horas efetivas],Table1[Tabela],Plano_V3!E457,Table1[Campo],Plano_V3!F457)</f>
        <v>2.0499999999999998</v>
      </c>
      <c r="L457" s="182">
        <f t="shared" ref="L457:L525" si="74">K457/8</f>
        <v>0.25624999999999998</v>
      </c>
      <c r="M457" s="184"/>
      <c r="N457" s="184">
        <f t="shared" ref="N457:N525" si="75">L457/J457</f>
        <v>0.5</v>
      </c>
      <c r="O457" s="184"/>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x14ac:dyDescent="0.4">
      <c r="A458" s="30" t="str">
        <f t="shared" si="69"/>
        <v>lt003_entitytxnmy_elgbl_capex_ccm</v>
      </c>
      <c r="B458" s="68" t="s">
        <v>26</v>
      </c>
      <c r="C458" s="69" t="s">
        <v>26</v>
      </c>
      <c r="D458" s="65" t="s">
        <v>40</v>
      </c>
      <c r="E458" s="71" t="s">
        <v>336</v>
      </c>
      <c r="F458" s="72" t="s">
        <v>339</v>
      </c>
      <c r="G458" s="65" t="str">
        <f>INDEX(Auxiliar!$B$16:$B$24,MATCH(Plano_V3!H458,Auxiliar!$C$16:$C$24,0),1)</f>
        <v>2.1 Em Teste</v>
      </c>
      <c r="H458" s="65">
        <f>VLOOKUP(A458,'Aux - pivots1'!$A:$B,2,0)</f>
        <v>2</v>
      </c>
      <c r="I458" s="182">
        <f>SUMIFS(Table1[Estimação (horas)],Table1[Tabela],Plano_V3!E458,Table1[Campo],Plano_V3!F458)</f>
        <v>4.0999999999999996</v>
      </c>
      <c r="J458" s="182">
        <f t="shared" si="73"/>
        <v>0.51249999999999996</v>
      </c>
      <c r="K458" s="182">
        <f>SUMIFS(Table1[Horas efetivas],Table1[Tabela],Plano_V3!E458,Table1[Campo],Plano_V3!F458)</f>
        <v>2.0499999999999998</v>
      </c>
      <c r="L458" s="182">
        <f t="shared" si="74"/>
        <v>0.25624999999999998</v>
      </c>
      <c r="M458" s="184"/>
      <c r="N458" s="184">
        <f t="shared" si="75"/>
        <v>0.5</v>
      </c>
      <c r="O458" s="184"/>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x14ac:dyDescent="0.4">
      <c r="A459" s="30" t="str">
        <f t="shared" si="69"/>
        <v>lt003_entitytxnmy_elgbl_trnvr_ccm</v>
      </c>
      <c r="B459" s="68" t="s">
        <v>26</v>
      </c>
      <c r="C459" s="69" t="s">
        <v>26</v>
      </c>
      <c r="D459" s="65" t="s">
        <v>40</v>
      </c>
      <c r="E459" s="71" t="s">
        <v>336</v>
      </c>
      <c r="F459" s="72" t="s">
        <v>340</v>
      </c>
      <c r="G459" s="65" t="str">
        <f>INDEX(Auxiliar!$B$16:$B$24,MATCH(Plano_V3!H459,Auxiliar!$C$16:$C$24,0),1)</f>
        <v>2.1 Em Teste</v>
      </c>
      <c r="H459" s="65">
        <f>VLOOKUP(A459,'Aux - pivots1'!$A:$B,2,0)</f>
        <v>2</v>
      </c>
      <c r="I459" s="182">
        <f>SUMIFS(Table1[Estimação (horas)],Table1[Tabela],Plano_V3!E459,Table1[Campo],Plano_V3!F459)</f>
        <v>4.0999999999999996</v>
      </c>
      <c r="J459" s="182">
        <f t="shared" si="73"/>
        <v>0.51249999999999996</v>
      </c>
      <c r="K459" s="182">
        <f>SUMIFS(Table1[Horas efetivas],Table1[Tabela],Plano_V3!E459,Table1[Campo],Plano_V3!F459)</f>
        <v>2.0499999999999998</v>
      </c>
      <c r="L459" s="182">
        <f t="shared" si="74"/>
        <v>0.25624999999999998</v>
      </c>
      <c r="M459" s="184"/>
      <c r="N459" s="184">
        <f t="shared" si="75"/>
        <v>0.5</v>
      </c>
      <c r="O459" s="184"/>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x14ac:dyDescent="0.4">
      <c r="A460" s="30" t="str">
        <f t="shared" si="69"/>
        <v>lt003_entitytxnmy_elgbl_capex_cca</v>
      </c>
      <c r="B460" s="68" t="s">
        <v>26</v>
      </c>
      <c r="C460" s="69" t="s">
        <v>26</v>
      </c>
      <c r="D460" s="65" t="s">
        <v>40</v>
      </c>
      <c r="E460" s="71" t="s">
        <v>336</v>
      </c>
      <c r="F460" s="72" t="s">
        <v>341</v>
      </c>
      <c r="G460" s="65" t="str">
        <f>INDEX(Auxiliar!$B$16:$B$24,MATCH(Plano_V3!H460,Auxiliar!$C$16:$C$24,0),1)</f>
        <v>2.1 Em Teste</v>
      </c>
      <c r="H460" s="65">
        <f>VLOOKUP(A460,'Aux - pivots1'!$A:$B,2,0)</f>
        <v>2</v>
      </c>
      <c r="I460" s="182">
        <f>SUMIFS(Table1[Estimação (horas)],Table1[Tabela],Plano_V3!E460,Table1[Campo],Plano_V3!F460)</f>
        <v>4.0999999999999996</v>
      </c>
      <c r="J460" s="182">
        <f t="shared" si="73"/>
        <v>0.51249999999999996</v>
      </c>
      <c r="K460" s="182">
        <f>SUMIFS(Table1[Horas efetivas],Table1[Tabela],Plano_V3!E460,Table1[Campo],Plano_V3!F460)</f>
        <v>2.0499999999999998</v>
      </c>
      <c r="L460" s="182">
        <f t="shared" si="74"/>
        <v>0.25624999999999998</v>
      </c>
      <c r="M460" s="184"/>
      <c r="N460" s="184">
        <f t="shared" si="75"/>
        <v>0.5</v>
      </c>
      <c r="O460" s="184"/>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x14ac:dyDescent="0.4">
      <c r="A461" s="30" t="str">
        <f t="shared" si="69"/>
        <v>lt003_entitytxnmy_elgbl_trnvr_cca</v>
      </c>
      <c r="B461" s="68" t="s">
        <v>26</v>
      </c>
      <c r="C461" s="69" t="s">
        <v>26</v>
      </c>
      <c r="D461" s="65" t="s">
        <v>40</v>
      </c>
      <c r="E461" s="71" t="s">
        <v>336</v>
      </c>
      <c r="F461" s="72" t="s">
        <v>342</v>
      </c>
      <c r="G461" s="65" t="str">
        <f>INDEX(Auxiliar!$B$16:$B$24,MATCH(Plano_V3!H461,Auxiliar!$C$16:$C$24,0),1)</f>
        <v>2.1 Em Teste</v>
      </c>
      <c r="H461" s="65">
        <f>VLOOKUP(A461,'Aux - pivots1'!$A:$B,2,0)</f>
        <v>2</v>
      </c>
      <c r="I461" s="182">
        <f>SUMIFS(Table1[Estimação (horas)],Table1[Tabela],Plano_V3!E461,Table1[Campo],Plano_V3!F461)</f>
        <v>4.0999999999999996</v>
      </c>
      <c r="J461" s="182">
        <f t="shared" si="73"/>
        <v>0.51249999999999996</v>
      </c>
      <c r="K461" s="182">
        <f>SUMIFS(Table1[Horas efetivas],Table1[Tabela],Plano_V3!E461,Table1[Campo],Plano_V3!F461)</f>
        <v>2.0499999999999998</v>
      </c>
      <c r="L461" s="182">
        <f t="shared" si="74"/>
        <v>0.25624999999999998</v>
      </c>
      <c r="M461" s="184"/>
      <c r="N461" s="184">
        <f t="shared" si="75"/>
        <v>0.5</v>
      </c>
      <c r="O461" s="184"/>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x14ac:dyDescent="0.4">
      <c r="A462" s="30" t="str">
        <f t="shared" si="69"/>
        <v>lt003_entityenblng_capex_ccm</v>
      </c>
      <c r="B462" s="68" t="s">
        <v>26</v>
      </c>
      <c r="C462" s="69" t="s">
        <v>26</v>
      </c>
      <c r="D462" s="65" t="s">
        <v>40</v>
      </c>
      <c r="E462" s="71" t="s">
        <v>336</v>
      </c>
      <c r="F462" s="72" t="s">
        <v>343</v>
      </c>
      <c r="G462" s="65" t="str">
        <f>INDEX(Auxiliar!$B$16:$B$24,MATCH(Plano_V3!H462,Auxiliar!$C$16:$C$24,0),1)</f>
        <v>2.1 Em Teste</v>
      </c>
      <c r="H462" s="65">
        <f>VLOOKUP(A462,'Aux - pivots1'!$A:$B,2,0)</f>
        <v>2</v>
      </c>
      <c r="I462" s="182">
        <f>SUMIFS(Table1[Estimação (horas)],Table1[Tabela],Plano_V3!E462,Table1[Campo],Plano_V3!F462)</f>
        <v>4.0999999999999996</v>
      </c>
      <c r="J462" s="182">
        <f t="shared" si="73"/>
        <v>0.51249999999999996</v>
      </c>
      <c r="K462" s="182">
        <f>SUMIFS(Table1[Horas efetivas],Table1[Tabela],Plano_V3!E462,Table1[Campo],Plano_V3!F462)</f>
        <v>2.0499999999999998</v>
      </c>
      <c r="L462" s="182">
        <f t="shared" si="74"/>
        <v>0.25624999999999998</v>
      </c>
      <c r="M462" s="184"/>
      <c r="N462" s="184">
        <f t="shared" si="75"/>
        <v>0.5</v>
      </c>
      <c r="O462" s="184"/>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x14ac:dyDescent="0.4">
      <c r="A463" s="30" t="str">
        <f t="shared" si="69"/>
        <v>lt003_entityenblng_capex_cca</v>
      </c>
      <c r="B463" s="68" t="s">
        <v>26</v>
      </c>
      <c r="C463" s="69" t="s">
        <v>26</v>
      </c>
      <c r="D463" s="65" t="s">
        <v>40</v>
      </c>
      <c r="E463" s="71" t="s">
        <v>336</v>
      </c>
      <c r="F463" s="72" t="s">
        <v>344</v>
      </c>
      <c r="G463" s="65" t="str">
        <f>INDEX(Auxiliar!$B$16:$B$24,MATCH(Plano_V3!H463,Auxiliar!$C$16:$C$24,0),1)</f>
        <v>2.1 Em Teste</v>
      </c>
      <c r="H463" s="65">
        <f>VLOOKUP(A463,'Aux - pivots1'!$A:$B,2,0)</f>
        <v>2</v>
      </c>
      <c r="I463" s="182">
        <f>SUMIFS(Table1[Estimação (horas)],Table1[Tabela],Plano_V3!E463,Table1[Campo],Plano_V3!F463)</f>
        <v>4.0999999999999996</v>
      </c>
      <c r="J463" s="182">
        <f t="shared" si="73"/>
        <v>0.51249999999999996</v>
      </c>
      <c r="K463" s="182">
        <f>SUMIFS(Table1[Horas efetivas],Table1[Tabela],Plano_V3!E463,Table1[Campo],Plano_V3!F463)</f>
        <v>2.0499999999999998</v>
      </c>
      <c r="L463" s="182">
        <f t="shared" si="74"/>
        <v>0.25624999999999998</v>
      </c>
      <c r="M463" s="184"/>
      <c r="N463" s="184">
        <f t="shared" si="75"/>
        <v>0.5</v>
      </c>
      <c r="O463" s="184"/>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x14ac:dyDescent="0.4">
      <c r="A464" s="30" t="str">
        <f t="shared" si="69"/>
        <v>lt003_entitytrnstnl_capex</v>
      </c>
      <c r="B464" s="68" t="s">
        <v>26</v>
      </c>
      <c r="C464" s="69" t="s">
        <v>26</v>
      </c>
      <c r="D464" s="65" t="s">
        <v>40</v>
      </c>
      <c r="E464" s="71" t="s">
        <v>336</v>
      </c>
      <c r="F464" s="72" t="s">
        <v>345</v>
      </c>
      <c r="G464" s="65" t="str">
        <f>INDEX(Auxiliar!$B$16:$B$24,MATCH(Plano_V3!H464,Auxiliar!$C$16:$C$24,0),1)</f>
        <v>2.1 Em Teste</v>
      </c>
      <c r="H464" s="65">
        <f>VLOOKUP(A464,'Aux - pivots1'!$A:$B,2,0)</f>
        <v>2</v>
      </c>
      <c r="I464" s="182">
        <f>SUMIFS(Table1[Estimação (horas)],Table1[Tabela],Plano_V3!E464,Table1[Campo],Plano_V3!F464)</f>
        <v>4.0999999999999996</v>
      </c>
      <c r="J464" s="182">
        <f t="shared" si="73"/>
        <v>0.51249999999999996</v>
      </c>
      <c r="K464" s="182">
        <f>SUMIFS(Table1[Horas efetivas],Table1[Tabela],Plano_V3!E464,Table1[Campo],Plano_V3!F464)</f>
        <v>2.0499999999999998</v>
      </c>
      <c r="L464" s="182">
        <f t="shared" si="74"/>
        <v>0.25624999999999998</v>
      </c>
      <c r="M464" s="184"/>
      <c r="N464" s="184">
        <f t="shared" si="75"/>
        <v>0.5</v>
      </c>
      <c r="O464" s="184"/>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x14ac:dyDescent="0.4">
      <c r="A465" s="30" t="str">
        <f t="shared" si="69"/>
        <v>lt003_entitypure_capex_ccm</v>
      </c>
      <c r="B465" s="68" t="s">
        <v>26</v>
      </c>
      <c r="C465" s="69" t="s">
        <v>26</v>
      </c>
      <c r="D465" s="65" t="s">
        <v>40</v>
      </c>
      <c r="E465" s="71" t="s">
        <v>336</v>
      </c>
      <c r="F465" s="72" t="s">
        <v>346</v>
      </c>
      <c r="G465" s="65" t="str">
        <f>INDEX(Auxiliar!$B$16:$B$24,MATCH(Plano_V3!H465,Auxiliar!$C$16:$C$24,0),1)</f>
        <v>2.1 Em Teste</v>
      </c>
      <c r="H465" s="65">
        <f>VLOOKUP(A465,'Aux - pivots1'!$A:$B,2,0)</f>
        <v>2</v>
      </c>
      <c r="I465" s="182">
        <f>SUMIFS(Table1[Estimação (horas)],Table1[Tabela],Plano_V3!E465,Table1[Campo],Plano_V3!F465)</f>
        <v>4.0999999999999996</v>
      </c>
      <c r="J465" s="182">
        <f t="shared" si="73"/>
        <v>0.51249999999999996</v>
      </c>
      <c r="K465" s="182">
        <f>SUMIFS(Table1[Horas efetivas],Table1[Tabela],Plano_V3!E465,Table1[Campo],Plano_V3!F465)</f>
        <v>2.0499999999999998</v>
      </c>
      <c r="L465" s="182">
        <f t="shared" si="74"/>
        <v>0.25624999999999998</v>
      </c>
      <c r="M465" s="184"/>
      <c r="N465" s="184">
        <f t="shared" si="75"/>
        <v>0.5</v>
      </c>
      <c r="O465" s="184"/>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x14ac:dyDescent="0.4">
      <c r="A466" s="30" t="str">
        <f t="shared" si="69"/>
        <v>lt003_entitypure_capex_cca</v>
      </c>
      <c r="B466" s="68" t="s">
        <v>26</v>
      </c>
      <c r="C466" s="69" t="s">
        <v>26</v>
      </c>
      <c r="D466" s="65" t="s">
        <v>40</v>
      </c>
      <c r="E466" s="71" t="s">
        <v>336</v>
      </c>
      <c r="F466" s="72" t="s">
        <v>347</v>
      </c>
      <c r="G466" s="65" t="str">
        <f>INDEX(Auxiliar!$B$16:$B$24,MATCH(Plano_V3!H466,Auxiliar!$C$16:$C$24,0),1)</f>
        <v>2.1 Em Teste</v>
      </c>
      <c r="H466" s="65">
        <f>VLOOKUP(A466,'Aux - pivots1'!$A:$B,2,0)</f>
        <v>2</v>
      </c>
      <c r="I466" s="182">
        <f>SUMIFS(Table1[Estimação (horas)],Table1[Tabela],Plano_V3!E466,Table1[Campo],Plano_V3!F466)</f>
        <v>4.0999999999999996</v>
      </c>
      <c r="J466" s="182">
        <f t="shared" si="73"/>
        <v>0.51249999999999996</v>
      </c>
      <c r="K466" s="182">
        <f>SUMIFS(Table1[Horas efetivas],Table1[Tabela],Plano_V3!E466,Table1[Campo],Plano_V3!F466)</f>
        <v>2.0499999999999998</v>
      </c>
      <c r="L466" s="182">
        <f t="shared" si="74"/>
        <v>0.25624999999999998</v>
      </c>
      <c r="M466" s="184"/>
      <c r="N466" s="184">
        <f t="shared" si="75"/>
        <v>0.5</v>
      </c>
      <c r="O466" s="184"/>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x14ac:dyDescent="0.4">
      <c r="A467" s="30" t="str">
        <f t="shared" si="69"/>
        <v>lt003_entityenblng_trnvr_ccm</v>
      </c>
      <c r="B467" s="68" t="s">
        <v>26</v>
      </c>
      <c r="C467" s="69" t="s">
        <v>26</v>
      </c>
      <c r="D467" s="65" t="s">
        <v>40</v>
      </c>
      <c r="E467" s="71" t="s">
        <v>336</v>
      </c>
      <c r="F467" s="72" t="s">
        <v>348</v>
      </c>
      <c r="G467" s="65" t="str">
        <f>INDEX(Auxiliar!$B$16:$B$24,MATCH(Plano_V3!H467,Auxiliar!$C$16:$C$24,0),1)</f>
        <v>2.1 Em Teste</v>
      </c>
      <c r="H467" s="65">
        <f>VLOOKUP(A467,'Aux - pivots1'!$A:$B,2,0)</f>
        <v>2</v>
      </c>
      <c r="I467" s="182">
        <f>SUMIFS(Table1[Estimação (horas)],Table1[Tabela],Plano_V3!E467,Table1[Campo],Plano_V3!F467)</f>
        <v>4.0999999999999996</v>
      </c>
      <c r="J467" s="182">
        <f t="shared" si="73"/>
        <v>0.51249999999999996</v>
      </c>
      <c r="K467" s="182">
        <f>SUMIFS(Table1[Horas efetivas],Table1[Tabela],Plano_V3!E467,Table1[Campo],Plano_V3!F467)</f>
        <v>2.0499999999999998</v>
      </c>
      <c r="L467" s="182">
        <f t="shared" si="74"/>
        <v>0.25624999999999998</v>
      </c>
      <c r="M467" s="184"/>
      <c r="N467" s="184">
        <f t="shared" si="75"/>
        <v>0.5</v>
      </c>
      <c r="O467" s="184"/>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x14ac:dyDescent="0.4">
      <c r="A468" s="30" t="str">
        <f t="shared" si="69"/>
        <v>lt003_entityenblng_trnvr_cca</v>
      </c>
      <c r="B468" s="68" t="s">
        <v>26</v>
      </c>
      <c r="C468" s="69" t="s">
        <v>26</v>
      </c>
      <c r="D468" s="65" t="s">
        <v>40</v>
      </c>
      <c r="E468" s="71" t="s">
        <v>336</v>
      </c>
      <c r="F468" s="72" t="s">
        <v>349</v>
      </c>
      <c r="G468" s="65" t="str">
        <f>INDEX(Auxiliar!$B$16:$B$24,MATCH(Plano_V3!H468,Auxiliar!$C$16:$C$24,0),1)</f>
        <v>2.1 Em Teste</v>
      </c>
      <c r="H468" s="65">
        <f>VLOOKUP(A468,'Aux - pivots1'!$A:$B,2,0)</f>
        <v>2</v>
      </c>
      <c r="I468" s="182">
        <f>SUMIFS(Table1[Estimação (horas)],Table1[Tabela],Plano_V3!E468,Table1[Campo],Plano_V3!F468)</f>
        <v>4.0999999999999996</v>
      </c>
      <c r="J468" s="182">
        <f t="shared" si="73"/>
        <v>0.51249999999999996</v>
      </c>
      <c r="K468" s="182">
        <f>SUMIFS(Table1[Horas efetivas],Table1[Tabela],Plano_V3!E468,Table1[Campo],Plano_V3!F468)</f>
        <v>2.0499999999999998</v>
      </c>
      <c r="L468" s="182">
        <f t="shared" si="74"/>
        <v>0.25624999999999998</v>
      </c>
      <c r="M468" s="184"/>
      <c r="N468" s="184">
        <f t="shared" si="75"/>
        <v>0.5</v>
      </c>
      <c r="O468" s="184"/>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x14ac:dyDescent="0.4">
      <c r="A469" s="30" t="str">
        <f t="shared" si="69"/>
        <v>lt003_entitytrnstnl_trnvr</v>
      </c>
      <c r="B469" s="68" t="s">
        <v>26</v>
      </c>
      <c r="C469" s="69" t="s">
        <v>26</v>
      </c>
      <c r="D469" s="65" t="s">
        <v>40</v>
      </c>
      <c r="E469" s="71" t="s">
        <v>336</v>
      </c>
      <c r="F469" s="72" t="s">
        <v>350</v>
      </c>
      <c r="G469" s="65" t="str">
        <f>INDEX(Auxiliar!$B$16:$B$24,MATCH(Plano_V3!H469,Auxiliar!$C$16:$C$24,0),1)</f>
        <v>2.1 Em Teste</v>
      </c>
      <c r="H469" s="65">
        <f>VLOOKUP(A469,'Aux - pivots1'!$A:$B,2,0)</f>
        <v>2</v>
      </c>
      <c r="I469" s="182">
        <f>SUMIFS(Table1[Estimação (horas)],Table1[Tabela],Plano_V3!E469,Table1[Campo],Plano_V3!F469)</f>
        <v>4.0999999999999996</v>
      </c>
      <c r="J469" s="182">
        <f t="shared" si="73"/>
        <v>0.51249999999999996</v>
      </c>
      <c r="K469" s="182">
        <f>SUMIFS(Table1[Horas efetivas],Table1[Tabela],Plano_V3!E469,Table1[Campo],Plano_V3!F469)</f>
        <v>2.0499999999999998</v>
      </c>
      <c r="L469" s="182">
        <f t="shared" si="74"/>
        <v>0.25624999999999998</v>
      </c>
      <c r="M469" s="184"/>
      <c r="N469" s="184">
        <f t="shared" si="75"/>
        <v>0.5</v>
      </c>
      <c r="O469" s="184"/>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x14ac:dyDescent="0.4">
      <c r="A470" s="30" t="str">
        <f t="shared" si="69"/>
        <v>lt003_entitypure_trnvr_ccm</v>
      </c>
      <c r="B470" s="68" t="s">
        <v>26</v>
      </c>
      <c r="C470" s="69" t="s">
        <v>26</v>
      </c>
      <c r="D470" s="65" t="s">
        <v>40</v>
      </c>
      <c r="E470" s="71" t="s">
        <v>336</v>
      </c>
      <c r="F470" s="72" t="s">
        <v>351</v>
      </c>
      <c r="G470" s="65" t="str">
        <f>INDEX(Auxiliar!$B$16:$B$24,MATCH(Plano_V3!H470,Auxiliar!$C$16:$C$24,0),1)</f>
        <v>2.1 Em Teste</v>
      </c>
      <c r="H470" s="65">
        <f>VLOOKUP(A470,'Aux - pivots1'!$A:$B,2,0)</f>
        <v>2</v>
      </c>
      <c r="I470" s="182">
        <f>SUMIFS(Table1[Estimação (horas)],Table1[Tabela],Plano_V3!E470,Table1[Campo],Plano_V3!F470)</f>
        <v>4.0999999999999996</v>
      </c>
      <c r="J470" s="182">
        <f t="shared" si="73"/>
        <v>0.51249999999999996</v>
      </c>
      <c r="K470" s="182">
        <f>SUMIFS(Table1[Horas efetivas],Table1[Tabela],Plano_V3!E470,Table1[Campo],Plano_V3!F470)</f>
        <v>2.0499999999999998</v>
      </c>
      <c r="L470" s="182">
        <f t="shared" si="74"/>
        <v>0.25624999999999998</v>
      </c>
      <c r="M470" s="184"/>
      <c r="N470" s="184">
        <f t="shared" si="75"/>
        <v>0.5</v>
      </c>
      <c r="O470" s="184"/>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x14ac:dyDescent="0.4">
      <c r="A471" s="30" t="str">
        <f t="shared" si="69"/>
        <v>lt003_entitypure_trnvr_cca</v>
      </c>
      <c r="B471" s="68" t="s">
        <v>26</v>
      </c>
      <c r="C471" s="69" t="s">
        <v>26</v>
      </c>
      <c r="D471" s="65" t="s">
        <v>40</v>
      </c>
      <c r="E471" s="71" t="s">
        <v>336</v>
      </c>
      <c r="F471" s="72" t="s">
        <v>352</v>
      </c>
      <c r="G471" s="65" t="str">
        <f>INDEX(Auxiliar!$B$16:$B$24,MATCH(Plano_V3!H471,Auxiliar!$C$16:$C$24,0),1)</f>
        <v>2.1 Em Teste</v>
      </c>
      <c r="H471" s="65">
        <f>VLOOKUP(A471,'Aux - pivots1'!$A:$B,2,0)</f>
        <v>2</v>
      </c>
      <c r="I471" s="182">
        <f>SUMIFS(Table1[Estimação (horas)],Table1[Tabela],Plano_V3!E471,Table1[Campo],Plano_V3!F471)</f>
        <v>4.0999999999999996</v>
      </c>
      <c r="J471" s="182">
        <f t="shared" si="73"/>
        <v>0.51249999999999996</v>
      </c>
      <c r="K471" s="182">
        <f>SUMIFS(Table1[Horas efetivas],Table1[Tabela],Plano_V3!E471,Table1[Campo],Plano_V3!F471)</f>
        <v>2.0499999999999998</v>
      </c>
      <c r="L471" s="182">
        <f t="shared" si="74"/>
        <v>0.25624999999999998</v>
      </c>
      <c r="M471" s="184"/>
      <c r="N471" s="184">
        <f t="shared" si="75"/>
        <v>0.5</v>
      </c>
      <c r="O471" s="184"/>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x14ac:dyDescent="0.4">
      <c r="A472" s="30" t="str">
        <f t="shared" si="69"/>
        <v>lt003_entityflg_nfrd_applcblty</v>
      </c>
      <c r="B472" s="68" t="s">
        <v>26</v>
      </c>
      <c r="C472" s="69" t="s">
        <v>26</v>
      </c>
      <c r="D472" s="65" t="s">
        <v>40</v>
      </c>
      <c r="E472" s="71" t="s">
        <v>336</v>
      </c>
      <c r="F472" s="72" t="s">
        <v>353</v>
      </c>
      <c r="G472" s="65" t="str">
        <f>INDEX(Auxiliar!$B$16:$B$24,MATCH(Plano_V3!H472,Auxiliar!$C$16:$C$24,0),1)</f>
        <v>2.1 Em Teste</v>
      </c>
      <c r="H472" s="65">
        <f>VLOOKUP(A472,'Aux - pivots1'!$A:$B,2,0)</f>
        <v>2</v>
      </c>
      <c r="I472" s="182">
        <f>SUMIFS(Table1[Estimação (horas)],Table1[Tabela],Plano_V3!E472,Table1[Campo],Plano_V3!F472)</f>
        <v>4.0999999999999996</v>
      </c>
      <c r="J472" s="182">
        <f t="shared" si="73"/>
        <v>0.51249999999999996</v>
      </c>
      <c r="K472" s="182">
        <f>SUMIFS(Table1[Horas efetivas],Table1[Tabela],Plano_V3!E472,Table1[Campo],Plano_V3!F472)</f>
        <v>2.0499999999999998</v>
      </c>
      <c r="L472" s="182">
        <f t="shared" si="74"/>
        <v>0.25624999999999998</v>
      </c>
      <c r="M472" s="184"/>
      <c r="N472" s="184">
        <f t="shared" si="75"/>
        <v>0.5</v>
      </c>
      <c r="O472" s="184"/>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x14ac:dyDescent="0.4">
      <c r="A473" s="30" t="str">
        <f t="shared" si="69"/>
        <v>lt003_entitycntrprty_emssns_scp1</v>
      </c>
      <c r="B473" s="68" t="s">
        <v>26</v>
      </c>
      <c r="C473" s="69" t="s">
        <v>26</v>
      </c>
      <c r="D473" s="65" t="s">
        <v>40</v>
      </c>
      <c r="E473" s="71" t="s">
        <v>336</v>
      </c>
      <c r="F473" s="72" t="s">
        <v>354</v>
      </c>
      <c r="G473" s="65" t="str">
        <f>INDEX(Auxiliar!$B$16:$B$24,MATCH(Plano_V3!H473,Auxiliar!$C$16:$C$24,0),1)</f>
        <v>2.1 Em Teste</v>
      </c>
      <c r="H473" s="65">
        <f>VLOOKUP(A473,'Aux - pivots1'!$A:$B,2,0)</f>
        <v>2</v>
      </c>
      <c r="I473" s="182">
        <f>SUMIFS(Table1[Estimação (horas)],Table1[Tabela],Plano_V3!E473,Table1[Campo],Plano_V3!F473)</f>
        <v>4.0999999999999996</v>
      </c>
      <c r="J473" s="182">
        <f t="shared" si="73"/>
        <v>0.51249999999999996</v>
      </c>
      <c r="K473" s="182">
        <f>SUMIFS(Table1[Horas efetivas],Table1[Tabela],Plano_V3!E473,Table1[Campo],Plano_V3!F473)</f>
        <v>2.0499999999999998</v>
      </c>
      <c r="L473" s="182">
        <f t="shared" si="74"/>
        <v>0.25624999999999998</v>
      </c>
      <c r="M473" s="184"/>
      <c r="N473" s="184">
        <f t="shared" si="75"/>
        <v>0.5</v>
      </c>
      <c r="O473" s="184"/>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x14ac:dyDescent="0.4">
      <c r="A474" s="30" t="str">
        <f t="shared" si="69"/>
        <v>lt003_entitycntrprty_emssns_scp2</v>
      </c>
      <c r="B474" s="68" t="s">
        <v>26</v>
      </c>
      <c r="C474" s="69" t="s">
        <v>26</v>
      </c>
      <c r="D474" s="65" t="s">
        <v>40</v>
      </c>
      <c r="E474" s="71" t="s">
        <v>336</v>
      </c>
      <c r="F474" s="72" t="s">
        <v>355</v>
      </c>
      <c r="G474" s="65" t="str">
        <f>INDEX(Auxiliar!$B$16:$B$24,MATCH(Plano_V3!H474,Auxiliar!$C$16:$C$24,0),1)</f>
        <v>2.1 Em Teste</v>
      </c>
      <c r="H474" s="65">
        <f>VLOOKUP(A474,'Aux - pivots1'!$A:$B,2,0)</f>
        <v>2</v>
      </c>
      <c r="I474" s="182">
        <f>SUMIFS(Table1[Estimação (horas)],Table1[Tabela],Plano_V3!E474,Table1[Campo],Plano_V3!F474)</f>
        <v>4.0999999999999996</v>
      </c>
      <c r="J474" s="182">
        <f t="shared" si="73"/>
        <v>0.51249999999999996</v>
      </c>
      <c r="K474" s="182">
        <f>SUMIFS(Table1[Horas efetivas],Table1[Tabela],Plano_V3!E474,Table1[Campo],Plano_V3!F474)</f>
        <v>2.0499999999999998</v>
      </c>
      <c r="L474" s="182">
        <f t="shared" si="74"/>
        <v>0.25624999999999998</v>
      </c>
      <c r="M474" s="184"/>
      <c r="N474" s="184">
        <f t="shared" si="75"/>
        <v>0.5</v>
      </c>
      <c r="O474" s="184"/>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x14ac:dyDescent="0.4">
      <c r="A475" s="30" t="str">
        <f t="shared" si="69"/>
        <v>lt003_entitycntrprty_emssns_scp3</v>
      </c>
      <c r="B475" s="68" t="s">
        <v>26</v>
      </c>
      <c r="C475" s="69" t="s">
        <v>26</v>
      </c>
      <c r="D475" s="65" t="s">
        <v>40</v>
      </c>
      <c r="E475" s="71" t="s">
        <v>336</v>
      </c>
      <c r="F475" s="72" t="s">
        <v>356</v>
      </c>
      <c r="G475" s="65" t="str">
        <f>INDEX(Auxiliar!$B$16:$B$24,MATCH(Plano_V3!H475,Auxiliar!$C$16:$C$24,0),1)</f>
        <v>2.1 Em Teste</v>
      </c>
      <c r="H475" s="65">
        <f>VLOOKUP(A475,'Aux - pivots1'!$A:$B,2,0)</f>
        <v>2</v>
      </c>
      <c r="I475" s="182">
        <f>SUMIFS(Table1[Estimação (horas)],Table1[Tabela],Plano_V3!E475,Table1[Campo],Plano_V3!F475)</f>
        <v>4.0999999999999996</v>
      </c>
      <c r="J475" s="182">
        <f t="shared" si="73"/>
        <v>0.51249999999999996</v>
      </c>
      <c r="K475" s="182">
        <f>SUMIFS(Table1[Horas efetivas],Table1[Tabela],Plano_V3!E475,Table1[Campo],Plano_V3!F475)</f>
        <v>2.0499999999999998</v>
      </c>
      <c r="L475" s="182">
        <f t="shared" si="74"/>
        <v>0.25624999999999998</v>
      </c>
      <c r="M475" s="184"/>
      <c r="N475" s="184">
        <f t="shared" si="75"/>
        <v>0.5</v>
      </c>
      <c r="O475" s="184"/>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x14ac:dyDescent="0.4">
      <c r="A476" s="30" t="str">
        <f t="shared" si="69"/>
        <v>lt003_entityflg_excldd_eu_prs_algnd_bnchmrk</v>
      </c>
      <c r="B476" s="68" t="s">
        <v>26</v>
      </c>
      <c r="C476" s="69" t="s">
        <v>26</v>
      </c>
      <c r="D476" s="65" t="s">
        <v>40</v>
      </c>
      <c r="E476" s="71" t="s">
        <v>336</v>
      </c>
      <c r="F476" s="72" t="s">
        <v>357</v>
      </c>
      <c r="G476" s="65" t="str">
        <f>INDEX(Auxiliar!$B$16:$B$24,MATCH(Plano_V3!H476,Auxiliar!$C$16:$C$24,0),1)</f>
        <v>2.1 Em Teste</v>
      </c>
      <c r="H476" s="65">
        <f>VLOOKUP(A476,'Aux - pivots1'!$A:$B,2,0)</f>
        <v>2</v>
      </c>
      <c r="I476" s="182">
        <f>SUMIFS(Table1[Estimação (horas)],Table1[Tabela],Plano_V3!E476,Table1[Campo],Plano_V3!F476)</f>
        <v>4.0999999999999996</v>
      </c>
      <c r="J476" s="182">
        <f t="shared" si="73"/>
        <v>0.51249999999999996</v>
      </c>
      <c r="K476" s="182">
        <f>SUMIFS(Table1[Horas efetivas],Table1[Tabela],Plano_V3!E476,Table1[Campo],Plano_V3!F476)</f>
        <v>2.0499999999999998</v>
      </c>
      <c r="L476" s="182">
        <f t="shared" si="74"/>
        <v>0.25624999999999998</v>
      </c>
      <c r="M476" s="184"/>
      <c r="N476" s="184">
        <f t="shared" si="75"/>
        <v>0.5</v>
      </c>
      <c r="O476" s="184"/>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x14ac:dyDescent="0.4">
      <c r="A477" s="30" t="str">
        <f t="shared" si="69"/>
        <v>lt003_entityflg_act_physcl_rsk</v>
      </c>
      <c r="B477" s="68" t="s">
        <v>26</v>
      </c>
      <c r="C477" s="69" t="s">
        <v>26</v>
      </c>
      <c r="D477" s="65" t="s">
        <v>40</v>
      </c>
      <c r="E477" s="71" t="s">
        <v>336</v>
      </c>
      <c r="F477" s="72" t="s">
        <v>358</v>
      </c>
      <c r="G477" s="65" t="str">
        <f>INDEX(Auxiliar!$B$16:$B$24,MATCH(Plano_V3!H477,Auxiliar!$C$16:$C$24,0),1)</f>
        <v>3. Pendente de outros desenvolvimentos</v>
      </c>
      <c r="H477" s="65">
        <f>VLOOKUP(A477,'Aux - pivots1'!$A:$B,2,0)</f>
        <v>4</v>
      </c>
      <c r="I477" s="182">
        <f>SUMIFS(Table1[Estimação (horas)],Table1[Tabela],Plano_V3!E477,Table1[Campo],Plano_V3!F477)</f>
        <v>4.0999999999999996</v>
      </c>
      <c r="J477" s="182">
        <f t="shared" si="73"/>
        <v>0.51249999999999996</v>
      </c>
      <c r="K477" s="182">
        <f>SUMIFS(Table1[Horas efetivas],Table1[Tabela],Plano_V3!E477,Table1[Campo],Plano_V3!F477)</f>
        <v>1.0249999999999999</v>
      </c>
      <c r="L477" s="182">
        <f t="shared" si="74"/>
        <v>0.12812499999999999</v>
      </c>
      <c r="M477" s="184"/>
      <c r="N477" s="184">
        <f t="shared" si="75"/>
        <v>0.25</v>
      </c>
      <c r="O477" s="184"/>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x14ac:dyDescent="0.4">
      <c r="A478" s="30" t="str">
        <f t="shared" si="69"/>
        <v>lt003_entityflg_chrnc_physcl_rsk</v>
      </c>
      <c r="B478" s="68" t="s">
        <v>26</v>
      </c>
      <c r="C478" s="69" t="s">
        <v>26</v>
      </c>
      <c r="D478" s="65" t="s">
        <v>40</v>
      </c>
      <c r="E478" s="71" t="s">
        <v>336</v>
      </c>
      <c r="F478" s="72" t="s">
        <v>359</v>
      </c>
      <c r="G478" s="65" t="str">
        <f>INDEX(Auxiliar!$B$16:$B$24,MATCH(Plano_V3!H478,Auxiliar!$C$16:$C$24,0),1)</f>
        <v>3. Pendente de outros desenvolvimentos</v>
      </c>
      <c r="H478" s="65">
        <f>VLOOKUP(A478,'Aux - pivots1'!$A:$B,2,0)</f>
        <v>4</v>
      </c>
      <c r="I478" s="182">
        <f>SUMIFS(Table1[Estimação (horas)],Table1[Tabela],Plano_V3!E478,Table1[Campo],Plano_V3!F478)</f>
        <v>4.0999999999999996</v>
      </c>
      <c r="J478" s="182">
        <f t="shared" si="73"/>
        <v>0.51249999999999996</v>
      </c>
      <c r="K478" s="182">
        <f>SUMIFS(Table1[Horas efetivas],Table1[Tabela],Plano_V3!E478,Table1[Campo],Plano_V3!F478)</f>
        <v>1.0249999999999999</v>
      </c>
      <c r="L478" s="182">
        <f t="shared" si="74"/>
        <v>0.12812499999999999</v>
      </c>
      <c r="M478" s="184"/>
      <c r="N478" s="184">
        <f t="shared" si="75"/>
        <v>0.25</v>
      </c>
      <c r="O478" s="184"/>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x14ac:dyDescent="0.4">
      <c r="A479" s="30" t="str">
        <f t="shared" si="69"/>
        <v>lt003_entitypst_cd</v>
      </c>
      <c r="B479" s="68" t="s">
        <v>26</v>
      </c>
      <c r="C479" s="69" t="s">
        <v>26</v>
      </c>
      <c r="D479" s="65" t="s">
        <v>40</v>
      </c>
      <c r="E479" s="71" t="s">
        <v>336</v>
      </c>
      <c r="F479" s="72" t="s">
        <v>360</v>
      </c>
      <c r="G479" s="65" t="str">
        <f>INDEX(Auxiliar!$B$16:$B$24,MATCH(Plano_V3!H479,Auxiliar!$C$16:$C$24,0),1)</f>
        <v>1. Concluído</v>
      </c>
      <c r="H479" s="65">
        <f>VLOOKUP(A479,'Aux - pivots1'!$A:$B,2,0)</f>
        <v>1</v>
      </c>
      <c r="I479" s="182">
        <f>SUMIFS(Table1[Estimação (horas)],Table1[Tabela],Plano_V3!E479,Table1[Campo],Plano_V3!F479)</f>
        <v>4.0999999999999996</v>
      </c>
      <c r="J479" s="182">
        <f t="shared" si="73"/>
        <v>0.51249999999999996</v>
      </c>
      <c r="K479" s="182">
        <f>SUMIFS(Table1[Horas efetivas],Table1[Tabela],Plano_V3!E479,Table1[Campo],Plano_V3!F479)</f>
        <v>4.0999999999999996</v>
      </c>
      <c r="L479" s="182">
        <f t="shared" si="74"/>
        <v>0.51249999999999996</v>
      </c>
      <c r="M479" s="184"/>
      <c r="N479" s="184">
        <f t="shared" si="75"/>
        <v>1</v>
      </c>
      <c r="O479" s="184"/>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x14ac:dyDescent="0.4">
      <c r="A480" s="30" t="str">
        <f t="shared" si="69"/>
        <v>lt003_entityesg_sbsctr</v>
      </c>
      <c r="B480" s="68" t="s">
        <v>26</v>
      </c>
      <c r="C480" s="69" t="s">
        <v>26</v>
      </c>
      <c r="D480" s="65" t="s">
        <v>40</v>
      </c>
      <c r="E480" s="71" t="s">
        <v>336</v>
      </c>
      <c r="F480" s="72" t="s">
        <v>361</v>
      </c>
      <c r="G480" s="65" t="str">
        <f>INDEX(Auxiliar!$B$16:$B$24,MATCH(Plano_V3!H480,Auxiliar!$C$16:$C$24,0),1)</f>
        <v>2.1 Em Teste</v>
      </c>
      <c r="H480" s="65">
        <f>VLOOKUP(A480,'Aux - pivots1'!$A:$B,2,0)</f>
        <v>2</v>
      </c>
      <c r="I480" s="182">
        <f>SUMIFS(Table1[Estimação (horas)],Table1[Tabela],Plano_V3!E480,Table1[Campo],Plano_V3!F480)</f>
        <v>4.0999999999999996</v>
      </c>
      <c r="J480" s="182">
        <f t="shared" si="73"/>
        <v>0.51249999999999996</v>
      </c>
      <c r="K480" s="182">
        <f>SUMIFS(Table1[Horas efetivas],Table1[Tabela],Plano_V3!E480,Table1[Campo],Plano_V3!F480)</f>
        <v>2.0499999999999998</v>
      </c>
      <c r="L480" s="182">
        <f t="shared" si="74"/>
        <v>0.25624999999999998</v>
      </c>
      <c r="M480" s="184"/>
      <c r="N480" s="184">
        <f t="shared" si="75"/>
        <v>0.5</v>
      </c>
      <c r="O480" s="184"/>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x14ac:dyDescent="0.4">
      <c r="A481" s="30" t="str">
        <f t="shared" si="69"/>
        <v>lt003_entityttl_lblty</v>
      </c>
      <c r="B481" s="68" t="s">
        <v>26</v>
      </c>
      <c r="C481" s="69" t="s">
        <v>26</v>
      </c>
      <c r="D481" s="65" t="s">
        <v>40</v>
      </c>
      <c r="E481" s="71" t="s">
        <v>336</v>
      </c>
      <c r="F481" s="72" t="s">
        <v>362</v>
      </c>
      <c r="G481" s="65" t="str">
        <f>INDEX(Auxiliar!$B$16:$B$24,MATCH(Plano_V3!H481,Auxiliar!$C$16:$C$24,0),1)</f>
        <v>6. Em implementação (re-especificação)</v>
      </c>
      <c r="H481" s="65">
        <f>VLOOKUP(A481,'Aux - pivots1'!$A:$B,2,0)</f>
        <v>7</v>
      </c>
      <c r="I481" s="182">
        <f>SUMIFS(Table1[Estimação (horas)],Table1[Tabela],Plano_V3!E481,Table1[Campo],Plano_V3!F481)</f>
        <v>4.0999999999999996</v>
      </c>
      <c r="J481" s="182">
        <f t="shared" si="73"/>
        <v>0.51249999999999996</v>
      </c>
      <c r="K481" s="182">
        <f>SUMIFS(Table1[Horas efetivas],Table1[Tabela],Plano_V3!E481,Table1[Campo],Plano_V3!F481)</f>
        <v>1.0249999999999999</v>
      </c>
      <c r="L481" s="182">
        <f t="shared" si="74"/>
        <v>0.12812499999999999</v>
      </c>
      <c r="M481" s="184"/>
      <c r="N481" s="184">
        <f t="shared" si="75"/>
        <v>0.25</v>
      </c>
      <c r="O481" s="184"/>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x14ac:dyDescent="0.4">
      <c r="A482" s="30" t="str">
        <f t="shared" si="69"/>
        <v>lt003_entityisin</v>
      </c>
      <c r="B482" s="68" t="s">
        <v>26</v>
      </c>
      <c r="C482" s="69" t="s">
        <v>26</v>
      </c>
      <c r="D482" s="65" t="s">
        <v>40</v>
      </c>
      <c r="E482" s="71" t="s">
        <v>336</v>
      </c>
      <c r="F482" s="72" t="s">
        <v>239</v>
      </c>
      <c r="G482" s="65" t="str">
        <f>INDEX(Auxiliar!$B$16:$B$24,MATCH(Plano_V3!H482,Auxiliar!$C$16:$C$24,0),1)</f>
        <v>2.1 Em Teste</v>
      </c>
      <c r="H482" s="65">
        <f>VLOOKUP(A482,'Aux - pivots1'!$A:$B,2,0)</f>
        <v>2</v>
      </c>
      <c r="I482" s="182">
        <f>SUMIFS(Table1[Estimação (horas)],Table1[Tabela],Plano_V3!E482,Table1[Campo],Plano_V3!F482)</f>
        <v>4.0999999999999996</v>
      </c>
      <c r="J482" s="182">
        <f t="shared" si="73"/>
        <v>0.51249999999999996</v>
      </c>
      <c r="K482" s="182">
        <f>SUMIFS(Table1[Horas efetivas],Table1[Tabela],Plano_V3!E482,Table1[Campo],Plano_V3!F482)</f>
        <v>2.0499999999999998</v>
      </c>
      <c r="L482" s="182">
        <f t="shared" si="74"/>
        <v>0.25624999999999998</v>
      </c>
      <c r="M482" s="184"/>
      <c r="N482" s="184">
        <f t="shared" si="75"/>
        <v>0.5</v>
      </c>
      <c r="O482" s="184"/>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x14ac:dyDescent="0.4">
      <c r="A483" s="30" t="str">
        <f t="shared" si="69"/>
        <v>lt003_entitygrp_annl_trnvr_le</v>
      </c>
      <c r="B483" s="68" t="s">
        <v>26</v>
      </c>
      <c r="C483" s="69" t="s">
        <v>26</v>
      </c>
      <c r="D483" s="65" t="s">
        <v>40</v>
      </c>
      <c r="E483" s="71" t="s">
        <v>336</v>
      </c>
      <c r="F483" s="72" t="s">
        <v>363</v>
      </c>
      <c r="G483" s="65" t="str">
        <f>INDEX(Auxiliar!$B$16:$B$24,MATCH(Plano_V3!H483,Auxiliar!$C$16:$C$24,0),1)</f>
        <v>2.1 Em Teste</v>
      </c>
      <c r="H483" s="65">
        <f>VLOOKUP(A483,'Aux - pivots1'!$A:$B,2,0)</f>
        <v>2</v>
      </c>
      <c r="I483" s="182">
        <f>SUMIFS(Table1[Estimação (horas)],Table1[Tabela],Plano_V3!E483,Table1[Campo],Plano_V3!F483)</f>
        <v>4.0999999999999996</v>
      </c>
      <c r="J483" s="182">
        <f t="shared" si="73"/>
        <v>0.51249999999999996</v>
      </c>
      <c r="K483" s="182">
        <f>SUMIFS(Table1[Horas efetivas],Table1[Tabela],Plano_V3!E483,Table1[Campo],Plano_V3!F483)</f>
        <v>2.0499999999999998</v>
      </c>
      <c r="L483" s="182">
        <f t="shared" si="74"/>
        <v>0.25624999999999998</v>
      </c>
      <c r="M483" s="184"/>
      <c r="N483" s="184">
        <f t="shared" si="75"/>
        <v>0.5</v>
      </c>
      <c r="O483" s="184"/>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x14ac:dyDescent="0.4">
      <c r="A484" s="30" t="str">
        <f t="shared" si="69"/>
        <v>lt003_entitygrp_ttl_lblty</v>
      </c>
      <c r="B484" s="68" t="s">
        <v>26</v>
      </c>
      <c r="C484" s="69" t="s">
        <v>26</v>
      </c>
      <c r="D484" s="65" t="s">
        <v>40</v>
      </c>
      <c r="E484" s="71" t="s">
        <v>336</v>
      </c>
      <c r="F484" s="72" t="s">
        <v>364</v>
      </c>
      <c r="G484" s="65" t="str">
        <f>INDEX(Auxiliar!$B$16:$B$24,MATCH(Plano_V3!H484,Auxiliar!$C$16:$C$24,0),1)</f>
        <v>2.1 Em Teste</v>
      </c>
      <c r="H484" s="65">
        <f>VLOOKUP(A484,'Aux - pivots1'!$A:$B,2,0)</f>
        <v>2</v>
      </c>
      <c r="I484" s="182">
        <f>SUMIFS(Table1[Estimação (horas)],Table1[Tabela],Plano_V3!E484,Table1[Campo],Plano_V3!F484)</f>
        <v>4.0999999999999996</v>
      </c>
      <c r="J484" s="182">
        <f t="shared" si="73"/>
        <v>0.51249999999999996</v>
      </c>
      <c r="K484" s="182">
        <f>SUMIFS(Table1[Horas efetivas],Table1[Tabela],Plano_V3!E484,Table1[Campo],Plano_V3!F484)</f>
        <v>2.0499999999999998</v>
      </c>
      <c r="L484" s="182">
        <f t="shared" si="74"/>
        <v>0.25624999999999998</v>
      </c>
      <c r="M484" s="184"/>
      <c r="N484" s="184">
        <f t="shared" si="75"/>
        <v>0.5</v>
      </c>
      <c r="O484" s="184"/>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x14ac:dyDescent="0.4">
      <c r="A485" s="30" t="str">
        <f t="shared" si="69"/>
        <v>lt003_entityflg_grp_nfrd_applcblty</v>
      </c>
      <c r="B485" s="68" t="s">
        <v>26</v>
      </c>
      <c r="C485" s="69" t="s">
        <v>26</v>
      </c>
      <c r="D485" s="65" t="s">
        <v>40</v>
      </c>
      <c r="E485" s="71" t="s">
        <v>336</v>
      </c>
      <c r="F485" s="72" t="s">
        <v>365</v>
      </c>
      <c r="G485" s="65" t="str">
        <f>INDEX(Auxiliar!$B$16:$B$24,MATCH(Plano_V3!H485,Auxiliar!$C$16:$C$24,0),1)</f>
        <v>2.1 Em Teste</v>
      </c>
      <c r="H485" s="65">
        <f>VLOOKUP(A485,'Aux - pivots1'!$A:$B,2,0)</f>
        <v>2</v>
      </c>
      <c r="I485" s="182">
        <f>SUMIFS(Table1[Estimação (horas)],Table1[Tabela],Plano_V3!E485,Table1[Campo],Plano_V3!F485)</f>
        <v>4.0999999999999996</v>
      </c>
      <c r="J485" s="182">
        <f t="shared" si="73"/>
        <v>0.51249999999999996</v>
      </c>
      <c r="K485" s="182">
        <f>SUMIFS(Table1[Horas efetivas],Table1[Tabela],Plano_V3!E485,Table1[Campo],Plano_V3!F485)</f>
        <v>2.0499999999999998</v>
      </c>
      <c r="L485" s="182">
        <f t="shared" si="74"/>
        <v>0.25624999999999998</v>
      </c>
      <c r="M485" s="184"/>
      <c r="N485" s="184">
        <f t="shared" si="75"/>
        <v>0.5</v>
      </c>
      <c r="O485" s="184"/>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x14ac:dyDescent="0.4">
      <c r="A486" s="30" t="str">
        <f t="shared" ref="A486:A592" si="76">E486&amp;F486</f>
        <v>lt003_entitygrp_emssns_scp1</v>
      </c>
      <c r="B486" s="68" t="s">
        <v>26</v>
      </c>
      <c r="C486" s="69" t="s">
        <v>26</v>
      </c>
      <c r="D486" s="65" t="s">
        <v>40</v>
      </c>
      <c r="E486" s="71" t="s">
        <v>336</v>
      </c>
      <c r="F486" s="72" t="s">
        <v>366</v>
      </c>
      <c r="G486" s="65" t="str">
        <f>INDEX(Auxiliar!$B$16:$B$24,MATCH(Plano_V3!H486,Auxiliar!$C$16:$C$24,0),1)</f>
        <v>2.1 Em Teste</v>
      </c>
      <c r="H486" s="65">
        <f>VLOOKUP(A486,'Aux - pivots1'!$A:$B,2,0)</f>
        <v>2</v>
      </c>
      <c r="I486" s="182">
        <f>SUMIFS(Table1[Estimação (horas)],Table1[Tabela],Plano_V3!E486,Table1[Campo],Plano_V3!F486)</f>
        <v>4.0999999999999996</v>
      </c>
      <c r="J486" s="182">
        <f t="shared" si="73"/>
        <v>0.51249999999999996</v>
      </c>
      <c r="K486" s="182">
        <f>SUMIFS(Table1[Horas efetivas],Table1[Tabela],Plano_V3!E486,Table1[Campo],Plano_V3!F486)</f>
        <v>2.0499999999999998</v>
      </c>
      <c r="L486" s="182">
        <f t="shared" si="74"/>
        <v>0.25624999999999998</v>
      </c>
      <c r="M486" s="184"/>
      <c r="N486" s="184">
        <f t="shared" si="75"/>
        <v>0.5</v>
      </c>
      <c r="O486" s="184"/>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x14ac:dyDescent="0.4">
      <c r="A487" s="30" t="str">
        <f t="shared" si="76"/>
        <v>lt003_entitygrp_emssns_scp2</v>
      </c>
      <c r="B487" s="68" t="s">
        <v>26</v>
      </c>
      <c r="C487" s="69" t="s">
        <v>26</v>
      </c>
      <c r="D487" s="65" t="s">
        <v>40</v>
      </c>
      <c r="E487" s="71" t="s">
        <v>336</v>
      </c>
      <c r="F487" s="72" t="s">
        <v>367</v>
      </c>
      <c r="G487" s="65" t="str">
        <f>INDEX(Auxiliar!$B$16:$B$24,MATCH(Plano_V3!H487,Auxiliar!$C$16:$C$24,0),1)</f>
        <v>2.1 Em Teste</v>
      </c>
      <c r="H487" s="65">
        <f>VLOOKUP(A487,'Aux - pivots1'!$A:$B,2,0)</f>
        <v>2</v>
      </c>
      <c r="I487" s="182">
        <f>SUMIFS(Table1[Estimação (horas)],Table1[Tabela],Plano_V3!E487,Table1[Campo],Plano_V3!F487)</f>
        <v>4.0999999999999996</v>
      </c>
      <c r="J487" s="182">
        <f t="shared" si="73"/>
        <v>0.51249999999999996</v>
      </c>
      <c r="K487" s="182">
        <f>SUMIFS(Table1[Horas efetivas],Table1[Tabela],Plano_V3!E487,Table1[Campo],Plano_V3!F487)</f>
        <v>2.0499999999999998</v>
      </c>
      <c r="L487" s="182">
        <f t="shared" si="74"/>
        <v>0.25624999999999998</v>
      </c>
      <c r="M487" s="184"/>
      <c r="N487" s="184">
        <f t="shared" si="75"/>
        <v>0.5</v>
      </c>
      <c r="O487" s="184"/>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x14ac:dyDescent="0.4">
      <c r="A488" s="30" t="str">
        <f t="shared" si="76"/>
        <v>lt003_entitygrp_emssns_scp3</v>
      </c>
      <c r="B488" s="68" t="s">
        <v>26</v>
      </c>
      <c r="C488" s="69" t="s">
        <v>26</v>
      </c>
      <c r="D488" s="65" t="s">
        <v>40</v>
      </c>
      <c r="E488" s="71" t="s">
        <v>336</v>
      </c>
      <c r="F488" s="72" t="s">
        <v>368</v>
      </c>
      <c r="G488" s="65" t="str">
        <f>INDEX(Auxiliar!$B$16:$B$24,MATCH(Plano_V3!H488,Auxiliar!$C$16:$C$24,0),1)</f>
        <v>2.1 Em Teste</v>
      </c>
      <c r="H488" s="65">
        <f>VLOOKUP(A488,'Aux - pivots1'!$A:$B,2,0)</f>
        <v>2</v>
      </c>
      <c r="I488" s="182">
        <f>SUMIFS(Table1[Estimação (horas)],Table1[Tabela],Plano_V3!E488,Table1[Campo],Plano_V3!F488)</f>
        <v>4.0999999999999996</v>
      </c>
      <c r="J488" s="182">
        <f t="shared" si="73"/>
        <v>0.51249999999999996</v>
      </c>
      <c r="K488" s="182">
        <f>SUMIFS(Table1[Horas efetivas],Table1[Tabela],Plano_V3!E488,Table1[Campo],Plano_V3!F488)</f>
        <v>2.0499999999999998</v>
      </c>
      <c r="L488" s="182">
        <f t="shared" si="74"/>
        <v>0.25624999999999998</v>
      </c>
      <c r="M488" s="184"/>
      <c r="N488" s="184">
        <f t="shared" si="75"/>
        <v>0.5</v>
      </c>
      <c r="O488" s="184"/>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x14ac:dyDescent="0.25">
      <c r="A489" s="30" t="str">
        <f t="shared" si="76"/>
        <v>lt004_protectiontyp_ep_scr</v>
      </c>
      <c r="B489" s="68" t="s">
        <v>26</v>
      </c>
      <c r="C489" s="69" t="s">
        <v>26</v>
      </c>
      <c r="D489" s="65" t="s">
        <v>40</v>
      </c>
      <c r="E489" s="71" t="s">
        <v>369</v>
      </c>
      <c r="F489" s="72" t="s">
        <v>370</v>
      </c>
      <c r="G489" s="65" t="str">
        <f>INDEX(Auxiliar!$B$16:$B$24,MATCH(Plano_V3!H489,Auxiliar!$C$16:$C$24,0),1)</f>
        <v>2.1 Em Teste</v>
      </c>
      <c r="H489" s="65">
        <f>VLOOKUP(A489,'Aux - pivots1'!$A:$B,2,0)</f>
        <v>2</v>
      </c>
      <c r="I489" s="182">
        <f>SUMIFS(Table1[Estimação (horas)],Table1[Tabela],Plano_V3!E489,Table1[Campo],Plano_V3!F489)</f>
        <v>4.0999999999999996</v>
      </c>
      <c r="J489" s="182">
        <f t="shared" si="73"/>
        <v>0.51249999999999996</v>
      </c>
      <c r="K489" s="182">
        <f>SUMIFS(Table1[Horas efetivas],Table1[Tabela],Plano_V3!E489,Table1[Campo],Plano_V3!F489)</f>
        <v>2.0499999999999998</v>
      </c>
      <c r="L489" s="182">
        <f t="shared" si="74"/>
        <v>0.25624999999999998</v>
      </c>
      <c r="M489" s="184"/>
      <c r="N489" s="184">
        <f t="shared" si="75"/>
        <v>0.5</v>
      </c>
      <c r="O489" s="184"/>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x14ac:dyDescent="0.25">
      <c r="A490" s="30" t="str">
        <f t="shared" si="76"/>
        <v>lt004_protectionep_scr</v>
      </c>
      <c r="B490" s="68" t="s">
        <v>26</v>
      </c>
      <c r="C490" s="69" t="s">
        <v>26</v>
      </c>
      <c r="D490" s="65" t="s">
        <v>40</v>
      </c>
      <c r="E490" s="71" t="s">
        <v>369</v>
      </c>
      <c r="F490" s="72" t="s">
        <v>371</v>
      </c>
      <c r="G490" s="65" t="str">
        <f>INDEX(Auxiliar!$B$16:$B$24,MATCH(Plano_V3!H490,Auxiliar!$C$16:$C$24,0),1)</f>
        <v>2.1 Em Teste</v>
      </c>
      <c r="H490" s="65">
        <f>VLOOKUP(A490,'Aux - pivots1'!$A:$B,2,0)</f>
        <v>2</v>
      </c>
      <c r="I490" s="182">
        <f>SUMIFS(Table1[Estimação (horas)],Table1[Tabela],Plano_V3!E490,Table1[Campo],Plano_V3!F490)</f>
        <v>4.0999999999999996</v>
      </c>
      <c r="J490" s="182">
        <f t="shared" si="73"/>
        <v>0.51249999999999996</v>
      </c>
      <c r="K490" s="182">
        <f>SUMIFS(Table1[Horas efetivas],Table1[Tabela],Plano_V3!E490,Table1[Campo],Plano_V3!F490)</f>
        <v>2.0499999999999998</v>
      </c>
      <c r="L490" s="182">
        <f t="shared" si="74"/>
        <v>0.25624999999999998</v>
      </c>
      <c r="M490" s="184"/>
      <c r="N490" s="184">
        <f t="shared" si="75"/>
        <v>0.5</v>
      </c>
      <c r="O490" s="184"/>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x14ac:dyDescent="0.25">
      <c r="A491" s="30" t="str">
        <f t="shared" si="76"/>
        <v>lt004_protectiontyp_epc_lbl</v>
      </c>
      <c r="B491" s="68" t="s">
        <v>26</v>
      </c>
      <c r="C491" s="69" t="s">
        <v>26</v>
      </c>
      <c r="D491" s="65" t="s">
        <v>40</v>
      </c>
      <c r="E491" s="71" t="s">
        <v>369</v>
      </c>
      <c r="F491" s="72" t="s">
        <v>372</v>
      </c>
      <c r="G491" s="65" t="str">
        <f>INDEX(Auxiliar!$B$16:$B$24,MATCH(Plano_V3!H491,Auxiliar!$C$16:$C$24,0),1)</f>
        <v>2.1 Em Teste</v>
      </c>
      <c r="H491" s="65">
        <f>VLOOKUP(A491,'Aux - pivots1'!$A:$B,2,0)</f>
        <v>2</v>
      </c>
      <c r="I491" s="182">
        <f>SUMIFS(Table1[Estimação (horas)],Table1[Tabela],Plano_V3!E491,Table1[Campo],Plano_V3!F491)</f>
        <v>4.0999999999999996</v>
      </c>
      <c r="J491" s="182">
        <f t="shared" si="73"/>
        <v>0.51249999999999996</v>
      </c>
      <c r="K491" s="182">
        <f>SUMIFS(Table1[Horas efetivas],Table1[Tabela],Plano_V3!E491,Table1[Campo],Plano_V3!F491)</f>
        <v>2.0499999999999998</v>
      </c>
      <c r="L491" s="182">
        <f t="shared" si="74"/>
        <v>0.25624999999999998</v>
      </c>
      <c r="M491" s="184"/>
      <c r="N491" s="184">
        <f t="shared" si="75"/>
        <v>0.5</v>
      </c>
      <c r="O491" s="184"/>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x14ac:dyDescent="0.25">
      <c r="A492" s="30" t="str">
        <f t="shared" si="76"/>
        <v>lt004_protectionepc_lbl</v>
      </c>
      <c r="B492" s="68" t="s">
        <v>26</v>
      </c>
      <c r="C492" s="69" t="s">
        <v>26</v>
      </c>
      <c r="D492" s="65" t="s">
        <v>40</v>
      </c>
      <c r="E492" s="71" t="s">
        <v>369</v>
      </c>
      <c r="F492" s="72" t="s">
        <v>373</v>
      </c>
      <c r="G492" s="65" t="str">
        <f>INDEX(Auxiliar!$B$16:$B$24,MATCH(Plano_V3!H492,Auxiliar!$C$16:$C$24,0),1)</f>
        <v>2.1 Em Teste</v>
      </c>
      <c r="H492" s="65">
        <f>VLOOKUP(A492,'Aux - pivots1'!$A:$B,2,0)</f>
        <v>2</v>
      </c>
      <c r="I492" s="182">
        <f>SUMIFS(Table1[Estimação (horas)],Table1[Tabela],Plano_V3!E492,Table1[Campo],Plano_V3!F492)</f>
        <v>4.0999999999999996</v>
      </c>
      <c r="J492" s="182">
        <f t="shared" si="73"/>
        <v>0.51249999999999996</v>
      </c>
      <c r="K492" s="182">
        <f>SUMIFS(Table1[Horas efetivas],Table1[Tabela],Plano_V3!E492,Table1[Campo],Plano_V3!F492)</f>
        <v>2.0499999999999998</v>
      </c>
      <c r="L492" s="182">
        <f t="shared" si="74"/>
        <v>0.25624999999999998</v>
      </c>
      <c r="M492" s="184"/>
      <c r="N492" s="184">
        <f t="shared" si="75"/>
        <v>0.5</v>
      </c>
      <c r="O492" s="184"/>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x14ac:dyDescent="0.25">
      <c r="A493" s="30" t="str">
        <f t="shared" si="76"/>
        <v>lt004_protectionemssns_scp1_prtctn</v>
      </c>
      <c r="B493" s="68" t="s">
        <v>26</v>
      </c>
      <c r="C493" s="69" t="s">
        <v>26</v>
      </c>
      <c r="D493" s="65" t="s">
        <v>40</v>
      </c>
      <c r="E493" s="71" t="s">
        <v>369</v>
      </c>
      <c r="F493" s="72" t="s">
        <v>374</v>
      </c>
      <c r="G493" s="65" t="str">
        <f>INDEX(Auxiliar!$B$16:$B$24,MATCH(Plano_V3!H493,Auxiliar!$C$16:$C$24,0),1)</f>
        <v>6. Em implementação (re-especificação)</v>
      </c>
      <c r="H493" s="65">
        <f>VLOOKUP(A493,'Aux - pivots1'!$A:$B,2,0)</f>
        <v>7</v>
      </c>
      <c r="I493" s="182">
        <f>SUMIFS(Table1[Estimação (horas)],Table1[Tabela],Plano_V3!E493,Table1[Campo],Plano_V3!F493)</f>
        <v>4.0999999999999996</v>
      </c>
      <c r="J493" s="182">
        <f t="shared" si="73"/>
        <v>0.51249999999999996</v>
      </c>
      <c r="K493" s="182">
        <f>SUMIFS(Table1[Horas efetivas],Table1[Tabela],Plano_V3!E493,Table1[Campo],Plano_V3!F493)</f>
        <v>1.0249999999999999</v>
      </c>
      <c r="L493" s="182">
        <f t="shared" si="74"/>
        <v>0.12812499999999999</v>
      </c>
      <c r="M493" s="184"/>
      <c r="N493" s="184">
        <f t="shared" si="75"/>
        <v>0.25</v>
      </c>
      <c r="O493" s="184"/>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x14ac:dyDescent="0.25">
      <c r="A494" s="30" t="str">
        <f t="shared" si="76"/>
        <v>lt004_protectionemssns_scp2_prtctn</v>
      </c>
      <c r="B494" s="68" t="s">
        <v>26</v>
      </c>
      <c r="C494" s="69" t="s">
        <v>26</v>
      </c>
      <c r="D494" s="65" t="s">
        <v>40</v>
      </c>
      <c r="E494" s="71" t="s">
        <v>369</v>
      </c>
      <c r="F494" s="72" t="s">
        <v>375</v>
      </c>
      <c r="G494" s="65" t="str">
        <f>INDEX(Auxiliar!$B$16:$B$24,MATCH(Plano_V3!H494,Auxiliar!$C$16:$C$24,0),1)</f>
        <v>6. Em implementação (re-especificação)</v>
      </c>
      <c r="H494" s="65">
        <f>VLOOKUP(A494,'Aux - pivots1'!$A:$B,2,0)</f>
        <v>7</v>
      </c>
      <c r="I494" s="182">
        <f>SUMIFS(Table1[Estimação (horas)],Table1[Tabela],Plano_V3!E494,Table1[Campo],Plano_V3!F494)</f>
        <v>4.0999999999999996</v>
      </c>
      <c r="J494" s="182">
        <f t="shared" si="73"/>
        <v>0.51249999999999996</v>
      </c>
      <c r="K494" s="182">
        <f>SUMIFS(Table1[Horas efetivas],Table1[Tabela],Plano_V3!E494,Table1[Campo],Plano_V3!F494)</f>
        <v>1.0249999999999999</v>
      </c>
      <c r="L494" s="182">
        <f t="shared" si="74"/>
        <v>0.12812499999999999</v>
      </c>
      <c r="M494" s="184"/>
      <c r="N494" s="184">
        <f t="shared" si="75"/>
        <v>0.25</v>
      </c>
      <c r="O494" s="184"/>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x14ac:dyDescent="0.25">
      <c r="A495" s="30" t="str">
        <f t="shared" si="76"/>
        <v>lt004_protectionemssns_scp3_prtctn</v>
      </c>
      <c r="B495" s="68" t="s">
        <v>26</v>
      </c>
      <c r="C495" s="69" t="s">
        <v>26</v>
      </c>
      <c r="D495" s="65" t="s">
        <v>40</v>
      </c>
      <c r="E495" s="71" t="s">
        <v>369</v>
      </c>
      <c r="F495" s="72" t="s">
        <v>376</v>
      </c>
      <c r="G495" s="65" t="str">
        <f>INDEX(Auxiliar!$B$16:$B$24,MATCH(Plano_V3!H495,Auxiliar!$C$16:$C$24,0),1)</f>
        <v>6. Em implementação (re-especificação)</v>
      </c>
      <c r="H495" s="65">
        <f>VLOOKUP(A495,'Aux - pivots1'!$A:$B,2,0)</f>
        <v>7</v>
      </c>
      <c r="I495" s="182">
        <f>SUMIFS(Table1[Estimação (horas)],Table1[Tabela],Plano_V3!E495,Table1[Campo],Plano_V3!F495)</f>
        <v>4.0999999999999996</v>
      </c>
      <c r="J495" s="182">
        <f t="shared" si="73"/>
        <v>0.51249999999999996</v>
      </c>
      <c r="K495" s="182">
        <f>SUMIFS(Table1[Horas efetivas],Table1[Tabela],Plano_V3!E495,Table1[Campo],Plano_V3!F495)</f>
        <v>1.0249999999999999</v>
      </c>
      <c r="L495" s="182">
        <f t="shared" si="74"/>
        <v>0.12812499999999999</v>
      </c>
      <c r="M495" s="184"/>
      <c r="N495" s="184">
        <f t="shared" si="75"/>
        <v>0.25</v>
      </c>
      <c r="O495" s="184"/>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x14ac:dyDescent="0.25">
      <c r="A496" s="30" t="str">
        <f t="shared" si="76"/>
        <v>lt004_protectionmthd_usd_prtctn_scp_1</v>
      </c>
      <c r="B496" s="68" t="s">
        <v>26</v>
      </c>
      <c r="C496" s="69" t="s">
        <v>26</v>
      </c>
      <c r="D496" s="65" t="s">
        <v>40</v>
      </c>
      <c r="E496" s="71" t="s">
        <v>369</v>
      </c>
      <c r="F496" s="72" t="s">
        <v>377</v>
      </c>
      <c r="G496" s="65" t="str">
        <f>INDEX(Auxiliar!$B$16:$B$24,MATCH(Plano_V3!H496,Auxiliar!$C$16:$C$24,0),1)</f>
        <v>6. Em implementação (re-especificação)</v>
      </c>
      <c r="H496" s="65">
        <f>VLOOKUP(A496,'Aux - pivots1'!$A:$B,2,0)</f>
        <v>7</v>
      </c>
      <c r="I496" s="182">
        <f>SUMIFS(Table1[Estimação (horas)],Table1[Tabela],Plano_V3!E496,Table1[Campo],Plano_V3!F496)</f>
        <v>4.0999999999999996</v>
      </c>
      <c r="J496" s="182">
        <f t="shared" si="73"/>
        <v>0.51249999999999996</v>
      </c>
      <c r="K496" s="182">
        <f>SUMIFS(Table1[Horas efetivas],Table1[Tabela],Plano_V3!E496,Table1[Campo],Plano_V3!F496)</f>
        <v>1.0249999999999999</v>
      </c>
      <c r="L496" s="182">
        <f t="shared" si="74"/>
        <v>0.12812499999999999</v>
      </c>
      <c r="M496" s="184"/>
      <c r="N496" s="184">
        <f t="shared" si="75"/>
        <v>0.25</v>
      </c>
      <c r="O496" s="184"/>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x14ac:dyDescent="0.25">
      <c r="A497" s="30" t="str">
        <f t="shared" si="76"/>
        <v>lt004_protectionmthd_usd_prtctn_scp_2</v>
      </c>
      <c r="B497" s="68" t="s">
        <v>26</v>
      </c>
      <c r="C497" s="69" t="s">
        <v>26</v>
      </c>
      <c r="D497" s="65" t="s">
        <v>40</v>
      </c>
      <c r="E497" s="71" t="s">
        <v>369</v>
      </c>
      <c r="F497" s="72" t="s">
        <v>378</v>
      </c>
      <c r="G497" s="65" t="str">
        <f>INDEX(Auxiliar!$B$16:$B$24,MATCH(Plano_V3!H497,Auxiliar!$C$16:$C$24,0),1)</f>
        <v>6. Em implementação (re-especificação)</v>
      </c>
      <c r="H497" s="65">
        <f>VLOOKUP(A497,'Aux - pivots1'!$A:$B,2,0)</f>
        <v>7</v>
      </c>
      <c r="I497" s="182">
        <f>SUMIFS(Table1[Estimação (horas)],Table1[Tabela],Plano_V3!E497,Table1[Campo],Plano_V3!F497)</f>
        <v>4.0999999999999996</v>
      </c>
      <c r="J497" s="182">
        <f t="shared" si="73"/>
        <v>0.51249999999999996</v>
      </c>
      <c r="K497" s="182">
        <f>SUMIFS(Table1[Horas efetivas],Table1[Tabela],Plano_V3!E497,Table1[Campo],Plano_V3!F497)</f>
        <v>1.0249999999999999</v>
      </c>
      <c r="L497" s="182">
        <f t="shared" si="74"/>
        <v>0.12812499999999999</v>
      </c>
      <c r="M497" s="184"/>
      <c r="N497" s="184">
        <f t="shared" si="75"/>
        <v>0.25</v>
      </c>
      <c r="O497" s="184"/>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x14ac:dyDescent="0.25">
      <c r="A498" s="30" t="str">
        <f t="shared" si="76"/>
        <v>lt004_protectionmthd_usd_prtctn_scp_3</v>
      </c>
      <c r="B498" s="68" t="s">
        <v>26</v>
      </c>
      <c r="C498" s="69" t="s">
        <v>26</v>
      </c>
      <c r="D498" s="65" t="s">
        <v>40</v>
      </c>
      <c r="E498" s="71" t="s">
        <v>369</v>
      </c>
      <c r="F498" s="72" t="s">
        <v>379</v>
      </c>
      <c r="G498" s="65" t="str">
        <f>INDEX(Auxiliar!$B$16:$B$24,MATCH(Plano_V3!H498,Auxiliar!$C$16:$C$24,0),1)</f>
        <v>6. Em implementação (re-especificação)</v>
      </c>
      <c r="H498" s="65">
        <f>VLOOKUP(A498,'Aux - pivots1'!$A:$B,2,0)</f>
        <v>7</v>
      </c>
      <c r="I498" s="182">
        <f>SUMIFS(Table1[Estimação (horas)],Table1[Tabela],Plano_V3!E498,Table1[Campo],Plano_V3!F498)</f>
        <v>4.0999999999999996</v>
      </c>
      <c r="J498" s="182">
        <f t="shared" si="73"/>
        <v>0.51249999999999996</v>
      </c>
      <c r="K498" s="182">
        <f>SUMIFS(Table1[Horas efetivas],Table1[Tabela],Plano_V3!E498,Table1[Campo],Plano_V3!F498)</f>
        <v>1.0249999999999999</v>
      </c>
      <c r="L498" s="182">
        <f t="shared" si="74"/>
        <v>0.12812499999999999</v>
      </c>
      <c r="M498" s="184"/>
      <c r="N498" s="184">
        <f t="shared" si="75"/>
        <v>0.25</v>
      </c>
      <c r="O498" s="184"/>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x14ac:dyDescent="0.25">
      <c r="A499" s="30" t="str">
        <f t="shared" si="76"/>
        <v>lt004_protectionflg_act_physcl_rsk</v>
      </c>
      <c r="B499" s="68" t="s">
        <v>26</v>
      </c>
      <c r="C499" s="69" t="s">
        <v>26</v>
      </c>
      <c r="D499" s="65" t="s">
        <v>40</v>
      </c>
      <c r="E499" s="71" t="s">
        <v>369</v>
      </c>
      <c r="F499" s="72" t="s">
        <v>358</v>
      </c>
      <c r="G499" s="65" t="str">
        <f>INDEX(Auxiliar!$B$16:$B$24,MATCH(Plano_V3!H499,Auxiliar!$C$16:$C$24,0),1)</f>
        <v>3. Pendente de outros desenvolvimentos</v>
      </c>
      <c r="H499" s="65">
        <f>VLOOKUP(A499,'Aux - pivots1'!$A:$B,2,0)</f>
        <v>4</v>
      </c>
      <c r="I499" s="182">
        <f>SUMIFS(Table1[Estimação (horas)],Table1[Tabela],Plano_V3!E499,Table1[Campo],Plano_V3!F499)</f>
        <v>4.0999999999999996</v>
      </c>
      <c r="J499" s="182">
        <f t="shared" si="73"/>
        <v>0.51249999999999996</v>
      </c>
      <c r="K499" s="182">
        <f>SUMIFS(Table1[Horas efetivas],Table1[Tabela],Plano_V3!E499,Table1[Campo],Plano_V3!F499)</f>
        <v>1.0249999999999999</v>
      </c>
      <c r="L499" s="182">
        <f t="shared" si="74"/>
        <v>0.12812499999999999</v>
      </c>
      <c r="M499" s="184"/>
      <c r="N499" s="184">
        <f t="shared" si="75"/>
        <v>0.25</v>
      </c>
      <c r="O499" s="184"/>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x14ac:dyDescent="0.25">
      <c r="A500" s="30" t="str">
        <f t="shared" si="76"/>
        <v>lt004_protectionflg_chrnc_physcl_rsk</v>
      </c>
      <c r="B500" s="68" t="s">
        <v>26</v>
      </c>
      <c r="C500" s="69" t="s">
        <v>26</v>
      </c>
      <c r="D500" s="65" t="s">
        <v>40</v>
      </c>
      <c r="E500" s="71" t="s">
        <v>369</v>
      </c>
      <c r="F500" s="72" t="s">
        <v>359</v>
      </c>
      <c r="G500" s="65" t="str">
        <f>INDEX(Auxiliar!$B$16:$B$24,MATCH(Plano_V3!H500,Auxiliar!$C$16:$C$24,0),1)</f>
        <v>3. Pendente de outros desenvolvimentos</v>
      </c>
      <c r="H500" s="65">
        <f>VLOOKUP(A500,'Aux - pivots1'!$A:$B,2,0)</f>
        <v>4</v>
      </c>
      <c r="I500" s="182">
        <f>SUMIFS(Table1[Estimação (horas)],Table1[Tabela],Plano_V3!E500,Table1[Campo],Plano_V3!F500)</f>
        <v>4.0999999999999996</v>
      </c>
      <c r="J500" s="182">
        <f t="shared" si="73"/>
        <v>0.51249999999999996</v>
      </c>
      <c r="K500" s="182">
        <f>SUMIFS(Table1[Horas efetivas],Table1[Tabela],Plano_V3!E500,Table1[Campo],Plano_V3!F500)</f>
        <v>1.0249999999999999</v>
      </c>
      <c r="L500" s="182">
        <f t="shared" si="74"/>
        <v>0.12812499999999999</v>
      </c>
      <c r="M500" s="184"/>
      <c r="N500" s="184">
        <f t="shared" si="75"/>
        <v>0.25</v>
      </c>
      <c r="O500" s="184"/>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x14ac:dyDescent="0.25">
      <c r="A501" s="30" t="str">
        <f t="shared" si="76"/>
        <v>lt002_instrumentrsk_mtgtd_cct</v>
      </c>
      <c r="B501" s="68" t="s">
        <v>26</v>
      </c>
      <c r="C501" s="69" t="s">
        <v>26</v>
      </c>
      <c r="D501" s="65" t="s">
        <v>40</v>
      </c>
      <c r="E501" s="71" t="s">
        <v>380</v>
      </c>
      <c r="F501" s="72" t="s">
        <v>381</v>
      </c>
      <c r="G501" s="65" t="str">
        <f>INDEX(Auxiliar!$B$16:$B$24,MATCH(Plano_V3!H501,Auxiliar!$C$16:$C$24,0),1)</f>
        <v>2.1 Em Teste</v>
      </c>
      <c r="H501" s="65">
        <f>VLOOKUP(A501,'Aux - pivots1'!$A:$B,2,0)</f>
        <v>2</v>
      </c>
      <c r="I501" s="182">
        <f>SUMIFS(Table1[Estimação (horas)],Table1[Tabela],Plano_V3!E501,Table1[Campo],Plano_V3!F501)</f>
        <v>4.0999999999999996</v>
      </c>
      <c r="J501" s="182">
        <f t="shared" si="73"/>
        <v>0.51249999999999996</v>
      </c>
      <c r="K501" s="182">
        <f>SUMIFS(Table1[Horas efetivas],Table1[Tabela],Plano_V3!E501,Table1[Campo],Plano_V3!F501)</f>
        <v>2.0499999999999998</v>
      </c>
      <c r="L501" s="182">
        <f t="shared" si="74"/>
        <v>0.25624999999999998</v>
      </c>
      <c r="M501" s="184"/>
      <c r="N501" s="184">
        <f t="shared" si="75"/>
        <v>0.5</v>
      </c>
      <c r="O501" s="184"/>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x14ac:dyDescent="0.25">
      <c r="A502" s="30" t="str">
        <f t="shared" si="76"/>
        <v>lt002_instrumentrsk_mtgtd_ccp</v>
      </c>
      <c r="B502" s="68" t="s">
        <v>26</v>
      </c>
      <c r="C502" s="69" t="s">
        <v>26</v>
      </c>
      <c r="D502" s="65" t="s">
        <v>40</v>
      </c>
      <c r="E502" s="71" t="s">
        <v>380</v>
      </c>
      <c r="F502" s="72" t="s">
        <v>382</v>
      </c>
      <c r="G502" s="65" t="str">
        <f>INDEX(Auxiliar!$B$16:$B$24,MATCH(Plano_V3!H502,Auxiliar!$C$16:$C$24,0),1)</f>
        <v>6. Em implementação (re-especificação)</v>
      </c>
      <c r="H502" s="65">
        <f>VLOOKUP(A502,'Aux - pivots1'!$A:$B,2,0)</f>
        <v>7</v>
      </c>
      <c r="I502" s="182">
        <f>SUMIFS(Table1[Estimação (horas)],Table1[Tabela],Plano_V3!E502,Table1[Campo],Plano_V3!F502)</f>
        <v>4.0999999999999996</v>
      </c>
      <c r="J502" s="182">
        <f t="shared" si="73"/>
        <v>0.51249999999999996</v>
      </c>
      <c r="K502" s="182">
        <f>SUMIFS(Table1[Horas efetivas],Table1[Tabela],Plano_V3!E502,Table1[Campo],Plano_V3!F502)</f>
        <v>1.0249999999999999</v>
      </c>
      <c r="L502" s="182">
        <f t="shared" si="74"/>
        <v>0.12812499999999999</v>
      </c>
      <c r="M502" s="184"/>
      <c r="N502" s="184">
        <f t="shared" si="75"/>
        <v>0.25</v>
      </c>
      <c r="O502" s="184"/>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x14ac:dyDescent="0.25">
      <c r="A503" s="30" t="str">
        <f t="shared" si="76"/>
        <v>lt007_instr_activityenvrnmntl_objctv</v>
      </c>
      <c r="B503" s="68" t="s">
        <v>26</v>
      </c>
      <c r="C503" s="69" t="s">
        <v>26</v>
      </c>
      <c r="D503" s="65" t="s">
        <v>40</v>
      </c>
      <c r="E503" s="71" t="s">
        <v>1955</v>
      </c>
      <c r="F503" s="72" t="s">
        <v>383</v>
      </c>
      <c r="G503" s="65" t="str">
        <f>INDEX(Auxiliar!$B$16:$B$24,MATCH(Plano_V3!H503,Auxiliar!$C$16:$C$24,0),1)</f>
        <v>6. Em implementação (re-especificação)</v>
      </c>
      <c r="H503" s="65">
        <f>VLOOKUP(A503,'Aux - pivots1'!$A:$B,2,0)</f>
        <v>7</v>
      </c>
      <c r="I503" s="182">
        <f>SUMIFS(Table1[Estimação (horas)],Table1[Tabela],Plano_V3!E503,Table1[Campo],Plano_V3!F503)</f>
        <v>4.0999999999999996</v>
      </c>
      <c r="J503" s="182">
        <f t="shared" si="73"/>
        <v>0.51249999999999996</v>
      </c>
      <c r="K503" s="182">
        <f>SUMIFS(Table1[Horas efetivas],Table1[Tabela],Plano_V3!E503,Table1[Campo],Plano_V3!F503)</f>
        <v>1.0249999999999999</v>
      </c>
      <c r="L503" s="182">
        <f t="shared" si="74"/>
        <v>0.12812499999999999</v>
      </c>
      <c r="M503" s="184"/>
      <c r="N503" s="184">
        <f t="shared" si="75"/>
        <v>0.25</v>
      </c>
      <c r="O503" s="184"/>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x14ac:dyDescent="0.25">
      <c r="A504" s="30" t="str">
        <f t="shared" si="76"/>
        <v>lt007_instr_activitytyp_actvty</v>
      </c>
      <c r="B504" s="68" t="s">
        <v>26</v>
      </c>
      <c r="C504" s="69" t="s">
        <v>26</v>
      </c>
      <c r="D504" s="65" t="s">
        <v>40</v>
      </c>
      <c r="E504" s="71" t="s">
        <v>1955</v>
      </c>
      <c r="F504" s="72" t="s">
        <v>384</v>
      </c>
      <c r="G504" s="65" t="str">
        <f>INDEX(Auxiliar!$B$16:$B$24,MATCH(Plano_V3!H504,Auxiliar!$C$16:$C$24,0),1)</f>
        <v>6. Em implementação (re-especificação)</v>
      </c>
      <c r="H504" s="65">
        <f>VLOOKUP(A504,'Aux - pivots1'!$A:$B,2,0)</f>
        <v>7</v>
      </c>
      <c r="I504" s="182">
        <f>SUMIFS(Table1[Estimação (horas)],Table1[Tabela],Plano_V3!E504,Table1[Campo],Plano_V3!F504)</f>
        <v>4.0999999999999996</v>
      </c>
      <c r="J504" s="182">
        <f t="shared" si="73"/>
        <v>0.51249999999999996</v>
      </c>
      <c r="K504" s="182">
        <f>SUMIFS(Table1[Horas efetivas],Table1[Tabela],Plano_V3!E504,Table1[Campo],Plano_V3!F504)</f>
        <v>1.0249999999999999</v>
      </c>
      <c r="L504" s="182">
        <f t="shared" si="74"/>
        <v>0.12812499999999999</v>
      </c>
      <c r="M504" s="184"/>
      <c r="N504" s="184">
        <f t="shared" si="75"/>
        <v>0.25</v>
      </c>
      <c r="O504" s="184"/>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x14ac:dyDescent="0.25">
      <c r="A505" s="30" t="str">
        <f t="shared" si="76"/>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2">
        <f>SUMIFS(Table1[Estimação (horas)],Table1[Tabela],Plano_V3!E505,Table1[Campo],Plano_V3!F505)</f>
        <v>4.0999999999999996</v>
      </c>
      <c r="J505" s="182">
        <f t="shared" si="73"/>
        <v>0.51249999999999996</v>
      </c>
      <c r="K505" s="182">
        <f>SUMIFS(Table1[Horas efetivas],Table1[Tabela],Plano_V3!E505,Table1[Campo],Plano_V3!F505)</f>
        <v>4.0999999999999996</v>
      </c>
      <c r="L505" s="182">
        <f t="shared" si="74"/>
        <v>0.51249999999999996</v>
      </c>
      <c r="M505" s="184"/>
      <c r="N505" s="184">
        <f t="shared" si="75"/>
        <v>1</v>
      </c>
      <c r="O505" s="184"/>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x14ac:dyDescent="0.25">
      <c r="A506" s="30" t="str">
        <f t="shared" si="76"/>
        <v>lt002_instrumentmthd_usd_instrmnt_scp_1</v>
      </c>
      <c r="B506" s="68" t="s">
        <v>26</v>
      </c>
      <c r="C506" s="69" t="s">
        <v>26</v>
      </c>
      <c r="D506" s="65" t="s">
        <v>40</v>
      </c>
      <c r="E506" s="71" t="s">
        <v>380</v>
      </c>
      <c r="F506" s="72" t="s">
        <v>386</v>
      </c>
      <c r="G506" s="65" t="str">
        <f>INDEX(Auxiliar!$B$16:$B$24,MATCH(Plano_V3!H506,Auxiliar!$C$16:$C$24,0),1)</f>
        <v>6. Em implementação (re-especificação)</v>
      </c>
      <c r="H506" s="65">
        <f>VLOOKUP(A506,'Aux - pivots1'!$A:$B,2,0)</f>
        <v>7</v>
      </c>
      <c r="I506" s="182">
        <f>SUMIFS(Table1[Estimação (horas)],Table1[Tabela],Plano_V3!E506,Table1[Campo],Plano_V3!F506)</f>
        <v>4.0999999999999996</v>
      </c>
      <c r="J506" s="182">
        <f t="shared" si="73"/>
        <v>0.51249999999999996</v>
      </c>
      <c r="K506" s="182">
        <f>SUMIFS(Table1[Horas efetivas],Table1[Tabela],Plano_V3!E506,Table1[Campo],Plano_V3!F506)</f>
        <v>1.0249999999999999</v>
      </c>
      <c r="L506" s="182">
        <f t="shared" si="74"/>
        <v>0.12812499999999999</v>
      </c>
      <c r="M506" s="184"/>
      <c r="N506" s="184">
        <f t="shared" si="75"/>
        <v>0.25</v>
      </c>
      <c r="O506" s="184"/>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x14ac:dyDescent="0.25">
      <c r="A507" s="30" t="str">
        <f t="shared" si="76"/>
        <v>lt002_instrumentmthd_usd_instrmnt_scp_2</v>
      </c>
      <c r="B507" s="68" t="s">
        <v>26</v>
      </c>
      <c r="C507" s="69" t="s">
        <v>26</v>
      </c>
      <c r="D507" s="65" t="s">
        <v>40</v>
      </c>
      <c r="E507" s="71" t="s">
        <v>380</v>
      </c>
      <c r="F507" s="72" t="s">
        <v>387</v>
      </c>
      <c r="G507" s="65" t="str">
        <f>INDEX(Auxiliar!$B$16:$B$24,MATCH(Plano_V3!H507,Auxiliar!$C$16:$C$24,0),1)</f>
        <v>6. Em implementação (re-especificação)</v>
      </c>
      <c r="H507" s="65">
        <f>VLOOKUP(A507,'Aux - pivots1'!$A:$B,2,0)</f>
        <v>7</v>
      </c>
      <c r="I507" s="182">
        <f>SUMIFS(Table1[Estimação (horas)],Table1[Tabela],Plano_V3!E507,Table1[Campo],Plano_V3!F507)</f>
        <v>4.0999999999999996</v>
      </c>
      <c r="J507" s="182">
        <f t="shared" si="73"/>
        <v>0.51249999999999996</v>
      </c>
      <c r="K507" s="182">
        <f>SUMIFS(Table1[Horas efetivas],Table1[Tabela],Plano_V3!E507,Table1[Campo],Plano_V3!F507)</f>
        <v>1.0249999999999999</v>
      </c>
      <c r="L507" s="182">
        <f t="shared" si="74"/>
        <v>0.12812499999999999</v>
      </c>
      <c r="M507" s="184"/>
      <c r="N507" s="184">
        <f t="shared" si="75"/>
        <v>0.25</v>
      </c>
      <c r="O507" s="184"/>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x14ac:dyDescent="0.25">
      <c r="A508" s="30" t="str">
        <f t="shared" si="76"/>
        <v>lt002_instrumentmthd_usd_instrmnt_scp_3</v>
      </c>
      <c r="B508" s="68" t="s">
        <v>26</v>
      </c>
      <c r="C508" s="69" t="s">
        <v>26</v>
      </c>
      <c r="D508" s="65" t="s">
        <v>40</v>
      </c>
      <c r="E508" s="71" t="s">
        <v>380</v>
      </c>
      <c r="F508" s="72" t="s">
        <v>388</v>
      </c>
      <c r="G508" s="65" t="str">
        <f>INDEX(Auxiliar!$B$16:$B$24,MATCH(Plano_V3!H508,Auxiliar!$C$16:$C$24,0),1)</f>
        <v>6. Em implementação (re-especificação)</v>
      </c>
      <c r="H508" s="65">
        <f>VLOOKUP(A508,'Aux - pivots1'!$A:$B,2,0)</f>
        <v>7</v>
      </c>
      <c r="I508" s="182">
        <f>SUMIFS(Table1[Estimação (horas)],Table1[Tabela],Plano_V3!E508,Table1[Campo],Plano_V3!F508)</f>
        <v>4.0999999999999996</v>
      </c>
      <c r="J508" s="182">
        <f t="shared" si="73"/>
        <v>0.51249999999999996</v>
      </c>
      <c r="K508" s="182">
        <f>SUMIFS(Table1[Horas efetivas],Table1[Tabela],Plano_V3!E508,Table1[Campo],Plano_V3!F508)</f>
        <v>1.0249999999999999</v>
      </c>
      <c r="L508" s="182">
        <f t="shared" si="74"/>
        <v>0.12812499999999999</v>
      </c>
      <c r="M508" s="184"/>
      <c r="N508" s="184">
        <f t="shared" si="75"/>
        <v>0.25</v>
      </c>
      <c r="O508" s="184"/>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x14ac:dyDescent="0.25">
      <c r="A509" s="30" t="str">
        <f t="shared" si="76"/>
        <v>lt002_instrumentsstnbl_ctgry_txnmy</v>
      </c>
      <c r="B509" s="68" t="s">
        <v>26</v>
      </c>
      <c r="C509" s="69" t="s">
        <v>26</v>
      </c>
      <c r="D509" s="65" t="s">
        <v>40</v>
      </c>
      <c r="E509" s="71" t="s">
        <v>380</v>
      </c>
      <c r="F509" s="72" t="s">
        <v>389</v>
      </c>
      <c r="G509" s="65" t="str">
        <f>INDEX(Auxiliar!$B$16:$B$24,MATCH(Plano_V3!H509,Auxiliar!$C$16:$C$24,0),1)</f>
        <v>2.1 Em Teste</v>
      </c>
      <c r="H509" s="65">
        <f>VLOOKUP(A509,'Aux - pivots1'!$A:$B,2,0)</f>
        <v>2</v>
      </c>
      <c r="I509" s="182">
        <f>SUMIFS(Table1[Estimação (horas)],Table1[Tabela],Plano_V3!E509,Table1[Campo],Plano_V3!F509)</f>
        <v>4.0999999999999996</v>
      </c>
      <c r="J509" s="182">
        <f t="shared" si="73"/>
        <v>0.51249999999999996</v>
      </c>
      <c r="K509" s="182">
        <f>SUMIFS(Table1[Horas efetivas],Table1[Tabela],Plano_V3!E509,Table1[Campo],Plano_V3!F509)</f>
        <v>2.0499999999999998</v>
      </c>
      <c r="L509" s="182">
        <f t="shared" si="74"/>
        <v>0.25624999999999998</v>
      </c>
      <c r="M509" s="184"/>
      <c r="N509" s="184">
        <f t="shared" si="75"/>
        <v>0.5</v>
      </c>
      <c r="O509" s="184"/>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x14ac:dyDescent="0.25">
      <c r="A510" s="30" t="str">
        <f t="shared" si="76"/>
        <v>lt827_mthd_usd_instrmntambito</v>
      </c>
      <c r="B510" s="68" t="s">
        <v>26</v>
      </c>
      <c r="C510" s="69" t="s">
        <v>26</v>
      </c>
      <c r="D510" s="65" t="s">
        <v>40</v>
      </c>
      <c r="E510" s="71" t="s">
        <v>1956</v>
      </c>
      <c r="F510" s="73" t="s">
        <v>391</v>
      </c>
      <c r="G510" s="65" t="str">
        <f>INDEX(Auxiliar!$B$16:$B$24,MATCH(Plano_V3!H510,Auxiliar!$C$16:$C$24,0),1)</f>
        <v>1. Concluído</v>
      </c>
      <c r="H510" s="65">
        <f>VLOOKUP(A510,'Aux - pivots1'!$A:$B,2,0)</f>
        <v>1</v>
      </c>
      <c r="I510" s="182">
        <f>SUMIFS(Table1[Estimação (horas)],Table1[Tabela],Plano_V3!E510,Table1[Campo],Plano_V3!F510)</f>
        <v>4.0999999999999996</v>
      </c>
      <c r="J510" s="182">
        <f t="shared" si="73"/>
        <v>0.51249999999999996</v>
      </c>
      <c r="K510" s="182">
        <f>SUMIFS(Table1[Horas efetivas],Table1[Tabela],Plano_V3!E510,Table1[Campo],Plano_V3!F510)</f>
        <v>4.0999999999999996</v>
      </c>
      <c r="L510" s="182">
        <f t="shared" si="74"/>
        <v>0.51249999999999996</v>
      </c>
      <c r="M510" s="184"/>
      <c r="N510" s="184">
        <f t="shared" si="75"/>
        <v>1</v>
      </c>
      <c r="O510" s="184"/>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x14ac:dyDescent="0.25">
      <c r="A511" s="30" t="str">
        <f t="shared" si="76"/>
        <v>lt827_mthd_usd_instrmntref_date</v>
      </c>
      <c r="B511" s="68" t="s">
        <v>26</v>
      </c>
      <c r="C511" s="69" t="s">
        <v>26</v>
      </c>
      <c r="D511" s="65" t="s">
        <v>40</v>
      </c>
      <c r="E511" s="71" t="s">
        <v>1956</v>
      </c>
      <c r="F511" s="73" t="s">
        <v>208</v>
      </c>
      <c r="G511" s="65" t="str">
        <f>INDEX(Auxiliar!$B$16:$B$24,MATCH(Plano_V3!H511,Auxiliar!$C$16:$C$24,0),1)</f>
        <v>1. Concluído</v>
      </c>
      <c r="H511" s="65">
        <f>VLOOKUP(A511,'Aux - pivots1'!$A:$B,2,0)</f>
        <v>1</v>
      </c>
      <c r="I511" s="182">
        <f>SUMIFS(Table1[Estimação (horas)],Table1[Tabela],Plano_V3!E511,Table1[Campo],Plano_V3!F511)</f>
        <v>4.0999999999999996</v>
      </c>
      <c r="J511" s="182">
        <f t="shared" si="73"/>
        <v>0.51249999999999996</v>
      </c>
      <c r="K511" s="182">
        <f>SUMIFS(Table1[Horas efetivas],Table1[Tabela],Plano_V3!E511,Table1[Campo],Plano_V3!F511)</f>
        <v>4.0999999999999996</v>
      </c>
      <c r="L511" s="182">
        <f t="shared" si="74"/>
        <v>0.51249999999999996</v>
      </c>
      <c r="M511" s="184"/>
      <c r="N511" s="184">
        <f t="shared" si="75"/>
        <v>1</v>
      </c>
      <c r="O511" s="184"/>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x14ac:dyDescent="0.25">
      <c r="A512" s="30" t="str">
        <f t="shared" si="76"/>
        <v>lt827_mthd_usd_instrmntordem</v>
      </c>
      <c r="B512" s="68" t="s">
        <v>26</v>
      </c>
      <c r="C512" s="69" t="s">
        <v>26</v>
      </c>
      <c r="D512" s="65" t="s">
        <v>40</v>
      </c>
      <c r="E512" s="71" t="s">
        <v>1956</v>
      </c>
      <c r="F512" s="73" t="s">
        <v>211</v>
      </c>
      <c r="G512" s="65" t="str">
        <f>INDEX(Auxiliar!$B$16:$B$24,MATCH(Plano_V3!H512,Auxiliar!$C$16:$C$24,0),1)</f>
        <v>1. Concluído</v>
      </c>
      <c r="H512" s="65">
        <f>VLOOKUP(A512,'Aux - pivots1'!$A:$B,2,0)</f>
        <v>1</v>
      </c>
      <c r="I512" s="182">
        <f>SUMIFS(Table1[Estimação (horas)],Table1[Tabela],Plano_V3!E512,Table1[Campo],Plano_V3!F512)</f>
        <v>4.0999999999999996</v>
      </c>
      <c r="J512" s="182">
        <f t="shared" si="73"/>
        <v>0.51249999999999996</v>
      </c>
      <c r="K512" s="182">
        <f>SUMIFS(Table1[Horas efetivas],Table1[Tabela],Plano_V3!E512,Table1[Campo],Plano_V3!F512)</f>
        <v>4.0999999999999996</v>
      </c>
      <c r="L512" s="182">
        <f t="shared" si="74"/>
        <v>0.51249999999999996</v>
      </c>
      <c r="M512" s="184"/>
      <c r="N512" s="184">
        <f t="shared" si="75"/>
        <v>1</v>
      </c>
      <c r="O512" s="184"/>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x14ac:dyDescent="0.25">
      <c r="A513" s="30" t="str">
        <f t="shared" si="76"/>
        <v>lt827_mthd_usd_instrmnttabela</v>
      </c>
      <c r="B513" s="68" t="s">
        <v>26</v>
      </c>
      <c r="C513" s="69" t="s">
        <v>26</v>
      </c>
      <c r="D513" s="65" t="s">
        <v>40</v>
      </c>
      <c r="E513" s="71" t="s">
        <v>1956</v>
      </c>
      <c r="F513" s="73" t="s">
        <v>392</v>
      </c>
      <c r="G513" s="65" t="str">
        <f>INDEX(Auxiliar!$B$16:$B$24,MATCH(Plano_V3!H513,Auxiliar!$C$16:$C$24,0),1)</f>
        <v>1. Concluído</v>
      </c>
      <c r="H513" s="65">
        <f>VLOOKUP(A513,'Aux - pivots1'!$A:$B,2,0)</f>
        <v>1</v>
      </c>
      <c r="I513" s="182">
        <f>SUMIFS(Table1[Estimação (horas)],Table1[Tabela],Plano_V3!E513,Table1[Campo],Plano_V3!F513)</f>
        <v>4.0999999999999996</v>
      </c>
      <c r="J513" s="182">
        <f t="shared" si="73"/>
        <v>0.51249999999999996</v>
      </c>
      <c r="K513" s="182">
        <f>SUMIFS(Table1[Horas efetivas],Table1[Tabela],Plano_V3!E513,Table1[Campo],Plano_V3!F513)</f>
        <v>4.0999999999999996</v>
      </c>
      <c r="L513" s="182">
        <f t="shared" si="74"/>
        <v>0.51249999999999996</v>
      </c>
      <c r="M513" s="184"/>
      <c r="N513" s="184">
        <f t="shared" si="75"/>
        <v>1</v>
      </c>
      <c r="O513" s="184"/>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x14ac:dyDescent="0.25">
      <c r="A514" s="30" t="str">
        <f t="shared" si="76"/>
        <v>lt827_mthd_usd_instrmntorigem_scp1_emss</v>
      </c>
      <c r="B514" s="68" t="s">
        <v>26</v>
      </c>
      <c r="C514" s="69" t="s">
        <v>26</v>
      </c>
      <c r="D514" s="65" t="s">
        <v>40</v>
      </c>
      <c r="E514" s="71" t="s">
        <v>1956</v>
      </c>
      <c r="F514" s="72" t="s">
        <v>320</v>
      </c>
      <c r="G514" s="65" t="str">
        <f>INDEX(Auxiliar!$B$16:$B$24,MATCH(Plano_V3!H514,Auxiliar!$C$16:$C$24,0),1)</f>
        <v>1. Concluído</v>
      </c>
      <c r="H514" s="65">
        <f>VLOOKUP(A514,'Aux - pivots1'!$A:$B,2,0)</f>
        <v>1</v>
      </c>
      <c r="I514" s="182">
        <f>SUMIFS(Table1[Estimação (horas)],Table1[Tabela],Plano_V3!E514,Table1[Campo],Plano_V3!F514)</f>
        <v>4.0999999999999996</v>
      </c>
      <c r="J514" s="182">
        <f t="shared" si="73"/>
        <v>0.51249999999999996</v>
      </c>
      <c r="K514" s="182">
        <f>SUMIFS(Table1[Horas efetivas],Table1[Tabela],Plano_V3!E514,Table1[Campo],Plano_V3!F514)</f>
        <v>4.0999999999999996</v>
      </c>
      <c r="L514" s="182">
        <f t="shared" si="74"/>
        <v>0.51249999999999996</v>
      </c>
      <c r="M514" s="184"/>
      <c r="N514" s="184">
        <f t="shared" si="75"/>
        <v>1</v>
      </c>
      <c r="O514" s="184"/>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x14ac:dyDescent="0.25">
      <c r="A515" s="30" t="str">
        <f t="shared" si="76"/>
        <v>lt827_mthd_usd_instrmntorigem_scp2_emss</v>
      </c>
      <c r="B515" s="68" t="s">
        <v>26</v>
      </c>
      <c r="C515" s="69" t="s">
        <v>26</v>
      </c>
      <c r="D515" s="65" t="s">
        <v>40</v>
      </c>
      <c r="E515" s="71" t="s">
        <v>1956</v>
      </c>
      <c r="F515" s="72" t="s">
        <v>321</v>
      </c>
      <c r="G515" s="65" t="str">
        <f>INDEX(Auxiliar!$B$16:$B$24,MATCH(Plano_V3!H515,Auxiliar!$C$16:$C$24,0),1)</f>
        <v>1. Concluído</v>
      </c>
      <c r="H515" s="65">
        <f>VLOOKUP(A515,'Aux - pivots1'!$A:$B,2,0)</f>
        <v>1</v>
      </c>
      <c r="I515" s="182">
        <f>SUMIFS(Table1[Estimação (horas)],Table1[Tabela],Plano_V3!E515,Table1[Campo],Plano_V3!F515)</f>
        <v>4.0999999999999996</v>
      </c>
      <c r="J515" s="182">
        <f t="shared" si="73"/>
        <v>0.51249999999999996</v>
      </c>
      <c r="K515" s="182">
        <f>SUMIFS(Table1[Horas efetivas],Table1[Tabela],Plano_V3!E515,Table1[Campo],Plano_V3!F515)</f>
        <v>4.0999999999999996</v>
      </c>
      <c r="L515" s="182">
        <f t="shared" si="74"/>
        <v>0.51249999999999996</v>
      </c>
      <c r="M515" s="184"/>
      <c r="N515" s="184">
        <f t="shared" si="75"/>
        <v>1</v>
      </c>
      <c r="O515" s="184"/>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x14ac:dyDescent="0.25">
      <c r="A516" s="30" t="str">
        <f t="shared" si="76"/>
        <v>lt827_mthd_usd_instrmntorigem_scp3_emss</v>
      </c>
      <c r="B516" s="68" t="s">
        <v>26</v>
      </c>
      <c r="C516" s="69" t="s">
        <v>26</v>
      </c>
      <c r="D516" s="65" t="s">
        <v>40</v>
      </c>
      <c r="E516" s="71" t="s">
        <v>1956</v>
      </c>
      <c r="F516" s="72" t="s">
        <v>322</v>
      </c>
      <c r="G516" s="65" t="str">
        <f>INDEX(Auxiliar!$B$16:$B$24,MATCH(Plano_V3!H516,Auxiliar!$C$16:$C$24,0),1)</f>
        <v>1. Concluído</v>
      </c>
      <c r="H516" s="65">
        <f>VLOOKUP(A516,'Aux - pivots1'!$A:$B,2,0)</f>
        <v>1</v>
      </c>
      <c r="I516" s="182">
        <f>SUMIFS(Table1[Estimação (horas)],Table1[Tabela],Plano_V3!E516,Table1[Campo],Plano_V3!F516)</f>
        <v>4.0999999999999996</v>
      </c>
      <c r="J516" s="182">
        <f t="shared" si="73"/>
        <v>0.51249999999999996</v>
      </c>
      <c r="K516" s="182">
        <f>SUMIFS(Table1[Horas efetivas],Table1[Tabela],Plano_V3!E516,Table1[Campo],Plano_V3!F516)</f>
        <v>4.0999999999999996</v>
      </c>
      <c r="L516" s="182">
        <f t="shared" si="74"/>
        <v>0.51249999999999996</v>
      </c>
      <c r="M516" s="184"/>
      <c r="N516" s="184">
        <f t="shared" si="75"/>
        <v>1</v>
      </c>
      <c r="O516" s="184"/>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x14ac:dyDescent="0.25">
      <c r="A517" s="30" t="str">
        <f t="shared" si="76"/>
        <v>lt827_mthd_usd_instrmntmthd_usd_instrmnt_scp_1</v>
      </c>
      <c r="B517" s="68" t="s">
        <v>26</v>
      </c>
      <c r="C517" s="69" t="s">
        <v>26</v>
      </c>
      <c r="D517" s="65" t="s">
        <v>40</v>
      </c>
      <c r="E517" s="71" t="s">
        <v>1956</v>
      </c>
      <c r="F517" s="72" t="s">
        <v>386</v>
      </c>
      <c r="G517" s="65" t="str">
        <f>INDEX(Auxiliar!$B$16:$B$24,MATCH(Plano_V3!H517,Auxiliar!$C$16:$C$24,0),1)</f>
        <v>1. Concluído</v>
      </c>
      <c r="H517" s="65">
        <f>VLOOKUP(A517,'Aux - pivots1'!$A:$B,2,0)</f>
        <v>1</v>
      </c>
      <c r="I517" s="182">
        <f>SUMIFS(Table1[Estimação (horas)],Table1[Tabela],Plano_V3!E517,Table1[Campo],Plano_V3!F517)</f>
        <v>4.0999999999999996</v>
      </c>
      <c r="J517" s="182">
        <f t="shared" si="73"/>
        <v>0.51249999999999996</v>
      </c>
      <c r="K517" s="182">
        <f>SUMIFS(Table1[Horas efetivas],Table1[Tabela],Plano_V3!E517,Table1[Campo],Plano_V3!F517)</f>
        <v>4.0999999999999996</v>
      </c>
      <c r="L517" s="182">
        <f t="shared" si="74"/>
        <v>0.51249999999999996</v>
      </c>
      <c r="M517" s="184"/>
      <c r="N517" s="184">
        <f t="shared" si="75"/>
        <v>1</v>
      </c>
      <c r="O517" s="184"/>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x14ac:dyDescent="0.25">
      <c r="A518" s="30" t="str">
        <f t="shared" si="76"/>
        <v>lt827_mthd_usd_instrmntmthd_usd_instrmnt_scp_2</v>
      </c>
      <c r="B518" s="68" t="s">
        <v>26</v>
      </c>
      <c r="C518" s="69" t="s">
        <v>26</v>
      </c>
      <c r="D518" s="65" t="s">
        <v>40</v>
      </c>
      <c r="E518" s="71" t="s">
        <v>1956</v>
      </c>
      <c r="F518" s="72" t="s">
        <v>387</v>
      </c>
      <c r="G518" s="65" t="str">
        <f>INDEX(Auxiliar!$B$16:$B$24,MATCH(Plano_V3!H518,Auxiliar!$C$16:$C$24,0),1)</f>
        <v>1. Concluído</v>
      </c>
      <c r="H518" s="65">
        <f>VLOOKUP(A518,'Aux - pivots1'!$A:$B,2,0)</f>
        <v>1</v>
      </c>
      <c r="I518" s="182">
        <f>SUMIFS(Table1[Estimação (horas)],Table1[Tabela],Plano_V3!E518,Table1[Campo],Plano_V3!F518)</f>
        <v>4.0999999999999996</v>
      </c>
      <c r="J518" s="182">
        <f t="shared" si="73"/>
        <v>0.51249999999999996</v>
      </c>
      <c r="K518" s="182">
        <f>SUMIFS(Table1[Horas efetivas],Table1[Tabela],Plano_V3!E518,Table1[Campo],Plano_V3!F518)</f>
        <v>4.0999999999999996</v>
      </c>
      <c r="L518" s="182">
        <f t="shared" si="74"/>
        <v>0.51249999999999996</v>
      </c>
      <c r="M518" s="184"/>
      <c r="N518" s="184">
        <f t="shared" si="75"/>
        <v>1</v>
      </c>
      <c r="O518" s="184"/>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x14ac:dyDescent="0.25">
      <c r="A519" s="30" t="str">
        <f t="shared" si="76"/>
        <v>lt827_mthd_usd_instrmntmthd_usd_instrmnt_scp_3</v>
      </c>
      <c r="B519" s="68" t="s">
        <v>26</v>
      </c>
      <c r="C519" s="69" t="s">
        <v>26</v>
      </c>
      <c r="D519" s="65" t="s">
        <v>40</v>
      </c>
      <c r="E519" s="71" t="s">
        <v>1956</v>
      </c>
      <c r="F519" s="72" t="s">
        <v>388</v>
      </c>
      <c r="G519" s="65" t="str">
        <f>INDEX(Auxiliar!$B$16:$B$24,MATCH(Plano_V3!H519,Auxiliar!$C$16:$C$24,0),1)</f>
        <v>1. Concluído</v>
      </c>
      <c r="H519" s="65">
        <f>VLOOKUP(A519,'Aux - pivots1'!$A:$B,2,0)</f>
        <v>1</v>
      </c>
      <c r="I519" s="182">
        <f>SUMIFS(Table1[Estimação (horas)],Table1[Tabela],Plano_V3!E519,Table1[Campo],Plano_V3!F519)</f>
        <v>4.0999999999999996</v>
      </c>
      <c r="J519" s="182">
        <f t="shared" si="73"/>
        <v>0.51249999999999996</v>
      </c>
      <c r="K519" s="182">
        <f>SUMIFS(Table1[Horas efetivas],Table1[Tabela],Plano_V3!E519,Table1[Campo],Plano_V3!F519)</f>
        <v>4.0999999999999996</v>
      </c>
      <c r="L519" s="182">
        <f t="shared" si="74"/>
        <v>0.51249999999999996</v>
      </c>
      <c r="M519" s="184"/>
      <c r="N519" s="184">
        <f t="shared" si="75"/>
        <v>1</v>
      </c>
      <c r="O519" s="184"/>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x14ac:dyDescent="0.25">
      <c r="A520" s="30" t="str">
        <f t="shared" si="76"/>
        <v>lt827_mthd_usd_instrmntpurpose_code</v>
      </c>
      <c r="B520" s="68"/>
      <c r="C520" s="69"/>
      <c r="D520" s="65" t="s">
        <v>40</v>
      </c>
      <c r="E520" s="71" t="s">
        <v>1956</v>
      </c>
      <c r="F520" s="72" t="s">
        <v>1940</v>
      </c>
      <c r="G520" s="65" t="str">
        <f>INDEX(Auxiliar!$B$16:$B$24,MATCH(Plano_V3!H520,Auxiliar!$C$16:$C$24,0),1)</f>
        <v>1. Concluído</v>
      </c>
      <c r="H520" s="65">
        <f>VLOOKUP(A520,'Aux - pivots1'!$A:$B,2,0)</f>
        <v>1</v>
      </c>
      <c r="I520" s="182">
        <f>SUMIFS(Table1[Estimação (horas)],Table1[Tabela],Plano_V3!E520,Table1[Campo],Plano_V3!F520)</f>
        <v>4.0999999999999996</v>
      </c>
      <c r="J520" s="182">
        <f t="shared" ref="J520:J524" si="77">I520/8</f>
        <v>0.51249999999999996</v>
      </c>
      <c r="K520" s="182">
        <f>SUMIFS(Table1[Horas efetivas],Table1[Tabela],Plano_V3!E520,Table1[Campo],Plano_V3!F520)</f>
        <v>4.0999999999999996</v>
      </c>
      <c r="L520" s="182">
        <f t="shared" ref="L520:L524" si="78">K520/8</f>
        <v>0.51249999999999996</v>
      </c>
      <c r="M520" s="184"/>
      <c r="N520" s="184">
        <f t="shared" ref="N520:N524" si="79">L520/J520</f>
        <v>1</v>
      </c>
      <c r="O520" s="184"/>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x14ac:dyDescent="0.25">
      <c r="A521" s="30" t="str">
        <f t="shared" si="76"/>
        <v>lt827_mthd_usd_instrmntflg_fin</v>
      </c>
      <c r="B521" s="68"/>
      <c r="C521" s="69"/>
      <c r="D521" s="65" t="s">
        <v>40</v>
      </c>
      <c r="E521" s="71" t="s">
        <v>1956</v>
      </c>
      <c r="F521" s="72" t="s">
        <v>481</v>
      </c>
      <c r="G521" s="65" t="str">
        <f>INDEX(Auxiliar!$B$16:$B$24,MATCH(Plano_V3!H521,Auxiliar!$C$16:$C$24,0),1)</f>
        <v>1. Concluído</v>
      </c>
      <c r="H521" s="65">
        <f>VLOOKUP(A521,'Aux - pivots1'!$A:$B,2,0)</f>
        <v>1</v>
      </c>
      <c r="I521" s="182">
        <f>SUMIFS(Table1[Estimação (horas)],Table1[Tabela],Plano_V3!E521,Table1[Campo],Plano_V3!F521)</f>
        <v>4.0999999999999996</v>
      </c>
      <c r="J521" s="182">
        <f t="shared" si="77"/>
        <v>0.51249999999999996</v>
      </c>
      <c r="K521" s="182">
        <f>SUMIFS(Table1[Horas efetivas],Table1[Tabela],Plano_V3!E521,Table1[Campo],Plano_V3!F521)</f>
        <v>4.0999999999999996</v>
      </c>
      <c r="L521" s="182">
        <f t="shared" si="78"/>
        <v>0.51249999999999996</v>
      </c>
      <c r="M521" s="184"/>
      <c r="N521" s="184">
        <f t="shared" si="79"/>
        <v>1</v>
      </c>
      <c r="O521" s="184"/>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x14ac:dyDescent="0.25">
      <c r="A522" s="30" t="str">
        <f t="shared" si="76"/>
        <v>lt827_mthd_usd_instrmntflg_exec</v>
      </c>
      <c r="B522" s="68"/>
      <c r="C522" s="69"/>
      <c r="D522" s="65" t="s">
        <v>40</v>
      </c>
      <c r="E522" s="71" t="s">
        <v>1956</v>
      </c>
      <c r="F522" s="72" t="s">
        <v>1361</v>
      </c>
      <c r="G522" s="65" t="str">
        <f>INDEX(Auxiliar!$B$16:$B$24,MATCH(Plano_V3!H522,Auxiliar!$C$16:$C$24,0),1)</f>
        <v>1. Concluído</v>
      </c>
      <c r="H522" s="65">
        <f>VLOOKUP(A522,'Aux - pivots1'!$A:$B,2,0)</f>
        <v>1</v>
      </c>
      <c r="I522" s="182">
        <f>SUMIFS(Table1[Estimação (horas)],Table1[Tabela],Plano_V3!E522,Table1[Campo],Plano_V3!F522)</f>
        <v>4.0999999999999996</v>
      </c>
      <c r="J522" s="182">
        <f t="shared" si="77"/>
        <v>0.51249999999999996</v>
      </c>
      <c r="K522" s="182">
        <f>SUMIFS(Table1[Horas efetivas],Table1[Tabela],Plano_V3!E522,Table1[Campo],Plano_V3!F522)</f>
        <v>4.0999999999999996</v>
      </c>
      <c r="L522" s="182">
        <f t="shared" si="78"/>
        <v>0.51249999999999996</v>
      </c>
      <c r="M522" s="184"/>
      <c r="N522" s="184">
        <f t="shared" si="79"/>
        <v>1</v>
      </c>
      <c r="O522" s="184"/>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x14ac:dyDescent="0.25">
      <c r="A523" s="30" t="str">
        <f t="shared" si="76"/>
        <v>lt827_mthd_usd_instrmntflg_col</v>
      </c>
      <c r="B523" s="68"/>
      <c r="C523" s="69"/>
      <c r="D523" s="65" t="s">
        <v>40</v>
      </c>
      <c r="E523" s="71" t="s">
        <v>1956</v>
      </c>
      <c r="F523" s="72" t="s">
        <v>480</v>
      </c>
      <c r="G523" s="65" t="str">
        <f>INDEX(Auxiliar!$B$16:$B$24,MATCH(Plano_V3!H523,Auxiliar!$C$16:$C$24,0),1)</f>
        <v>1. Concluído</v>
      </c>
      <c r="H523" s="65">
        <f>VLOOKUP(A523,'Aux - pivots1'!$A:$B,2,0)</f>
        <v>1</v>
      </c>
      <c r="I523" s="182">
        <f>SUMIFS(Table1[Estimação (horas)],Table1[Tabela],Plano_V3!E523,Table1[Campo],Plano_V3!F523)</f>
        <v>4.0999999999999996</v>
      </c>
      <c r="J523" s="182">
        <f t="shared" si="77"/>
        <v>0.51249999999999996</v>
      </c>
      <c r="K523" s="182">
        <f>SUMIFS(Table1[Horas efetivas],Table1[Tabela],Plano_V3!E523,Table1[Campo],Plano_V3!F523)</f>
        <v>4.0999999999999996</v>
      </c>
      <c r="L523" s="182">
        <f t="shared" si="78"/>
        <v>0.51249999999999996</v>
      </c>
      <c r="M523" s="184"/>
      <c r="N523" s="184">
        <f t="shared" si="79"/>
        <v>1</v>
      </c>
      <c r="O523" s="184"/>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x14ac:dyDescent="0.25">
      <c r="A524" s="30" t="str">
        <f t="shared" si="76"/>
        <v>lt827_mthd_usd_instrmntflg_pro</v>
      </c>
      <c r="B524" s="68"/>
      <c r="C524" s="69"/>
      <c r="D524" s="65" t="s">
        <v>40</v>
      </c>
      <c r="E524" s="71" t="s">
        <v>1956</v>
      </c>
      <c r="F524" s="72" t="s">
        <v>482</v>
      </c>
      <c r="G524" s="65" t="str">
        <f>INDEX(Auxiliar!$B$16:$B$24,MATCH(Plano_V3!H524,Auxiliar!$C$16:$C$24,0),1)</f>
        <v>1. Concluído</v>
      </c>
      <c r="H524" s="65">
        <f>VLOOKUP(A524,'Aux - pivots1'!$A:$B,2,0)</f>
        <v>1</v>
      </c>
      <c r="I524" s="182">
        <f>SUMIFS(Table1[Estimação (horas)],Table1[Tabela],Plano_V3!E524,Table1[Campo],Plano_V3!F524)</f>
        <v>4.0999999999999996</v>
      </c>
      <c r="J524" s="182">
        <f t="shared" si="77"/>
        <v>0.51249999999999996</v>
      </c>
      <c r="K524" s="182">
        <f>SUMIFS(Table1[Horas efetivas],Table1[Tabela],Plano_V3!E524,Table1[Campo],Plano_V3!F524)</f>
        <v>4.0999999999999996</v>
      </c>
      <c r="L524" s="182">
        <f t="shared" si="78"/>
        <v>0.51249999999999996</v>
      </c>
      <c r="M524" s="184"/>
      <c r="N524" s="184">
        <f t="shared" si="79"/>
        <v>1</v>
      </c>
      <c r="O524" s="184"/>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x14ac:dyDescent="0.25">
      <c r="A525" s="30" t="str">
        <f t="shared" si="76"/>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2">
        <f>SUMIFS(Table1[Estimação (horas)],Table1[Tabela],Plano_V3!E525,Table1[Campo],Plano_V3!F525)</f>
        <v>4.0999999999999996</v>
      </c>
      <c r="J525" s="182">
        <f t="shared" si="73"/>
        <v>0.51249999999999996</v>
      </c>
      <c r="K525" s="182">
        <f>SUMIFS(Table1[Horas efetivas],Table1[Tabela],Plano_V3!E525,Table1[Campo],Plano_V3!F525)</f>
        <v>4.0999999999999996</v>
      </c>
      <c r="L525" s="182">
        <f t="shared" si="74"/>
        <v>0.51249999999999996</v>
      </c>
      <c r="M525" s="184"/>
      <c r="N525" s="184">
        <f t="shared" si="75"/>
        <v>1</v>
      </c>
      <c r="O525" s="184"/>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x14ac:dyDescent="0.25">
      <c r="A526" s="30" t="str">
        <f t="shared" si="76"/>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2">
        <f>SUMIFS(Table1[Estimação (horas)],Table1[Tabela],Plano_V3!E526,Table1[Campo],Plano_V3!F526)</f>
        <v>4.0999999999999996</v>
      </c>
      <c r="J526" s="182">
        <f t="shared" ref="J526:J589" si="80">I526/8</f>
        <v>0.51249999999999996</v>
      </c>
      <c r="K526" s="182">
        <f>SUMIFS(Table1[Horas efetivas],Table1[Tabela],Plano_V3!E526,Table1[Campo],Plano_V3!F526)</f>
        <v>4.0999999999999996</v>
      </c>
      <c r="L526" s="182">
        <f t="shared" ref="L526:L589" si="81">K526/8</f>
        <v>0.51249999999999996</v>
      </c>
      <c r="M526" s="184"/>
      <c r="N526" s="184">
        <f t="shared" ref="N526:N592" si="82">L526/J526</f>
        <v>1</v>
      </c>
      <c r="O526" s="184"/>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x14ac:dyDescent="0.25">
      <c r="A527" s="30" t="str">
        <f t="shared" si="76"/>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2">
        <f>SUMIFS(Table1[Estimação (horas)],Table1[Tabela],Plano_V3!E527,Table1[Campo],Plano_V3!F527)</f>
        <v>4.0999999999999996</v>
      </c>
      <c r="J527" s="182">
        <f t="shared" si="80"/>
        <v>0.51249999999999996</v>
      </c>
      <c r="K527" s="182">
        <f>SUMIFS(Table1[Horas efetivas],Table1[Tabela],Plano_V3!E527,Table1[Campo],Plano_V3!F527)</f>
        <v>4.0999999999999996</v>
      </c>
      <c r="L527" s="182">
        <f t="shared" si="81"/>
        <v>0.51249999999999996</v>
      </c>
      <c r="M527" s="184"/>
      <c r="N527" s="184">
        <f t="shared" si="82"/>
        <v>1</v>
      </c>
      <c r="O527" s="184"/>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x14ac:dyDescent="0.25">
      <c r="A528" s="30" t="str">
        <f t="shared" si="76"/>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2">
        <f>SUMIFS(Table1[Estimação (horas)],Table1[Tabela],Plano_V3!E528,Table1[Campo],Plano_V3!F528)</f>
        <v>4.0999999999999996</v>
      </c>
      <c r="J528" s="182">
        <f t="shared" si="80"/>
        <v>0.51249999999999996</v>
      </c>
      <c r="K528" s="182">
        <f>SUMIFS(Table1[Horas efetivas],Table1[Tabela],Plano_V3!E528,Table1[Campo],Plano_V3!F528)</f>
        <v>4.0999999999999996</v>
      </c>
      <c r="L528" s="182">
        <f t="shared" si="81"/>
        <v>0.51249999999999996</v>
      </c>
      <c r="M528" s="184"/>
      <c r="N528" s="184">
        <f t="shared" si="82"/>
        <v>1</v>
      </c>
      <c r="O528" s="184"/>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x14ac:dyDescent="0.25">
      <c r="A529" s="30" t="str">
        <f t="shared" si="76"/>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2">
        <f>SUMIFS(Table1[Estimação (horas)],Table1[Tabela],Plano_V3!E529,Table1[Campo],Plano_V3!F529)</f>
        <v>4.0999999999999996</v>
      </c>
      <c r="J529" s="182">
        <f t="shared" si="80"/>
        <v>0.51249999999999996</v>
      </c>
      <c r="K529" s="182">
        <f>SUMIFS(Table1[Horas efetivas],Table1[Tabela],Plano_V3!E529,Table1[Campo],Plano_V3!F529)</f>
        <v>4.0999999999999996</v>
      </c>
      <c r="L529" s="182">
        <f t="shared" si="81"/>
        <v>0.51249999999999996</v>
      </c>
      <c r="M529" s="184"/>
      <c r="N529" s="184">
        <f t="shared" si="82"/>
        <v>1</v>
      </c>
      <c r="O529" s="184"/>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x14ac:dyDescent="0.25">
      <c r="A530" s="30" t="str">
        <f t="shared" si="76"/>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2">
        <f>SUMIFS(Table1[Estimação (horas)],Table1[Tabela],Plano_V3!E530,Table1[Campo],Plano_V3!F530)</f>
        <v>4.0999999999999996</v>
      </c>
      <c r="J530" s="182">
        <f t="shared" si="80"/>
        <v>0.51249999999999996</v>
      </c>
      <c r="K530" s="182">
        <f>SUMIFS(Table1[Horas efetivas],Table1[Tabela],Plano_V3!E530,Table1[Campo],Plano_V3!F530)</f>
        <v>4.0999999999999996</v>
      </c>
      <c r="L530" s="182">
        <f t="shared" si="81"/>
        <v>0.51249999999999996</v>
      </c>
      <c r="M530" s="184"/>
      <c r="N530" s="184">
        <f t="shared" si="82"/>
        <v>1</v>
      </c>
      <c r="O530" s="184"/>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x14ac:dyDescent="0.25">
      <c r="A531" s="30" t="str">
        <f t="shared" si="76"/>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2">
        <f>SUMIFS(Table1[Estimação (horas)],Table1[Tabela],Plano_V3!E531,Table1[Campo],Plano_V3!F531)</f>
        <v>4.0999999999999996</v>
      </c>
      <c r="J531" s="182">
        <f t="shared" si="80"/>
        <v>0.51249999999999996</v>
      </c>
      <c r="K531" s="182">
        <f>SUMIFS(Table1[Horas efetivas],Table1[Tabela],Plano_V3!E531,Table1[Campo],Plano_V3!F531)</f>
        <v>4.0999999999999996</v>
      </c>
      <c r="L531" s="182">
        <f t="shared" si="81"/>
        <v>0.51249999999999996</v>
      </c>
      <c r="M531" s="184"/>
      <c r="N531" s="184">
        <f t="shared" si="82"/>
        <v>1</v>
      </c>
      <c r="O531" s="184"/>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x14ac:dyDescent="0.25">
      <c r="A532" s="30" t="str">
        <f t="shared" si="76"/>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2">
        <f>SUMIFS(Table1[Estimação (horas)],Table1[Tabela],Plano_V3!E532,Table1[Campo],Plano_V3!F532)</f>
        <v>4.0999999999999996</v>
      </c>
      <c r="J532" s="182">
        <f t="shared" si="80"/>
        <v>0.51249999999999996</v>
      </c>
      <c r="K532" s="182">
        <f>SUMIFS(Table1[Horas efetivas],Table1[Tabela],Plano_V3!E532,Table1[Campo],Plano_V3!F532)</f>
        <v>4.0999999999999996</v>
      </c>
      <c r="L532" s="182">
        <f t="shared" si="81"/>
        <v>0.51249999999999996</v>
      </c>
      <c r="M532" s="184"/>
      <c r="N532" s="184">
        <f t="shared" si="82"/>
        <v>1</v>
      </c>
      <c r="O532" s="184"/>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x14ac:dyDescent="0.25">
      <c r="A533" s="30" t="str">
        <f t="shared" si="76"/>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2">
        <f>SUMIFS(Table1[Estimação (horas)],Table1[Tabela],Plano_V3!E533,Table1[Campo],Plano_V3!F533)</f>
        <v>4.0999999999999996</v>
      </c>
      <c r="J533" s="182">
        <f t="shared" si="80"/>
        <v>0.51249999999999996</v>
      </c>
      <c r="K533" s="182">
        <f>SUMIFS(Table1[Horas efetivas],Table1[Tabela],Plano_V3!E533,Table1[Campo],Plano_V3!F533)</f>
        <v>4.0999999999999996</v>
      </c>
      <c r="L533" s="182">
        <f t="shared" si="81"/>
        <v>0.51249999999999996</v>
      </c>
      <c r="M533" s="184"/>
      <c r="N533" s="184">
        <f t="shared" si="82"/>
        <v>1</v>
      </c>
      <c r="O533" s="184"/>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x14ac:dyDescent="0.25">
      <c r="A534" s="30" t="str">
        <f t="shared" si="76"/>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2">
        <f>SUMIFS(Table1[Estimação (horas)],Table1[Tabela],Plano_V3!E534,Table1[Campo],Plano_V3!F534)</f>
        <v>0.1</v>
      </c>
      <c r="J534" s="182">
        <f t="shared" si="80"/>
        <v>1.2500000000000001E-2</v>
      </c>
      <c r="K534" s="182">
        <f>SUMIFS(Table1[Horas efetivas],Table1[Tabela],Plano_V3!E534,Table1[Campo],Plano_V3!F534)</f>
        <v>0.1</v>
      </c>
      <c r="L534" s="182">
        <f t="shared" si="81"/>
        <v>1.2500000000000001E-2</v>
      </c>
      <c r="M534" s="184"/>
      <c r="N534" s="184">
        <f t="shared" si="82"/>
        <v>1</v>
      </c>
      <c r="O534" s="184"/>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x14ac:dyDescent="0.25">
      <c r="A535" s="30" t="str">
        <f t="shared" si="76"/>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2">
        <f>SUMIFS(Table1[Estimação (horas)],Table1[Tabela],Plano_V3!E535,Table1[Campo],Plano_V3!F535)</f>
        <v>0.1</v>
      </c>
      <c r="J535" s="182">
        <f t="shared" si="80"/>
        <v>1.2500000000000001E-2</v>
      </c>
      <c r="K535" s="182">
        <f>SUMIFS(Table1[Horas efetivas],Table1[Tabela],Plano_V3!E535,Table1[Campo],Plano_V3!F535)</f>
        <v>0.1</v>
      </c>
      <c r="L535" s="182">
        <f t="shared" si="81"/>
        <v>1.2500000000000001E-2</v>
      </c>
      <c r="M535" s="184"/>
      <c r="N535" s="184">
        <f t="shared" si="82"/>
        <v>1</v>
      </c>
      <c r="O535" s="184"/>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x14ac:dyDescent="0.25">
      <c r="A536" s="30" t="str">
        <f t="shared" si="76"/>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2">
        <f>SUMIFS(Table1[Estimação (horas)],Table1[Tabela],Plano_V3!E536,Table1[Campo],Plano_V3!F536)</f>
        <v>0.1</v>
      </c>
      <c r="J536" s="182">
        <f t="shared" si="80"/>
        <v>1.2500000000000001E-2</v>
      </c>
      <c r="K536" s="182">
        <f>SUMIFS(Table1[Horas efetivas],Table1[Tabela],Plano_V3!E536,Table1[Campo],Plano_V3!F536)</f>
        <v>0.1</v>
      </c>
      <c r="L536" s="182">
        <f t="shared" si="81"/>
        <v>1.2500000000000001E-2</v>
      </c>
      <c r="M536" s="184"/>
      <c r="N536" s="184">
        <f t="shared" si="82"/>
        <v>1</v>
      </c>
      <c r="O536" s="184"/>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x14ac:dyDescent="0.25">
      <c r="A537" s="30" t="str">
        <f t="shared" si="76"/>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2">
        <f>SUMIFS(Table1[Estimação (horas)],Table1[Tabela],Plano_V3!E537,Table1[Campo],Plano_V3!F537)</f>
        <v>0.1</v>
      </c>
      <c r="J537" s="182">
        <f t="shared" si="80"/>
        <v>1.2500000000000001E-2</v>
      </c>
      <c r="K537" s="182">
        <f>SUMIFS(Table1[Horas efetivas],Table1[Tabela],Plano_V3!E537,Table1[Campo],Plano_V3!F537)</f>
        <v>0.1</v>
      </c>
      <c r="L537" s="182">
        <f t="shared" si="81"/>
        <v>1.2500000000000001E-2</v>
      </c>
      <c r="M537" s="184"/>
      <c r="N537" s="184">
        <f t="shared" si="82"/>
        <v>1</v>
      </c>
      <c r="O537" s="184"/>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x14ac:dyDescent="0.25">
      <c r="A538" s="30" t="str">
        <f t="shared" si="76"/>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2">
        <f>SUMIFS(Table1[Estimação (horas)],Table1[Tabela],Plano_V3!E538,Table1[Campo],Plano_V3!F538)</f>
        <v>0.1</v>
      </c>
      <c r="J538" s="182">
        <f t="shared" si="80"/>
        <v>1.2500000000000001E-2</v>
      </c>
      <c r="K538" s="182">
        <f>SUMIFS(Table1[Horas efetivas],Table1[Tabela],Plano_V3!E538,Table1[Campo],Plano_V3!F538)</f>
        <v>0.1</v>
      </c>
      <c r="L538" s="182">
        <f t="shared" si="81"/>
        <v>1.2500000000000001E-2</v>
      </c>
      <c r="M538" s="184"/>
      <c r="N538" s="184">
        <f t="shared" si="82"/>
        <v>1</v>
      </c>
      <c r="O538" s="184"/>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x14ac:dyDescent="0.25">
      <c r="A539" s="30" t="str">
        <f t="shared" si="76"/>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2">
        <f>SUMIFS(Table1[Estimação (horas)],Table1[Tabela],Plano_V3!E539,Table1[Campo],Plano_V3!F539)</f>
        <v>0.1</v>
      </c>
      <c r="J539" s="182">
        <f t="shared" si="80"/>
        <v>1.2500000000000001E-2</v>
      </c>
      <c r="K539" s="182">
        <f>SUMIFS(Table1[Horas efetivas],Table1[Tabela],Plano_V3!E539,Table1[Campo],Plano_V3!F539)</f>
        <v>0.1</v>
      </c>
      <c r="L539" s="182">
        <f t="shared" si="81"/>
        <v>1.2500000000000001E-2</v>
      </c>
      <c r="M539" s="184"/>
      <c r="N539" s="184">
        <f t="shared" si="82"/>
        <v>1</v>
      </c>
      <c r="O539" s="184"/>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x14ac:dyDescent="0.25">
      <c r="A540" s="30" t="str">
        <f t="shared" si="76"/>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2">
        <f>SUMIFS(Table1[Estimação (horas)],Table1[Tabela],Plano_V3!E540,Table1[Campo],Plano_V3!F540)</f>
        <v>0.1</v>
      </c>
      <c r="J540" s="182">
        <f t="shared" si="80"/>
        <v>1.2500000000000001E-2</v>
      </c>
      <c r="K540" s="182">
        <f>SUMIFS(Table1[Horas efetivas],Table1[Tabela],Plano_V3!E540,Table1[Campo],Plano_V3!F540)</f>
        <v>0.1</v>
      </c>
      <c r="L540" s="182">
        <f t="shared" si="81"/>
        <v>1.2500000000000001E-2</v>
      </c>
      <c r="M540" s="184"/>
      <c r="N540" s="184">
        <f t="shared" si="82"/>
        <v>1</v>
      </c>
      <c r="O540" s="184"/>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x14ac:dyDescent="0.25">
      <c r="A541" s="30" t="str">
        <f t="shared" si="76"/>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2">
        <f>SUMIFS(Table1[Estimação (horas)],Table1[Tabela],Plano_V3!E541,Table1[Campo],Plano_V3!F541)</f>
        <v>0.1</v>
      </c>
      <c r="J541" s="182">
        <f t="shared" si="80"/>
        <v>1.2500000000000001E-2</v>
      </c>
      <c r="K541" s="182">
        <f>SUMIFS(Table1[Horas efetivas],Table1[Tabela],Plano_V3!E541,Table1[Campo],Plano_V3!F541)</f>
        <v>0.1</v>
      </c>
      <c r="L541" s="182">
        <f t="shared" si="81"/>
        <v>1.2500000000000001E-2</v>
      </c>
      <c r="M541" s="184"/>
      <c r="N541" s="184">
        <f t="shared" si="82"/>
        <v>1</v>
      </c>
      <c r="O541" s="184"/>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x14ac:dyDescent="0.25">
      <c r="A542" s="30" t="str">
        <f t="shared" si="76"/>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2">
        <f>SUMIFS(Table1[Estimação (horas)],Table1[Tabela],Plano_V3!E542,Table1[Campo],Plano_V3!F542)</f>
        <v>0.1</v>
      </c>
      <c r="J542" s="182">
        <f t="shared" si="80"/>
        <v>1.2500000000000001E-2</v>
      </c>
      <c r="K542" s="182">
        <f>SUMIFS(Table1[Horas efetivas],Table1[Tabela],Plano_V3!E542,Table1[Campo],Plano_V3!F542)</f>
        <v>0.1</v>
      </c>
      <c r="L542" s="182">
        <f t="shared" si="81"/>
        <v>1.2500000000000001E-2</v>
      </c>
      <c r="M542" s="184"/>
      <c r="N542" s="184">
        <f t="shared" si="82"/>
        <v>1</v>
      </c>
      <c r="O542" s="184"/>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x14ac:dyDescent="0.25">
      <c r="A543" s="30" t="str">
        <f t="shared" si="76"/>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2">
        <f>SUMIFS(Table1[Estimação (horas)],Table1[Tabela],Plano_V3!E543,Table1[Campo],Plano_V3!F543)</f>
        <v>0.1</v>
      </c>
      <c r="J543" s="182">
        <f t="shared" si="80"/>
        <v>1.2500000000000001E-2</v>
      </c>
      <c r="K543" s="182">
        <f>SUMIFS(Table1[Horas efetivas],Table1[Tabela],Plano_V3!E543,Table1[Campo],Plano_V3!F543)</f>
        <v>0.1</v>
      </c>
      <c r="L543" s="182">
        <f t="shared" si="81"/>
        <v>1.2500000000000001E-2</v>
      </c>
      <c r="M543" s="184"/>
      <c r="N543" s="184">
        <f t="shared" si="82"/>
        <v>1</v>
      </c>
      <c r="O543" s="184"/>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x14ac:dyDescent="0.25">
      <c r="A544" s="30" t="str">
        <f t="shared" si="76"/>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2">
        <f>SUMIFS(Table1[Estimação (horas)],Table1[Tabela],Plano_V3!E544,Table1[Campo],Plano_V3!F544)</f>
        <v>0.1</v>
      </c>
      <c r="J544" s="182">
        <f t="shared" si="80"/>
        <v>1.2500000000000001E-2</v>
      </c>
      <c r="K544" s="182">
        <f>SUMIFS(Table1[Horas efetivas],Table1[Tabela],Plano_V3!E544,Table1[Campo],Plano_V3!F544)</f>
        <v>0.1</v>
      </c>
      <c r="L544" s="182">
        <f t="shared" si="81"/>
        <v>1.2500000000000001E-2</v>
      </c>
      <c r="M544" s="184"/>
      <c r="N544" s="184">
        <f t="shared" si="82"/>
        <v>1</v>
      </c>
      <c r="O544" s="184"/>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x14ac:dyDescent="0.25">
      <c r="A545" s="30" t="str">
        <f t="shared" si="76"/>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2">
        <f>SUMIFS(Table1[Estimação (horas)],Table1[Tabela],Plano_V3!E545,Table1[Campo],Plano_V3!F545)</f>
        <v>0.1</v>
      </c>
      <c r="J545" s="182">
        <f t="shared" si="80"/>
        <v>1.2500000000000001E-2</v>
      </c>
      <c r="K545" s="182">
        <f>SUMIFS(Table1[Horas efetivas],Table1[Tabela],Plano_V3!E545,Table1[Campo],Plano_V3!F545)</f>
        <v>0.1</v>
      </c>
      <c r="L545" s="182">
        <f t="shared" si="81"/>
        <v>1.2500000000000001E-2</v>
      </c>
      <c r="M545" s="184"/>
      <c r="N545" s="184">
        <f t="shared" si="82"/>
        <v>1</v>
      </c>
      <c r="O545" s="184"/>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x14ac:dyDescent="0.25">
      <c r="A546" s="30" t="str">
        <f t="shared" si="76"/>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2">
        <f>SUMIFS(Table1[Estimação (horas)],Table1[Tabela],Plano_V3!E546,Table1[Campo],Plano_V3!F546)</f>
        <v>0.1</v>
      </c>
      <c r="J546" s="182">
        <f t="shared" si="80"/>
        <v>1.2500000000000001E-2</v>
      </c>
      <c r="K546" s="182">
        <f>SUMIFS(Table1[Horas efetivas],Table1[Tabela],Plano_V3!E546,Table1[Campo],Plano_V3!F546)</f>
        <v>0.1</v>
      </c>
      <c r="L546" s="182">
        <f t="shared" si="81"/>
        <v>1.2500000000000001E-2</v>
      </c>
      <c r="M546" s="184"/>
      <c r="N546" s="184">
        <f t="shared" si="82"/>
        <v>1</v>
      </c>
      <c r="O546" s="184"/>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x14ac:dyDescent="0.25">
      <c r="A547" s="30" t="str">
        <f t="shared" si="76"/>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2">
        <f>SUMIFS(Table1[Estimação (horas)],Table1[Tabela],Plano_V3!E547,Table1[Campo],Plano_V3!F547)</f>
        <v>0.1</v>
      </c>
      <c r="J547" s="182">
        <f t="shared" si="80"/>
        <v>1.2500000000000001E-2</v>
      </c>
      <c r="K547" s="182">
        <f>SUMIFS(Table1[Horas efetivas],Table1[Tabela],Plano_V3!E547,Table1[Campo],Plano_V3!F547)</f>
        <v>0.1</v>
      </c>
      <c r="L547" s="182">
        <f t="shared" si="81"/>
        <v>1.2500000000000001E-2</v>
      </c>
      <c r="M547" s="184"/>
      <c r="N547" s="184">
        <f t="shared" si="82"/>
        <v>1</v>
      </c>
      <c r="O547" s="184"/>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x14ac:dyDescent="0.25">
      <c r="A548" s="30" t="str">
        <f t="shared" si="76"/>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2">
        <f>SUMIFS(Table1[Estimação (horas)],Table1[Tabela],Plano_V3!E548,Table1[Campo],Plano_V3!F548)</f>
        <v>0.1</v>
      </c>
      <c r="J548" s="182">
        <f t="shared" si="80"/>
        <v>1.2500000000000001E-2</v>
      </c>
      <c r="K548" s="182">
        <f>SUMIFS(Table1[Horas efetivas],Table1[Tabela],Plano_V3!E548,Table1[Campo],Plano_V3!F548)</f>
        <v>0.1</v>
      </c>
      <c r="L548" s="182">
        <f t="shared" si="81"/>
        <v>1.2500000000000001E-2</v>
      </c>
      <c r="M548" s="184"/>
      <c r="N548" s="184">
        <f t="shared" si="82"/>
        <v>1</v>
      </c>
      <c r="O548" s="184"/>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x14ac:dyDescent="0.25">
      <c r="A549" s="30" t="str">
        <f t="shared" si="76"/>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2">
        <f>SUMIFS(Table1[Estimação (horas)],Table1[Tabela],Plano_V3!E549,Table1[Campo],Plano_V3!F549)</f>
        <v>0.1</v>
      </c>
      <c r="J549" s="182">
        <f t="shared" si="80"/>
        <v>1.2500000000000001E-2</v>
      </c>
      <c r="K549" s="182">
        <f>SUMIFS(Table1[Horas efetivas],Table1[Tabela],Plano_V3!E549,Table1[Campo],Plano_V3!F549)</f>
        <v>0.1</v>
      </c>
      <c r="L549" s="182">
        <f t="shared" si="81"/>
        <v>1.2500000000000001E-2</v>
      </c>
      <c r="M549" s="184"/>
      <c r="N549" s="184">
        <f t="shared" si="82"/>
        <v>1</v>
      </c>
      <c r="O549" s="184"/>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x14ac:dyDescent="0.25">
      <c r="A550" s="30" t="str">
        <f t="shared" si="76"/>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2">
        <f>SUMIFS(Table1[Estimação (horas)],Table1[Tabela],Plano_V3!E550,Table1[Campo],Plano_V3!F550)</f>
        <v>0.1</v>
      </c>
      <c r="J550" s="182">
        <f t="shared" si="80"/>
        <v>1.2500000000000001E-2</v>
      </c>
      <c r="K550" s="182">
        <f>SUMIFS(Table1[Horas efetivas],Table1[Tabela],Plano_V3!E550,Table1[Campo],Plano_V3!F550)</f>
        <v>0.1</v>
      </c>
      <c r="L550" s="182">
        <f t="shared" si="81"/>
        <v>1.2500000000000001E-2</v>
      </c>
      <c r="M550" s="184"/>
      <c r="N550" s="184">
        <f t="shared" si="82"/>
        <v>1</v>
      </c>
      <c r="O550" s="184"/>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x14ac:dyDescent="0.25">
      <c r="A551" s="30" t="str">
        <f t="shared" si="76"/>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2">
        <f>SUMIFS(Table1[Estimação (horas)],Table1[Tabela],Plano_V3!E551,Table1[Campo],Plano_V3!F551)</f>
        <v>0.1</v>
      </c>
      <c r="J551" s="182">
        <f t="shared" si="80"/>
        <v>1.2500000000000001E-2</v>
      </c>
      <c r="K551" s="182">
        <f>SUMIFS(Table1[Horas efetivas],Table1[Tabela],Plano_V3!E551,Table1[Campo],Plano_V3!F551)</f>
        <v>0.1</v>
      </c>
      <c r="L551" s="182">
        <f t="shared" si="81"/>
        <v>1.2500000000000001E-2</v>
      </c>
      <c r="M551" s="184"/>
      <c r="N551" s="184">
        <f t="shared" si="82"/>
        <v>1</v>
      </c>
      <c r="O551" s="184"/>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x14ac:dyDescent="0.25">
      <c r="A552" s="30" t="str">
        <f t="shared" si="76"/>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2">
        <f>SUMIFS(Table1[Estimação (horas)],Table1[Tabela],Plano_V3!E552,Table1[Campo],Plano_V3!F552)</f>
        <v>0.1</v>
      </c>
      <c r="J552" s="182">
        <f t="shared" si="80"/>
        <v>1.2500000000000001E-2</v>
      </c>
      <c r="K552" s="182">
        <f>SUMIFS(Table1[Horas efetivas],Table1[Tabela],Plano_V3!E552,Table1[Campo],Plano_V3!F552)</f>
        <v>0.1</v>
      </c>
      <c r="L552" s="182">
        <f t="shared" si="81"/>
        <v>1.2500000000000001E-2</v>
      </c>
      <c r="M552" s="184"/>
      <c r="N552" s="184">
        <f t="shared" si="82"/>
        <v>1</v>
      </c>
      <c r="O552" s="184"/>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x14ac:dyDescent="0.25">
      <c r="A553" s="30" t="str">
        <f t="shared" si="76"/>
        <v>lt007_instr_activitysstnbl_indctr</v>
      </c>
      <c r="B553" s="68" t="s">
        <v>26</v>
      </c>
      <c r="C553" s="69" t="s">
        <v>26</v>
      </c>
      <c r="D553" s="65" t="s">
        <v>40</v>
      </c>
      <c r="E553" s="71" t="s">
        <v>1955</v>
      </c>
      <c r="F553" s="72" t="s">
        <v>419</v>
      </c>
      <c r="G553" s="65" t="str">
        <f>INDEX(Auxiliar!$B$16:$B$24,MATCH(Plano_V3!H553,Auxiliar!$C$16:$C$24,0),1)</f>
        <v>6. Em implementação (re-especificação)</v>
      </c>
      <c r="H553" s="65">
        <f>VLOOKUP(A553,'Aux - pivots1'!$A:$B,2,0)</f>
        <v>7</v>
      </c>
      <c r="I553" s="182">
        <f>SUMIFS(Table1[Estimação (horas)],Table1[Tabela],Plano_V3!E553,Table1[Campo],Plano_V3!F553)</f>
        <v>0.1</v>
      </c>
      <c r="J553" s="182">
        <f t="shared" si="80"/>
        <v>1.2500000000000001E-2</v>
      </c>
      <c r="K553" s="182">
        <f>SUMIFS(Table1[Horas efetivas],Table1[Tabela],Plano_V3!E553,Table1[Campo],Plano_V3!F553)</f>
        <v>2.5000000000000001E-2</v>
      </c>
      <c r="L553" s="182">
        <f t="shared" si="81"/>
        <v>3.1250000000000002E-3</v>
      </c>
      <c r="M553" s="184"/>
      <c r="N553" s="184">
        <f t="shared" si="82"/>
        <v>0.25</v>
      </c>
      <c r="O553" s="184"/>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x14ac:dyDescent="0.25">
      <c r="A554" s="30" t="str">
        <f t="shared" si="76"/>
        <v>lt007_instr_activitysstnbl_ctgry</v>
      </c>
      <c r="B554" s="68" t="s">
        <v>26</v>
      </c>
      <c r="C554" s="69" t="s">
        <v>26</v>
      </c>
      <c r="D554" s="65" t="s">
        <v>40</v>
      </c>
      <c r="E554" s="71" t="s">
        <v>1955</v>
      </c>
      <c r="F554" s="72" t="s">
        <v>420</v>
      </c>
      <c r="G554" s="65" t="str">
        <f>INDEX(Auxiliar!$B$16:$B$24,MATCH(Plano_V3!H554,Auxiliar!$C$16:$C$24,0),1)</f>
        <v>6. Em implementação (re-especificação)</v>
      </c>
      <c r="H554" s="65">
        <f>VLOOKUP(A554,'Aux - pivots1'!$A:$B,2,0)</f>
        <v>7</v>
      </c>
      <c r="I554" s="182">
        <f>SUMIFS(Table1[Estimação (horas)],Table1[Tabela],Plano_V3!E554,Table1[Campo],Plano_V3!F554)</f>
        <v>0.1</v>
      </c>
      <c r="J554" s="182">
        <f t="shared" si="80"/>
        <v>1.2500000000000001E-2</v>
      </c>
      <c r="K554" s="182">
        <f>SUMIFS(Table1[Horas efetivas],Table1[Tabela],Plano_V3!E554,Table1[Campo],Plano_V3!F554)</f>
        <v>2.5000000000000001E-2</v>
      </c>
      <c r="L554" s="182">
        <f t="shared" si="81"/>
        <v>3.1250000000000002E-3</v>
      </c>
      <c r="M554" s="184"/>
      <c r="N554" s="184">
        <f t="shared" si="82"/>
        <v>0.25</v>
      </c>
      <c r="O554" s="184"/>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x14ac:dyDescent="0.25">
      <c r="A555" s="30" t="str">
        <f t="shared" si="76"/>
        <v>lt002_instrumentgrss_intrst_incm</v>
      </c>
      <c r="B555" s="68" t="s">
        <v>26</v>
      </c>
      <c r="C555" s="69" t="s">
        <v>26</v>
      </c>
      <c r="D555" s="65" t="s">
        <v>40</v>
      </c>
      <c r="E555" s="71" t="s">
        <v>380</v>
      </c>
      <c r="F555" s="72" t="s">
        <v>421</v>
      </c>
      <c r="G555" s="65" t="str">
        <f>INDEX(Auxiliar!$B$16:$B$24,MATCH(Plano_V3!H555,Auxiliar!$C$16:$C$24,0),1)</f>
        <v>5. Em Correção</v>
      </c>
      <c r="H555" s="65">
        <f>VLOOKUP(A555,'Aux - pivots1'!$A:$B,2,0)</f>
        <v>6</v>
      </c>
      <c r="I555" s="182">
        <f>SUMIFS(Table1[Estimação (horas)],Table1[Tabela],Plano_V3!E555,Table1[Campo],Plano_V3!F555)</f>
        <v>0.1</v>
      </c>
      <c r="J555" s="182">
        <f t="shared" si="80"/>
        <v>1.2500000000000001E-2</v>
      </c>
      <c r="K555" s="182">
        <f>SUMIFS(Table1[Horas efetivas],Table1[Tabela],Plano_V3!E555,Table1[Campo],Plano_V3!F555)</f>
        <v>2.5000000000000001E-2</v>
      </c>
      <c r="L555" s="182">
        <f t="shared" si="81"/>
        <v>3.1250000000000002E-3</v>
      </c>
      <c r="M555" s="184"/>
      <c r="N555" s="184">
        <f t="shared" si="82"/>
        <v>0.25</v>
      </c>
      <c r="O555" s="184"/>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x14ac:dyDescent="0.25">
      <c r="A556" s="30" t="str">
        <f t="shared" si="76"/>
        <v>lt002_instrumentgrss_cmmssn_incm</v>
      </c>
      <c r="B556" s="68" t="s">
        <v>26</v>
      </c>
      <c r="C556" s="69" t="s">
        <v>26</v>
      </c>
      <c r="D556" s="65" t="s">
        <v>40</v>
      </c>
      <c r="E556" s="71" t="s">
        <v>380</v>
      </c>
      <c r="F556" s="72" t="s">
        <v>422</v>
      </c>
      <c r="G556" s="65" t="str">
        <f>INDEX(Auxiliar!$B$16:$B$24,MATCH(Plano_V3!H556,Auxiliar!$C$16:$C$24,0),1)</f>
        <v>5. Em Correção</v>
      </c>
      <c r="H556" s="65">
        <f>VLOOKUP(A556,'Aux - pivots1'!$A:$B,2,0)</f>
        <v>6</v>
      </c>
      <c r="I556" s="182">
        <f>SUMIFS(Table1[Estimação (horas)],Table1[Tabela],Plano_V3!E556,Table1[Campo],Plano_V3!F556)</f>
        <v>0.1</v>
      </c>
      <c r="J556" s="182">
        <f t="shared" si="80"/>
        <v>1.2500000000000001E-2</v>
      </c>
      <c r="K556" s="182">
        <f>SUMIFS(Table1[Horas efetivas],Table1[Tabela],Plano_V3!E556,Table1[Campo],Plano_V3!F556)</f>
        <v>2.5000000000000001E-2</v>
      </c>
      <c r="L556" s="182">
        <f t="shared" si="81"/>
        <v>3.1250000000000002E-3</v>
      </c>
      <c r="M556" s="184"/>
      <c r="N556" s="184">
        <f t="shared" si="82"/>
        <v>0.25</v>
      </c>
      <c r="O556" s="184"/>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x14ac:dyDescent="0.25">
      <c r="A557" s="30" t="str">
        <f t="shared" si="76"/>
        <v>lt002_instrumentgrss_cmmssn_incm_off_blnc</v>
      </c>
      <c r="B557" s="68" t="s">
        <v>26</v>
      </c>
      <c r="C557" s="69" t="s">
        <v>26</v>
      </c>
      <c r="D557" s="65" t="s">
        <v>40</v>
      </c>
      <c r="E557" s="71" t="s">
        <v>380</v>
      </c>
      <c r="F557" s="72" t="s">
        <v>423</v>
      </c>
      <c r="G557" s="65" t="str">
        <f>INDEX(Auxiliar!$B$16:$B$24,MATCH(Plano_V3!H557,Auxiliar!$C$16:$C$24,0),1)</f>
        <v>5. Em Correção</v>
      </c>
      <c r="H557" s="65">
        <f>VLOOKUP(A557,'Aux - pivots1'!$A:$B,2,0)</f>
        <v>6</v>
      </c>
      <c r="I557" s="182">
        <f>SUMIFS(Table1[Estimação (horas)],Table1[Tabela],Plano_V3!E557,Table1[Campo],Plano_V3!F557)</f>
        <v>0.1</v>
      </c>
      <c r="J557" s="182">
        <f t="shared" si="80"/>
        <v>1.2500000000000001E-2</v>
      </c>
      <c r="K557" s="182">
        <f>SUMIFS(Table1[Horas efetivas],Table1[Tabela],Plano_V3!E557,Table1[Campo],Plano_V3!F557)</f>
        <v>2.5000000000000001E-2</v>
      </c>
      <c r="L557" s="182">
        <f t="shared" si="81"/>
        <v>3.1250000000000002E-3</v>
      </c>
      <c r="M557" s="184"/>
      <c r="N557" s="184">
        <f t="shared" si="82"/>
        <v>0.25</v>
      </c>
      <c r="O557" s="184"/>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x14ac:dyDescent="0.25">
      <c r="A558" s="30" t="str">
        <f t="shared" si="76"/>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2">
        <f>SUMIFS(Table1[Estimação (horas)],Table1[Tabela],Plano_V3!E558,Table1[Campo],Plano_V3!F558)</f>
        <v>0.1</v>
      </c>
      <c r="J558" s="182">
        <f t="shared" si="80"/>
        <v>1.2500000000000001E-2</v>
      </c>
      <c r="K558" s="182">
        <f>SUMIFS(Table1[Horas efetivas],Table1[Tabela],Plano_V3!E558,Table1[Campo],Plano_V3!F558)</f>
        <v>0.1</v>
      </c>
      <c r="L558" s="182">
        <f t="shared" si="81"/>
        <v>1.2500000000000001E-2</v>
      </c>
      <c r="M558" s="184"/>
      <c r="N558" s="184">
        <f t="shared" si="82"/>
        <v>1</v>
      </c>
      <c r="O558" s="184"/>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x14ac:dyDescent="0.25">
      <c r="A559" s="30" t="str">
        <f t="shared" si="76"/>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2">
        <f>SUMIFS(Table1[Estimação (horas)],Table1[Tabela],Plano_V3!E559,Table1[Campo],Plano_V3!F559)</f>
        <v>0.1</v>
      </c>
      <c r="J559" s="182">
        <f t="shared" si="80"/>
        <v>1.2500000000000001E-2</v>
      </c>
      <c r="K559" s="182">
        <f>SUMIFS(Table1[Horas efetivas],Table1[Tabela],Plano_V3!E559,Table1[Campo],Plano_V3!F559)</f>
        <v>0.1</v>
      </c>
      <c r="L559" s="182">
        <f t="shared" si="81"/>
        <v>1.2500000000000001E-2</v>
      </c>
      <c r="M559" s="184"/>
      <c r="N559" s="184">
        <f t="shared" si="82"/>
        <v>1</v>
      </c>
      <c r="O559" s="184"/>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x14ac:dyDescent="0.25">
      <c r="A560" s="30" t="str">
        <f t="shared" si="76"/>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2">
        <f>SUMIFS(Table1[Estimação (horas)],Table1[Tabela],Plano_V3!E560,Table1[Campo],Plano_V3!F560)</f>
        <v>0.1</v>
      </c>
      <c r="J560" s="182">
        <f t="shared" si="80"/>
        <v>1.2500000000000001E-2</v>
      </c>
      <c r="K560" s="182">
        <f>SUMIFS(Table1[Horas efetivas],Table1[Tabela],Plano_V3!E560,Table1[Campo],Plano_V3!F560)</f>
        <v>0.1</v>
      </c>
      <c r="L560" s="182">
        <f t="shared" si="81"/>
        <v>1.2500000000000001E-2</v>
      </c>
      <c r="M560" s="184"/>
      <c r="N560" s="184">
        <f t="shared" si="82"/>
        <v>1</v>
      </c>
      <c r="O560" s="184"/>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x14ac:dyDescent="0.25">
      <c r="A561" s="30" t="str">
        <f t="shared" si="76"/>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2">
        <f>SUMIFS(Table1[Estimação (horas)],Table1[Tabela],Plano_V3!E561,Table1[Campo],Plano_V3!F561)</f>
        <v>0.1</v>
      </c>
      <c r="J561" s="182">
        <f t="shared" si="80"/>
        <v>1.2500000000000001E-2</v>
      </c>
      <c r="K561" s="182">
        <f>SUMIFS(Table1[Horas efetivas],Table1[Tabela],Plano_V3!E561,Table1[Campo],Plano_V3!F561)</f>
        <v>0.1</v>
      </c>
      <c r="L561" s="182">
        <f t="shared" si="81"/>
        <v>1.2500000000000001E-2</v>
      </c>
      <c r="M561" s="184"/>
      <c r="N561" s="184">
        <f t="shared" si="82"/>
        <v>1</v>
      </c>
      <c r="O561" s="184"/>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x14ac:dyDescent="0.25">
      <c r="A562" s="30" t="str">
        <f t="shared" si="76"/>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2">
        <f>SUMIFS(Table1[Estimação (horas)],Table1[Tabela],Plano_V3!E562,Table1[Campo],Plano_V3!F562)</f>
        <v>0.1</v>
      </c>
      <c r="J562" s="182">
        <f t="shared" si="80"/>
        <v>1.2500000000000001E-2</v>
      </c>
      <c r="K562" s="182">
        <f>SUMIFS(Table1[Horas efetivas],Table1[Tabela],Plano_V3!E562,Table1[Campo],Plano_V3!F562)</f>
        <v>0.1</v>
      </c>
      <c r="L562" s="182">
        <f t="shared" si="81"/>
        <v>1.2500000000000001E-2</v>
      </c>
      <c r="M562" s="184"/>
      <c r="N562" s="184">
        <f t="shared" si="82"/>
        <v>1</v>
      </c>
      <c r="O562" s="184"/>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x14ac:dyDescent="0.25">
      <c r="A563" s="30" t="str">
        <f t="shared" si="76"/>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2">
        <f>SUMIFS(Table1[Estimação (horas)],Table1[Tabela],Plano_V3!E563,Table1[Campo],Plano_V3!F563)</f>
        <v>0.1</v>
      </c>
      <c r="J563" s="182">
        <f t="shared" si="80"/>
        <v>1.2500000000000001E-2</v>
      </c>
      <c r="K563" s="182">
        <f>SUMIFS(Table1[Horas efetivas],Table1[Tabela],Plano_V3!E563,Table1[Campo],Plano_V3!F563)</f>
        <v>0.1</v>
      </c>
      <c r="L563" s="182">
        <f t="shared" si="81"/>
        <v>1.2500000000000001E-2</v>
      </c>
      <c r="M563" s="184"/>
      <c r="N563" s="184">
        <f t="shared" si="82"/>
        <v>1</v>
      </c>
      <c r="O563" s="184"/>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x14ac:dyDescent="0.25">
      <c r="A564" s="30" t="str">
        <f t="shared" si="76"/>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2">
        <f>SUMIFS(Table1[Estimação (horas)],Table1[Tabela],Plano_V3!E564,Table1[Campo],Plano_V3!F564)</f>
        <v>0.1</v>
      </c>
      <c r="J564" s="182">
        <f t="shared" si="80"/>
        <v>1.2500000000000001E-2</v>
      </c>
      <c r="K564" s="182">
        <f>SUMIFS(Table1[Horas efetivas],Table1[Tabela],Plano_V3!E564,Table1[Campo],Plano_V3!F564)</f>
        <v>0.1</v>
      </c>
      <c r="L564" s="182">
        <f t="shared" si="81"/>
        <v>1.2500000000000001E-2</v>
      </c>
      <c r="M564" s="184"/>
      <c r="N564" s="184">
        <f t="shared" si="82"/>
        <v>1</v>
      </c>
      <c r="O564" s="184"/>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x14ac:dyDescent="0.25">
      <c r="A565" s="30" t="str">
        <f t="shared" si="76"/>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2">
        <f>SUMIFS(Table1[Estimação (horas)],Table1[Tabela],Plano_V3!E565,Table1[Campo],Plano_V3!F565)</f>
        <v>0.1</v>
      </c>
      <c r="J565" s="182">
        <f t="shared" si="80"/>
        <v>1.2500000000000001E-2</v>
      </c>
      <c r="K565" s="182">
        <f>SUMIFS(Table1[Horas efetivas],Table1[Tabela],Plano_V3!E565,Table1[Campo],Plano_V3!F565)</f>
        <v>0.1</v>
      </c>
      <c r="L565" s="182">
        <f t="shared" si="81"/>
        <v>1.2500000000000001E-2</v>
      </c>
      <c r="M565" s="184"/>
      <c r="N565" s="184">
        <f t="shared" si="82"/>
        <v>1</v>
      </c>
      <c r="O565" s="184"/>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x14ac:dyDescent="0.25">
      <c r="A566" s="30" t="str">
        <f t="shared" si="76"/>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2">
        <f>SUMIFS(Table1[Estimação (horas)],Table1[Tabela],Plano_V3!E566,Table1[Campo],Plano_V3!F566)</f>
        <v>0.1</v>
      </c>
      <c r="J566" s="182">
        <f t="shared" si="80"/>
        <v>1.2500000000000001E-2</v>
      </c>
      <c r="K566" s="182">
        <f>SUMIFS(Table1[Horas efetivas],Table1[Tabela],Plano_V3!E566,Table1[Campo],Plano_V3!F566)</f>
        <v>0.1</v>
      </c>
      <c r="L566" s="182">
        <f t="shared" si="81"/>
        <v>1.2500000000000001E-2</v>
      </c>
      <c r="M566" s="184"/>
      <c r="N566" s="184">
        <f t="shared" si="82"/>
        <v>1</v>
      </c>
      <c r="O566" s="184"/>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x14ac:dyDescent="0.25">
      <c r="A567" s="30" t="str">
        <f t="shared" si="76"/>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2">
        <f>SUMIFS(Table1[Estimação (horas)],Table1[Tabela],Plano_V3!E567,Table1[Campo],Plano_V3!F567)</f>
        <v>0.1</v>
      </c>
      <c r="J567" s="182">
        <f t="shared" si="80"/>
        <v>1.2500000000000001E-2</v>
      </c>
      <c r="K567" s="182">
        <f>SUMIFS(Table1[Horas efetivas],Table1[Tabela],Plano_V3!E567,Table1[Campo],Plano_V3!F567)</f>
        <v>0.1</v>
      </c>
      <c r="L567" s="182">
        <f t="shared" si="81"/>
        <v>1.2500000000000001E-2</v>
      </c>
      <c r="M567" s="184"/>
      <c r="N567" s="184">
        <f t="shared" si="82"/>
        <v>1</v>
      </c>
      <c r="O567" s="184"/>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x14ac:dyDescent="0.25">
      <c r="A568" s="30" t="str">
        <f t="shared" si="76"/>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2">
        <f>SUMIFS(Table1[Estimação (horas)],Table1[Tabela],Plano_V3!E568,Table1[Campo],Plano_V3!F568)</f>
        <v>0.1</v>
      </c>
      <c r="J568" s="182">
        <f t="shared" si="80"/>
        <v>1.2500000000000001E-2</v>
      </c>
      <c r="K568" s="182">
        <f>SUMIFS(Table1[Horas efetivas],Table1[Tabela],Plano_V3!E568,Table1[Campo],Plano_V3!F568)</f>
        <v>0.1</v>
      </c>
      <c r="L568" s="182">
        <f t="shared" si="81"/>
        <v>1.2500000000000001E-2</v>
      </c>
      <c r="M568" s="184"/>
      <c r="N568" s="184">
        <f t="shared" si="82"/>
        <v>1</v>
      </c>
      <c r="O568" s="184"/>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x14ac:dyDescent="0.25">
      <c r="A569" s="30" t="str">
        <f t="shared" si="76"/>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2">
        <f>SUMIFS(Table1[Estimação (horas)],Table1[Tabela],Plano_V3!E569,Table1[Campo],Plano_V3!F569)</f>
        <v>0.1</v>
      </c>
      <c r="J569" s="182">
        <f t="shared" si="80"/>
        <v>1.2500000000000001E-2</v>
      </c>
      <c r="K569" s="182">
        <f>SUMIFS(Table1[Horas efetivas],Table1[Tabela],Plano_V3!E569,Table1[Campo],Plano_V3!F569)</f>
        <v>0.1</v>
      </c>
      <c r="L569" s="182">
        <f t="shared" si="81"/>
        <v>1.2500000000000001E-2</v>
      </c>
      <c r="M569" s="184"/>
      <c r="N569" s="184">
        <f t="shared" si="82"/>
        <v>1</v>
      </c>
      <c r="O569" s="184"/>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x14ac:dyDescent="0.25">
      <c r="A570" s="30" t="str">
        <f t="shared" si="76"/>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2">
        <f>SUMIFS(Table1[Estimação (horas)],Table1[Tabela],Plano_V3!E570,Table1[Campo],Plano_V3!F570)</f>
        <v>0.1</v>
      </c>
      <c r="J570" s="182">
        <f t="shared" si="80"/>
        <v>1.2500000000000001E-2</v>
      </c>
      <c r="K570" s="182">
        <f>SUMIFS(Table1[Horas efetivas],Table1[Tabela],Plano_V3!E570,Table1[Campo],Plano_V3!F570)</f>
        <v>0.1</v>
      </c>
      <c r="L570" s="182">
        <f t="shared" si="81"/>
        <v>1.2500000000000001E-2</v>
      </c>
      <c r="M570" s="184"/>
      <c r="N570" s="184">
        <f t="shared" si="82"/>
        <v>1</v>
      </c>
      <c r="O570" s="184"/>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x14ac:dyDescent="0.25">
      <c r="A571" s="30" t="str">
        <f t="shared" si="76"/>
        <v>lt004_protectionprtctn_id</v>
      </c>
      <c r="B571" s="68" t="s">
        <v>26</v>
      </c>
      <c r="C571" s="69" t="s">
        <v>26</v>
      </c>
      <c r="D571" s="65" t="s">
        <v>40</v>
      </c>
      <c r="E571" s="71" t="s">
        <v>369</v>
      </c>
      <c r="F571" s="72" t="s">
        <v>434</v>
      </c>
      <c r="G571" s="65" t="str">
        <f>INDEX(Auxiliar!$B$16:$B$24,MATCH(Plano_V3!H571,Auxiliar!$C$16:$C$24,0),1)</f>
        <v>2.1 Em Teste</v>
      </c>
      <c r="H571" s="65">
        <f>VLOOKUP(A571,'Aux - pivots1'!$A:$B,2,0)</f>
        <v>2</v>
      </c>
      <c r="I571" s="182">
        <f>SUMIFS(Table1[Estimação (horas)],Table1[Tabela],Plano_V3!E571,Table1[Campo],Plano_V3!F571)</f>
        <v>0.1</v>
      </c>
      <c r="J571" s="182">
        <f t="shared" si="80"/>
        <v>1.2500000000000001E-2</v>
      </c>
      <c r="K571" s="182">
        <f>SUMIFS(Table1[Horas efetivas],Table1[Tabela],Plano_V3!E571,Table1[Campo],Plano_V3!F571)</f>
        <v>0.05</v>
      </c>
      <c r="L571" s="182">
        <f t="shared" si="81"/>
        <v>6.2500000000000003E-3</v>
      </c>
      <c r="M571" s="184"/>
      <c r="N571" s="184">
        <f t="shared" si="82"/>
        <v>0.5</v>
      </c>
      <c r="O571" s="184"/>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x14ac:dyDescent="0.25">
      <c r="A572" s="30" t="str">
        <f t="shared" si="76"/>
        <v>lt004_protectionrl_estt_clltrl_lctn</v>
      </c>
      <c r="B572" s="68" t="s">
        <v>26</v>
      </c>
      <c r="C572" s="69" t="s">
        <v>26</v>
      </c>
      <c r="D572" s="65" t="s">
        <v>40</v>
      </c>
      <c r="E572" s="71" t="s">
        <v>369</v>
      </c>
      <c r="F572" s="72" t="s">
        <v>435</v>
      </c>
      <c r="G572" s="65" t="str">
        <f>INDEX(Auxiliar!$B$16:$B$24,MATCH(Plano_V3!H572,Auxiliar!$C$16:$C$24,0),1)</f>
        <v>2.1 Em Teste</v>
      </c>
      <c r="H572" s="65">
        <f>VLOOKUP(A572,'Aux - pivots1'!$A:$B,2,0)</f>
        <v>2</v>
      </c>
      <c r="I572" s="182">
        <f>SUMIFS(Table1[Estimação (horas)],Table1[Tabela],Plano_V3!E572,Table1[Campo],Plano_V3!F572)</f>
        <v>0.1</v>
      </c>
      <c r="J572" s="182">
        <f t="shared" si="80"/>
        <v>1.2500000000000001E-2</v>
      </c>
      <c r="K572" s="182">
        <f>SUMIFS(Table1[Horas efetivas],Table1[Tabela],Plano_V3!E572,Table1[Campo],Plano_V3!F572)</f>
        <v>0.05</v>
      </c>
      <c r="L572" s="182">
        <f t="shared" si="81"/>
        <v>6.2500000000000003E-3</v>
      </c>
      <c r="M572" s="184"/>
      <c r="N572" s="184">
        <f t="shared" si="82"/>
        <v>0.5</v>
      </c>
      <c r="O572" s="184"/>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x14ac:dyDescent="0.25">
      <c r="A573" s="30" t="str">
        <f t="shared" si="76"/>
        <v>lt004_protectionrl_estt_pst_cd</v>
      </c>
      <c r="B573" s="68" t="s">
        <v>26</v>
      </c>
      <c r="C573" s="69" t="s">
        <v>26</v>
      </c>
      <c r="D573" s="65" t="s">
        <v>40</v>
      </c>
      <c r="E573" s="71" t="s">
        <v>369</v>
      </c>
      <c r="F573" s="72" t="s">
        <v>436</v>
      </c>
      <c r="G573" s="65" t="str">
        <f>INDEX(Auxiliar!$B$16:$B$24,MATCH(Plano_V3!H573,Auxiliar!$C$16:$C$24,0),1)</f>
        <v>2.1 Em Teste</v>
      </c>
      <c r="H573" s="65">
        <f>VLOOKUP(A573,'Aux - pivots1'!$A:$B,2,0)</f>
        <v>2</v>
      </c>
      <c r="I573" s="182">
        <f>SUMIFS(Table1[Estimação (horas)],Table1[Tabela],Plano_V3!E573,Table1[Campo],Plano_V3!F573)</f>
        <v>0.1</v>
      </c>
      <c r="J573" s="182">
        <f t="shared" si="80"/>
        <v>1.2500000000000001E-2</v>
      </c>
      <c r="K573" s="182">
        <f>SUMIFS(Table1[Horas efetivas],Table1[Tabela],Plano_V3!E573,Table1[Campo],Plano_V3!F573)</f>
        <v>0.05</v>
      </c>
      <c r="L573" s="182">
        <f t="shared" si="81"/>
        <v>6.2500000000000003E-3</v>
      </c>
      <c r="M573" s="184"/>
      <c r="N573" s="184">
        <f t="shared" si="82"/>
        <v>0.5</v>
      </c>
      <c r="O573" s="184"/>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x14ac:dyDescent="0.25">
      <c r="A574" s="30" t="str">
        <f t="shared" si="76"/>
        <v>lt004_protectiontyp_prtctn</v>
      </c>
      <c r="B574" s="68" t="s">
        <v>26</v>
      </c>
      <c r="C574" s="69" t="s">
        <v>26</v>
      </c>
      <c r="D574" s="65" t="s">
        <v>40</v>
      </c>
      <c r="E574" s="71" t="s">
        <v>369</v>
      </c>
      <c r="F574" s="72" t="s">
        <v>437</v>
      </c>
      <c r="G574" s="65" t="str">
        <f>INDEX(Auxiliar!$B$16:$B$24,MATCH(Plano_V3!H574,Auxiliar!$C$16:$C$24,0),1)</f>
        <v>6. Em implementação (re-especificação)</v>
      </c>
      <c r="H574" s="65">
        <f>VLOOKUP(A574,'Aux - pivots1'!$A:$B,2,0)</f>
        <v>7</v>
      </c>
      <c r="I574" s="182">
        <f>SUMIFS(Table1[Estimação (horas)],Table1[Tabela],Plano_V3!E574,Table1[Campo],Plano_V3!F574)</f>
        <v>0.1</v>
      </c>
      <c r="J574" s="182">
        <f t="shared" si="80"/>
        <v>1.2500000000000001E-2</v>
      </c>
      <c r="K574" s="182">
        <f>SUMIFS(Table1[Horas efetivas],Table1[Tabela],Plano_V3!E574,Table1[Campo],Plano_V3!F574)</f>
        <v>2.5000000000000001E-2</v>
      </c>
      <c r="L574" s="182">
        <f t="shared" si="81"/>
        <v>3.1250000000000002E-3</v>
      </c>
      <c r="M574" s="184"/>
      <c r="N574" s="184">
        <f t="shared" si="82"/>
        <v>0.25</v>
      </c>
      <c r="O574" s="184"/>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x14ac:dyDescent="0.25">
      <c r="A575" s="30" t="str">
        <f t="shared" si="76"/>
        <v>lt004_protectionorgnl_prtctn_vl</v>
      </c>
      <c r="B575" s="68" t="s">
        <v>26</v>
      </c>
      <c r="C575" s="69" t="s">
        <v>26</v>
      </c>
      <c r="D575" s="65" t="s">
        <v>40</v>
      </c>
      <c r="E575" s="71" t="s">
        <v>369</v>
      </c>
      <c r="F575" s="72" t="s">
        <v>438</v>
      </c>
      <c r="G575" s="65" t="str">
        <f>INDEX(Auxiliar!$B$16:$B$24,MATCH(Plano_V3!H575,Auxiliar!$C$16:$C$24,0),1)</f>
        <v>3. Pendente de outros desenvolvimentos</v>
      </c>
      <c r="H575" s="65">
        <f>VLOOKUP(A575,'Aux - pivots1'!$A:$B,2,0)</f>
        <v>4</v>
      </c>
      <c r="I575" s="182">
        <f>SUMIFS(Table1[Estimação (horas)],Table1[Tabela],Plano_V3!E575,Table1[Campo],Plano_V3!F575)</f>
        <v>0.1</v>
      </c>
      <c r="J575" s="182">
        <f t="shared" si="80"/>
        <v>1.2500000000000001E-2</v>
      </c>
      <c r="K575" s="182">
        <f>SUMIFS(Table1[Horas efetivas],Table1[Tabela],Plano_V3!E575,Table1[Campo],Plano_V3!F575)</f>
        <v>2.5000000000000001E-2</v>
      </c>
      <c r="L575" s="182">
        <f t="shared" si="81"/>
        <v>3.1250000000000002E-3</v>
      </c>
      <c r="M575" s="184"/>
      <c r="N575" s="184">
        <f t="shared" si="82"/>
        <v>0.25</v>
      </c>
      <c r="O575" s="184"/>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x14ac:dyDescent="0.25">
      <c r="A576" s="30" t="str">
        <f t="shared" si="76"/>
        <v>lt004_protectionprtctn_vl</v>
      </c>
      <c r="B576" s="68" t="s">
        <v>26</v>
      </c>
      <c r="C576" s="69" t="s">
        <v>26</v>
      </c>
      <c r="D576" s="65" t="s">
        <v>40</v>
      </c>
      <c r="E576" s="71" t="s">
        <v>369</v>
      </c>
      <c r="F576" s="72" t="s">
        <v>439</v>
      </c>
      <c r="G576" s="65" t="str">
        <f>INDEX(Auxiliar!$B$16:$B$24,MATCH(Plano_V3!H576,Auxiliar!$C$16:$C$24,0),1)</f>
        <v>6. Em implementação (re-especificação)</v>
      </c>
      <c r="H576" s="65">
        <f>VLOOKUP(A576,'Aux - pivots1'!$A:$B,2,0)</f>
        <v>7</v>
      </c>
      <c r="I576" s="182">
        <f>SUMIFS(Table1[Estimação (horas)],Table1[Tabela],Plano_V3!E576,Table1[Campo],Plano_V3!F576)</f>
        <v>0.1</v>
      </c>
      <c r="J576" s="182">
        <f t="shared" si="80"/>
        <v>1.2500000000000001E-2</v>
      </c>
      <c r="K576" s="182">
        <f>SUMIFS(Table1[Horas efetivas],Table1[Tabela],Plano_V3!E576,Table1[Campo],Plano_V3!F576)</f>
        <v>2.5000000000000001E-2</v>
      </c>
      <c r="L576" s="182">
        <f t="shared" si="81"/>
        <v>3.1250000000000002E-3</v>
      </c>
      <c r="M576" s="184"/>
      <c r="N576" s="184">
        <f t="shared" si="82"/>
        <v>0.25</v>
      </c>
      <c r="O576" s="184"/>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x14ac:dyDescent="0.25">
      <c r="A577" s="30" t="str">
        <f t="shared" si="76"/>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2">
        <f>SUMIFS(Table1[Estimação (horas)],Table1[Tabela],Plano_V3!E577,Table1[Campo],Plano_V3!F577)</f>
        <v>0.1</v>
      </c>
      <c r="J577" s="182">
        <f t="shared" si="80"/>
        <v>1.2500000000000001E-2</v>
      </c>
      <c r="K577" s="182">
        <f>SUMIFS(Table1[Horas efetivas],Table1[Tabela],Plano_V3!E577,Table1[Campo],Plano_V3!F577)</f>
        <v>0.1</v>
      </c>
      <c r="L577" s="182">
        <f t="shared" si="81"/>
        <v>1.2500000000000001E-2</v>
      </c>
      <c r="M577" s="184"/>
      <c r="N577" s="184">
        <f t="shared" si="82"/>
        <v>1</v>
      </c>
      <c r="O577" s="184"/>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x14ac:dyDescent="0.25">
      <c r="A578" s="30" t="str">
        <f t="shared" si="76"/>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2">
        <f>SUMIFS(Table1[Estimação (horas)],Table1[Tabela],Plano_V3!E578,Table1[Campo],Plano_V3!F578)</f>
        <v>0.1</v>
      </c>
      <c r="J578" s="182">
        <f t="shared" si="80"/>
        <v>1.2500000000000001E-2</v>
      </c>
      <c r="K578" s="182">
        <f>SUMIFS(Table1[Horas efetivas],Table1[Tabela],Plano_V3!E578,Table1[Campo],Plano_V3!F578)</f>
        <v>0.1</v>
      </c>
      <c r="L578" s="182">
        <f t="shared" si="81"/>
        <v>1.2500000000000001E-2</v>
      </c>
      <c r="M578" s="184"/>
      <c r="N578" s="184">
        <f t="shared" si="82"/>
        <v>1</v>
      </c>
      <c r="O578" s="184"/>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x14ac:dyDescent="0.25">
      <c r="A579" s="30" t="str">
        <f t="shared" si="76"/>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2">
        <f>SUMIFS(Table1[Estimação (horas)],Table1[Tabela],Plano_V3!E579,Table1[Campo],Plano_V3!F579)</f>
        <v>0.1</v>
      </c>
      <c r="J579" s="182">
        <f t="shared" si="80"/>
        <v>1.2500000000000001E-2</v>
      </c>
      <c r="K579" s="182">
        <f>SUMIFS(Table1[Horas efetivas],Table1[Tabela],Plano_V3!E579,Table1[Campo],Plano_V3!F579)</f>
        <v>0.1</v>
      </c>
      <c r="L579" s="182">
        <f t="shared" si="81"/>
        <v>1.2500000000000001E-2</v>
      </c>
      <c r="M579" s="184"/>
      <c r="N579" s="184">
        <f t="shared" si="82"/>
        <v>1</v>
      </c>
      <c r="O579" s="184"/>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x14ac:dyDescent="0.25">
      <c r="A580" s="30" t="str">
        <f t="shared" si="76"/>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2">
        <f>SUMIFS(Table1[Estimação (horas)],Table1[Tabela],Plano_V3!E580,Table1[Campo],Plano_V3!F580)</f>
        <v>0.1</v>
      </c>
      <c r="J580" s="182">
        <f t="shared" si="80"/>
        <v>1.2500000000000001E-2</v>
      </c>
      <c r="K580" s="182">
        <f>SUMIFS(Table1[Horas efetivas],Table1[Tabela],Plano_V3!E580,Table1[Campo],Plano_V3!F580)</f>
        <v>0.1</v>
      </c>
      <c r="L580" s="182">
        <f t="shared" si="81"/>
        <v>1.2500000000000001E-2</v>
      </c>
      <c r="M580" s="184"/>
      <c r="N580" s="184">
        <f t="shared" si="82"/>
        <v>1</v>
      </c>
      <c r="O580" s="184"/>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x14ac:dyDescent="0.25">
      <c r="A581" s="30" t="str">
        <f t="shared" si="76"/>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2">
        <f>SUMIFS(Table1[Estimação (horas)],Table1[Tabela],Plano_V3!E581,Table1[Campo],Plano_V3!F581)</f>
        <v>0.1</v>
      </c>
      <c r="J581" s="182">
        <f t="shared" si="80"/>
        <v>1.2500000000000001E-2</v>
      </c>
      <c r="K581" s="182">
        <f>SUMIFS(Table1[Horas efetivas],Table1[Tabela],Plano_V3!E581,Table1[Campo],Plano_V3!F581)</f>
        <v>0.1</v>
      </c>
      <c r="L581" s="182">
        <f t="shared" si="81"/>
        <v>1.2500000000000001E-2</v>
      </c>
      <c r="M581" s="184"/>
      <c r="N581" s="184">
        <f t="shared" si="82"/>
        <v>1</v>
      </c>
      <c r="O581" s="184"/>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x14ac:dyDescent="0.25">
      <c r="A582" s="30" t="str">
        <f t="shared" si="76"/>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2">
        <f>SUMIFS(Table1[Estimação (horas)],Table1[Tabela],Plano_V3!E582,Table1[Campo],Plano_V3!F582)</f>
        <v>0.1</v>
      </c>
      <c r="J582" s="182">
        <f t="shared" si="80"/>
        <v>1.2500000000000001E-2</v>
      </c>
      <c r="K582" s="182">
        <f>SUMIFS(Table1[Horas efetivas],Table1[Tabela],Plano_V3!E582,Table1[Campo],Plano_V3!F582)</f>
        <v>0.1</v>
      </c>
      <c r="L582" s="182">
        <f t="shared" si="81"/>
        <v>1.2500000000000001E-2</v>
      </c>
      <c r="M582" s="184"/>
      <c r="N582" s="184">
        <f t="shared" si="82"/>
        <v>1</v>
      </c>
      <c r="O582" s="184"/>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x14ac:dyDescent="0.25">
      <c r="A583" s="30" t="str">
        <f t="shared" si="76"/>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2">
        <f>SUMIFS(Table1[Estimação (horas)],Table1[Tabela],Plano_V3!E583,Table1[Campo],Plano_V3!F583)</f>
        <v>0.1</v>
      </c>
      <c r="J583" s="182">
        <f t="shared" si="80"/>
        <v>1.2500000000000001E-2</v>
      </c>
      <c r="K583" s="182">
        <f>SUMIFS(Table1[Horas efetivas],Table1[Tabela],Plano_V3!E583,Table1[Campo],Plano_V3!F583)</f>
        <v>0.1</v>
      </c>
      <c r="L583" s="182">
        <f t="shared" si="81"/>
        <v>1.2500000000000001E-2</v>
      </c>
      <c r="M583" s="184"/>
      <c r="N583" s="184">
        <f t="shared" si="82"/>
        <v>1</v>
      </c>
      <c r="O583" s="184"/>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x14ac:dyDescent="0.25">
      <c r="A584" s="30" t="str">
        <f t="shared" si="76"/>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2">
        <f>SUMIFS(Table1[Estimação (horas)],Table1[Tabela],Plano_V3!E584,Table1[Campo],Plano_V3!F584)</f>
        <v>0.1</v>
      </c>
      <c r="J584" s="182">
        <f t="shared" si="80"/>
        <v>1.2500000000000001E-2</v>
      </c>
      <c r="K584" s="182">
        <f>SUMIFS(Table1[Horas efetivas],Table1[Tabela],Plano_V3!E584,Table1[Campo],Plano_V3!F584)</f>
        <v>0.1</v>
      </c>
      <c r="L584" s="182">
        <f t="shared" si="81"/>
        <v>1.2500000000000001E-2</v>
      </c>
      <c r="M584" s="184"/>
      <c r="N584" s="184">
        <f t="shared" si="82"/>
        <v>1</v>
      </c>
      <c r="O584" s="184"/>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x14ac:dyDescent="0.25">
      <c r="A585" s="30" t="str">
        <f t="shared" si="76"/>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2">
        <f>SUMIFS(Table1[Estimação (horas)],Table1[Tabela],Plano_V3!E585,Table1[Campo],Plano_V3!F585)</f>
        <v>0.1</v>
      </c>
      <c r="J585" s="182">
        <f t="shared" si="80"/>
        <v>1.2500000000000001E-2</v>
      </c>
      <c r="K585" s="182">
        <f>SUMIFS(Table1[Horas efetivas],Table1[Tabela],Plano_V3!E585,Table1[Campo],Plano_V3!F585)</f>
        <v>0.1</v>
      </c>
      <c r="L585" s="182">
        <f t="shared" si="81"/>
        <v>1.2500000000000001E-2</v>
      </c>
      <c r="M585" s="184"/>
      <c r="N585" s="184">
        <f t="shared" si="82"/>
        <v>1</v>
      </c>
      <c r="O585" s="184"/>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x14ac:dyDescent="0.25">
      <c r="A586" s="30" t="str">
        <f t="shared" si="76"/>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2">
        <f>SUMIFS(Table1[Estimação (horas)],Table1[Tabela],Plano_V3!E586,Table1[Campo],Plano_V3!F586)</f>
        <v>0.1</v>
      </c>
      <c r="J586" s="182">
        <f t="shared" si="80"/>
        <v>1.2500000000000001E-2</v>
      </c>
      <c r="K586" s="182">
        <f>SUMIFS(Table1[Horas efetivas],Table1[Tabela],Plano_V3!E586,Table1[Campo],Plano_V3!F586)</f>
        <v>0.1</v>
      </c>
      <c r="L586" s="182">
        <f t="shared" si="81"/>
        <v>1.2500000000000001E-2</v>
      </c>
      <c r="M586" s="184"/>
      <c r="N586" s="184">
        <f t="shared" si="82"/>
        <v>1</v>
      </c>
      <c r="O586" s="184"/>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x14ac:dyDescent="0.25">
      <c r="A587" s="30" t="str">
        <f t="shared" si="76"/>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2">
        <f>SUMIFS(Table1[Estimação (horas)],Table1[Tabela],Plano_V3!E587,Table1[Campo],Plano_V3!F587)</f>
        <v>0.1</v>
      </c>
      <c r="J587" s="182">
        <f t="shared" si="80"/>
        <v>1.2500000000000001E-2</v>
      </c>
      <c r="K587" s="182">
        <f>SUMIFS(Table1[Horas efetivas],Table1[Tabela],Plano_V3!E587,Table1[Campo],Plano_V3!F587)</f>
        <v>0.1</v>
      </c>
      <c r="L587" s="182">
        <f t="shared" si="81"/>
        <v>1.2500000000000001E-2</v>
      </c>
      <c r="M587" s="184"/>
      <c r="N587" s="184">
        <f t="shared" si="82"/>
        <v>1</v>
      </c>
      <c r="O587" s="184"/>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x14ac:dyDescent="0.25">
      <c r="A588" s="30" t="str">
        <f t="shared" si="76"/>
        <v>lt004_protectionflg_fin</v>
      </c>
      <c r="B588" s="68"/>
      <c r="C588" s="69"/>
      <c r="D588" s="65" t="s">
        <v>40</v>
      </c>
      <c r="E588" s="71" t="s">
        <v>369</v>
      </c>
      <c r="F588" s="72" t="s">
        <v>481</v>
      </c>
      <c r="G588" s="65" t="str">
        <f>INDEX(Auxiliar!$B$16:$B$24,MATCH(Plano_V3!H588,Auxiliar!$C$16:$C$24,0),1)</f>
        <v>6. Em implementação (re-especificação)</v>
      </c>
      <c r="H588" s="65">
        <f>VLOOKUP(A588,'Aux - pivots1'!$A:$B,2,0)</f>
        <v>7</v>
      </c>
      <c r="I588" s="182">
        <f>SUMIFS(Table1[Estimação (horas)],Table1[Tabela],Plano_V3!E588,Table1[Campo],Plano_V3!F588)</f>
        <v>4.0999999999999996</v>
      </c>
      <c r="J588" s="182">
        <f t="shared" si="80"/>
        <v>0.51249999999999996</v>
      </c>
      <c r="K588" s="182">
        <f>SUMIFS(Table1[Horas efetivas],Table1[Tabela],Plano_V3!E588,Table1[Campo],Plano_V3!F588)</f>
        <v>1.0249999999999999</v>
      </c>
      <c r="L588" s="182">
        <f t="shared" si="81"/>
        <v>0.12812499999999999</v>
      </c>
      <c r="M588" s="184"/>
      <c r="N588" s="184">
        <f t="shared" si="82"/>
        <v>0.25</v>
      </c>
      <c r="O588" s="184"/>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x14ac:dyDescent="0.25">
      <c r="A589" s="30" t="str">
        <f t="shared" si="76"/>
        <v>lt004_protectionflg_exec</v>
      </c>
      <c r="B589" s="68"/>
      <c r="C589" s="69"/>
      <c r="D589" s="65" t="s">
        <v>40</v>
      </c>
      <c r="E589" s="71" t="s">
        <v>369</v>
      </c>
      <c r="F589" s="72" t="s">
        <v>1361</v>
      </c>
      <c r="G589" s="65" t="str">
        <f>INDEX(Auxiliar!$B$16:$B$24,MATCH(Plano_V3!H589,Auxiliar!$C$16:$C$24,0),1)</f>
        <v>6. Em implementação (re-especificação)</v>
      </c>
      <c r="H589" s="65">
        <f>VLOOKUP(A589,'Aux - pivots1'!$A:$B,2,0)</f>
        <v>7</v>
      </c>
      <c r="I589" s="182">
        <f>SUMIFS(Table1[Estimação (horas)],Table1[Tabela],Plano_V3!E589,Table1[Campo],Plano_V3!F589)</f>
        <v>4.0999999999999996</v>
      </c>
      <c r="J589" s="182">
        <f t="shared" si="80"/>
        <v>0.51249999999999996</v>
      </c>
      <c r="K589" s="182">
        <f>SUMIFS(Table1[Horas efetivas],Table1[Tabela],Plano_V3!E589,Table1[Campo],Plano_V3!F589)</f>
        <v>1.0249999999999999</v>
      </c>
      <c r="L589" s="182">
        <f t="shared" si="81"/>
        <v>0.12812499999999999</v>
      </c>
      <c r="M589" s="184"/>
      <c r="N589" s="184">
        <f t="shared" si="82"/>
        <v>0.25</v>
      </c>
      <c r="O589" s="184"/>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x14ac:dyDescent="0.25">
      <c r="A590" s="30" t="str">
        <f t="shared" si="76"/>
        <v>lt004_protectionflg_col</v>
      </c>
      <c r="B590" s="68"/>
      <c r="C590" s="69"/>
      <c r="D590" s="65" t="s">
        <v>40</v>
      </c>
      <c r="E590" s="71" t="s">
        <v>369</v>
      </c>
      <c r="F590" s="72" t="s">
        <v>480</v>
      </c>
      <c r="G590" s="65" t="str">
        <f>INDEX(Auxiliar!$B$16:$B$24,MATCH(Plano_V3!H590,Auxiliar!$C$16:$C$24,0),1)</f>
        <v>6. Em implementação (re-especificação)</v>
      </c>
      <c r="H590" s="65">
        <f>VLOOKUP(A590,'Aux - pivots1'!$A:$B,2,0)</f>
        <v>7</v>
      </c>
      <c r="I590" s="182">
        <f>SUMIFS(Table1[Estimação (horas)],Table1[Tabela],Plano_V3!E590,Table1[Campo],Plano_V3!F590)</f>
        <v>4.0999999999999996</v>
      </c>
      <c r="J590" s="182">
        <f t="shared" ref="J590:J591" si="83">I590/8</f>
        <v>0.51249999999999996</v>
      </c>
      <c r="K590" s="182">
        <f>SUMIFS(Table1[Horas efetivas],Table1[Tabela],Plano_V3!E590,Table1[Campo],Plano_V3!F590)</f>
        <v>1.0249999999999999</v>
      </c>
      <c r="L590" s="182">
        <f t="shared" ref="L590:L591" si="84">K590/8</f>
        <v>0.12812499999999999</v>
      </c>
      <c r="M590" s="184"/>
      <c r="N590" s="184">
        <f t="shared" si="82"/>
        <v>0.25</v>
      </c>
      <c r="O590" s="184"/>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x14ac:dyDescent="0.25">
      <c r="A591" s="30" t="str">
        <f t="shared" si="76"/>
        <v>lt004_protectionflg_pro</v>
      </c>
      <c r="B591" s="68"/>
      <c r="C591" s="69"/>
      <c r="D591" s="65" t="s">
        <v>40</v>
      </c>
      <c r="E591" s="71" t="s">
        <v>369</v>
      </c>
      <c r="F591" s="72" t="s">
        <v>482</v>
      </c>
      <c r="G591" s="65" t="str">
        <f>INDEX(Auxiliar!$B$16:$B$24,MATCH(Plano_V3!H591,Auxiliar!$C$16:$C$24,0),1)</f>
        <v>6. Em implementação (re-especificação)</v>
      </c>
      <c r="H591" s="65">
        <f>VLOOKUP(A591,'Aux - pivots1'!$A:$B,2,0)</f>
        <v>7</v>
      </c>
      <c r="I591" s="182">
        <f>SUMIFS(Table1[Estimação (horas)],Table1[Tabela],Plano_V3!E591,Table1[Campo],Plano_V3!F591)</f>
        <v>4.0999999999999996</v>
      </c>
      <c r="J591" s="182">
        <f t="shared" si="83"/>
        <v>0.51249999999999996</v>
      </c>
      <c r="K591" s="182">
        <f>SUMIFS(Table1[Horas efetivas],Table1[Tabela],Plano_V3!E591,Table1[Campo],Plano_V3!F591)</f>
        <v>1.0249999999999999</v>
      </c>
      <c r="L591" s="182">
        <f t="shared" si="84"/>
        <v>0.12812499999999999</v>
      </c>
      <c r="M591" s="184"/>
      <c r="N591" s="184">
        <f t="shared" si="82"/>
        <v>0.25</v>
      </c>
      <c r="O591" s="184"/>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x14ac:dyDescent="0.25">
      <c r="A592" s="30" t="str">
        <f t="shared" si="76"/>
        <v>Re-testesn.a.</v>
      </c>
      <c r="B592" s="68" t="s">
        <v>26</v>
      </c>
      <c r="C592" s="69" t="s">
        <v>26</v>
      </c>
      <c r="D592" s="65" t="s">
        <v>40</v>
      </c>
      <c r="E592" s="67" t="s">
        <v>53</v>
      </c>
      <c r="F592" s="65" t="s">
        <v>38</v>
      </c>
      <c r="G592" s="65" t="s">
        <v>28</v>
      </c>
      <c r="H592" s="65"/>
      <c r="I592" s="182">
        <f>SUM(I457:I587)*$D$7</f>
        <v>40.137500000000166</v>
      </c>
      <c r="J592" s="182">
        <f>I592/8</f>
        <v>5.0171875000000208</v>
      </c>
      <c r="K592" s="182">
        <f>SUM(K457:K587)*$D$7</f>
        <v>24.796874999999968</v>
      </c>
      <c r="L592" s="182">
        <f>K592/8</f>
        <v>3.099609374999996</v>
      </c>
      <c r="M592" s="184"/>
      <c r="N592" s="184">
        <f t="shared" si="82"/>
        <v>0.61779819370912148</v>
      </c>
      <c r="O592" s="184"/>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99999999999999" customHeight="1" x14ac:dyDescent="0.45">
      <c r="D593" s="12"/>
      <c r="O593"/>
      <c r="AY593" t="s">
        <v>444</v>
      </c>
    </row>
    <row r="594" spans="2:51" x14ac:dyDescent="0.25">
      <c r="B594" s="83" t="s">
        <v>445</v>
      </c>
      <c r="C594" s="84"/>
      <c r="D594" s="84"/>
      <c r="E594" s="84"/>
      <c r="F594" s="84"/>
      <c r="G594" s="84"/>
      <c r="H594" s="84"/>
      <c r="I594" s="186"/>
      <c r="J594" s="186">
        <f>J24+J19+J14</f>
        <v>314</v>
      </c>
      <c r="K594" s="186"/>
      <c r="L594" s="186">
        <f>L24+L19+L14</f>
        <v>232.85</v>
      </c>
      <c r="M594" s="181">
        <f>((M24*J24)+(M19*J19)+(M14*J14))/J594</f>
        <v>0.62261146496815289</v>
      </c>
      <c r="N594" s="181">
        <f>((N24*L24)+(N19*L19)+(N14*L14))/L594</f>
        <v>0.75594571897155205</v>
      </c>
      <c r="O594" s="181">
        <f t="shared" ref="O594" si="85">N594-M594</f>
        <v>0.13333425400339916</v>
      </c>
      <c r="P594" s="183" t="s">
        <v>25</v>
      </c>
    </row>
    <row r="595" spans="2:51" x14ac:dyDescent="0.45">
      <c r="O595"/>
    </row>
    <row r="596" spans="2:51" x14ac:dyDescent="0.45"/>
  </sheetData>
  <conditionalFormatting sqref="O14:O17 O19:O22 O594">
    <cfRule type="cellIs" dxfId="100" priority="23" operator="lessThan">
      <formula>0</formula>
    </cfRule>
    <cfRule type="cellIs" dxfId="99" priority="24" operator="greaterThanOrEqual">
      <formula>0</formula>
    </cfRule>
  </conditionalFormatting>
  <conditionalFormatting sqref="O24:O592">
    <cfRule type="cellIs" dxfId="98" priority="1" operator="lessThan">
      <formula>0</formula>
    </cfRule>
    <cfRule type="cellIs" dxfId="97" priority="2" operator="greaterThanOrEqual">
      <formula>0</formula>
    </cfRule>
  </conditionalFormatting>
  <conditionalFormatting sqref="Q15:Q17">
    <cfRule type="cellIs" dxfId="96" priority="50" operator="notEqual">
      <formula>0</formula>
    </cfRule>
  </conditionalFormatting>
  <conditionalFormatting sqref="Q20:Q22">
    <cfRule type="cellIs" dxfId="95" priority="42" operator="notEqual">
      <formula>0</formula>
    </cfRule>
  </conditionalFormatting>
  <conditionalFormatting sqref="Q25:Q456">
    <cfRule type="cellIs" dxfId="94" priority="5" operator="notEqual">
      <formula>0</formula>
    </cfRule>
  </conditionalFormatting>
  <conditionalFormatting sqref="R5:R6 S6:ES6">
    <cfRule type="cellIs" dxfId="93" priority="51" operator="notEqual">
      <formula>0</formula>
    </cfRule>
  </conditionalFormatting>
  <conditionalFormatting sqref="R15:ES17 R20:ES22 R25:ES25">
    <cfRule type="cellIs" dxfId="92" priority="49" operator="greaterThan">
      <formula>0</formula>
    </cfRule>
  </conditionalFormatting>
  <conditionalFormatting sqref="R40:ES40">
    <cfRule type="cellIs" dxfId="91" priority="47" operator="greaterThan">
      <formula>0</formula>
    </cfRule>
  </conditionalFormatting>
  <conditionalFormatting sqref="R204:ES204">
    <cfRule type="cellIs" dxfId="90" priority="46" operator="greaterThan">
      <formula>0</formula>
    </cfRule>
  </conditionalFormatting>
  <conditionalFormatting sqref="R371:ES371">
    <cfRule type="cellIs" dxfId="89" priority="45" operator="greaterThan">
      <formula>0</formula>
    </cfRule>
  </conditionalFormatting>
  <conditionalFormatting sqref="R456:ES456">
    <cfRule type="cellIs" dxfId="88" priority="44"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G14:G592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300-000000000000}">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E572"/>
  <sheetViews>
    <sheetView zoomScale="70" zoomScaleNormal="70" workbookViewId="0">
      <selection activeCell="A3" sqref="A3"/>
    </sheetView>
  </sheetViews>
  <sheetFormatPr defaultRowHeight="13.8" x14ac:dyDescent="0.25"/>
  <cols>
    <col min="1" max="1" width="72.69921875" bestFit="1" customWidth="1"/>
    <col min="2" max="2" width="16.3984375" bestFit="1" customWidth="1"/>
    <col min="3" max="3" width="52.69921875" bestFit="1" customWidth="1"/>
    <col min="4" max="4" width="44.3984375" bestFit="1" customWidth="1"/>
    <col min="5" max="5" width="43.3984375" bestFit="1" customWidth="1"/>
  </cols>
  <sheetData>
    <row r="3" spans="1:5" x14ac:dyDescent="0.25">
      <c r="A3" s="50" t="s">
        <v>674</v>
      </c>
      <c r="B3" t="s">
        <v>675</v>
      </c>
      <c r="C3" t="s">
        <v>676</v>
      </c>
      <c r="D3" t="s">
        <v>677</v>
      </c>
      <c r="E3" t="s">
        <v>678</v>
      </c>
    </row>
    <row r="4" spans="1:5" x14ac:dyDescent="0.25">
      <c r="A4" t="s">
        <v>679</v>
      </c>
      <c r="B4">
        <v>7</v>
      </c>
      <c r="C4" s="175">
        <v>45510</v>
      </c>
      <c r="D4" s="175">
        <v>45624</v>
      </c>
    </row>
    <row r="5" spans="1:5" x14ac:dyDescent="0.25">
      <c r="A5" t="s">
        <v>680</v>
      </c>
      <c r="B5">
        <v>7</v>
      </c>
      <c r="C5" s="175">
        <v>45510</v>
      </c>
      <c r="D5" s="175">
        <v>45624</v>
      </c>
    </row>
    <row r="6" spans="1:5" x14ac:dyDescent="0.25">
      <c r="A6" t="s">
        <v>681</v>
      </c>
      <c r="B6">
        <v>7</v>
      </c>
      <c r="C6" s="175">
        <v>45510</v>
      </c>
      <c r="D6" s="175">
        <v>45624</v>
      </c>
    </row>
    <row r="7" spans="1:5" x14ac:dyDescent="0.25">
      <c r="A7" t="s">
        <v>682</v>
      </c>
      <c r="B7">
        <v>7</v>
      </c>
      <c r="C7" s="175">
        <v>45510</v>
      </c>
      <c r="D7" s="175">
        <v>45624</v>
      </c>
    </row>
    <row r="8" spans="1:5" x14ac:dyDescent="0.25">
      <c r="A8" t="s">
        <v>683</v>
      </c>
      <c r="B8">
        <v>7</v>
      </c>
      <c r="C8" s="175">
        <v>45510</v>
      </c>
      <c r="D8" s="175">
        <v>45624</v>
      </c>
    </row>
    <row r="9" spans="1:5" x14ac:dyDescent="0.25">
      <c r="A9" t="s">
        <v>684</v>
      </c>
      <c r="B9">
        <v>7</v>
      </c>
      <c r="C9" s="175">
        <v>45510</v>
      </c>
      <c r="D9" s="175">
        <v>45624</v>
      </c>
    </row>
    <row r="10" spans="1:5" x14ac:dyDescent="0.25">
      <c r="A10" t="s">
        <v>685</v>
      </c>
      <c r="B10">
        <v>7</v>
      </c>
      <c r="C10" s="175">
        <v>45510</v>
      </c>
      <c r="D10" s="175">
        <v>45624</v>
      </c>
    </row>
    <row r="11" spans="1:5" x14ac:dyDescent="0.25">
      <c r="A11" t="s">
        <v>686</v>
      </c>
      <c r="B11">
        <v>7</v>
      </c>
      <c r="C11" s="175">
        <v>45510</v>
      </c>
      <c r="D11" s="175">
        <v>45624</v>
      </c>
    </row>
    <row r="12" spans="1:5" x14ac:dyDescent="0.25">
      <c r="A12" t="s">
        <v>687</v>
      </c>
      <c r="B12">
        <v>7</v>
      </c>
      <c r="C12" s="175">
        <v>45510</v>
      </c>
      <c r="D12" s="175">
        <v>45624</v>
      </c>
    </row>
    <row r="13" spans="1:5" x14ac:dyDescent="0.25">
      <c r="A13" t="s">
        <v>688</v>
      </c>
      <c r="B13">
        <v>7</v>
      </c>
      <c r="C13" s="175">
        <v>45510</v>
      </c>
      <c r="D13" s="175">
        <v>45624</v>
      </c>
    </row>
    <row r="14" spans="1:5" x14ac:dyDescent="0.25">
      <c r="A14" t="s">
        <v>689</v>
      </c>
      <c r="B14">
        <v>7</v>
      </c>
      <c r="C14" s="175">
        <v>45510</v>
      </c>
      <c r="D14" s="175">
        <v>45624</v>
      </c>
    </row>
    <row r="15" spans="1:5" x14ac:dyDescent="0.25">
      <c r="A15" t="s">
        <v>690</v>
      </c>
      <c r="B15">
        <v>7</v>
      </c>
      <c r="C15" s="175">
        <v>45510</v>
      </c>
      <c r="D15" s="175">
        <v>45624</v>
      </c>
    </row>
    <row r="16" spans="1:5" x14ac:dyDescent="0.25">
      <c r="A16" t="s">
        <v>691</v>
      </c>
      <c r="B16">
        <v>7</v>
      </c>
      <c r="C16" s="175">
        <v>45510</v>
      </c>
      <c r="D16" s="175">
        <v>45624</v>
      </c>
    </row>
    <row r="17" spans="1:3" x14ac:dyDescent="0.25">
      <c r="A17" t="s">
        <v>692</v>
      </c>
      <c r="B17">
        <v>1</v>
      </c>
    </row>
    <row r="18" spans="1:3" x14ac:dyDescent="0.25">
      <c r="A18" t="s">
        <v>693</v>
      </c>
      <c r="B18">
        <v>1</v>
      </c>
    </row>
    <row r="19" spans="1:3" x14ac:dyDescent="0.25">
      <c r="A19" t="s">
        <v>694</v>
      </c>
      <c r="B19">
        <v>1</v>
      </c>
    </row>
    <row r="20" spans="1:3" x14ac:dyDescent="0.25">
      <c r="A20" t="s">
        <v>695</v>
      </c>
      <c r="B20">
        <v>1</v>
      </c>
    </row>
    <row r="21" spans="1:3" x14ac:dyDescent="0.25">
      <c r="A21" t="s">
        <v>696</v>
      </c>
      <c r="B21">
        <v>1</v>
      </c>
    </row>
    <row r="22" spans="1:3" x14ac:dyDescent="0.25">
      <c r="A22" t="s">
        <v>697</v>
      </c>
      <c r="B22">
        <v>1</v>
      </c>
    </row>
    <row r="23" spans="1:3" x14ac:dyDescent="0.25">
      <c r="A23" t="s">
        <v>698</v>
      </c>
      <c r="B23">
        <v>1</v>
      </c>
    </row>
    <row r="24" spans="1:3" x14ac:dyDescent="0.25">
      <c r="A24" t="s">
        <v>699</v>
      </c>
      <c r="B24">
        <v>1</v>
      </c>
    </row>
    <row r="25" spans="1:3" x14ac:dyDescent="0.25">
      <c r="A25" t="s">
        <v>700</v>
      </c>
      <c r="B25">
        <v>6</v>
      </c>
      <c r="C25" s="175">
        <v>45618</v>
      </c>
    </row>
    <row r="26" spans="1:3" x14ac:dyDescent="0.25">
      <c r="A26" t="s">
        <v>701</v>
      </c>
      <c r="B26">
        <v>6</v>
      </c>
      <c r="C26" s="175">
        <v>45618</v>
      </c>
    </row>
    <row r="27" spans="1:3" x14ac:dyDescent="0.25">
      <c r="A27" t="s">
        <v>702</v>
      </c>
      <c r="B27">
        <v>1</v>
      </c>
    </row>
    <row r="28" spans="1:3" x14ac:dyDescent="0.25">
      <c r="A28" t="s">
        <v>703</v>
      </c>
      <c r="B28">
        <v>6</v>
      </c>
      <c r="C28" s="175">
        <v>45618</v>
      </c>
    </row>
    <row r="29" spans="1:3" x14ac:dyDescent="0.25">
      <c r="A29" t="s">
        <v>704</v>
      </c>
      <c r="B29">
        <v>1</v>
      </c>
    </row>
    <row r="30" spans="1:3" x14ac:dyDescent="0.25">
      <c r="A30" t="s">
        <v>705</v>
      </c>
      <c r="B30">
        <v>1</v>
      </c>
    </row>
    <row r="31" spans="1:3" x14ac:dyDescent="0.25">
      <c r="A31" t="s">
        <v>706</v>
      </c>
      <c r="B31">
        <v>1</v>
      </c>
    </row>
    <row r="32" spans="1:3" x14ac:dyDescent="0.25">
      <c r="A32" t="s">
        <v>707</v>
      </c>
      <c r="B32">
        <v>1</v>
      </c>
    </row>
    <row r="33" spans="1:5" x14ac:dyDescent="0.25">
      <c r="A33" t="s">
        <v>708</v>
      </c>
      <c r="B33">
        <v>1</v>
      </c>
    </row>
    <row r="34" spans="1:5" x14ac:dyDescent="0.25">
      <c r="A34" t="s">
        <v>709</v>
      </c>
      <c r="B34">
        <v>1</v>
      </c>
    </row>
    <row r="35" spans="1:5" x14ac:dyDescent="0.25">
      <c r="A35" t="s">
        <v>710</v>
      </c>
      <c r="B35">
        <v>1</v>
      </c>
      <c r="C35" s="175">
        <v>45583</v>
      </c>
      <c r="D35" s="175">
        <v>45589</v>
      </c>
      <c r="E35" s="175">
        <v>45589</v>
      </c>
    </row>
    <row r="36" spans="1:5" x14ac:dyDescent="0.25">
      <c r="A36" t="s">
        <v>711</v>
      </c>
      <c r="B36">
        <v>7</v>
      </c>
    </row>
    <row r="37" spans="1:5" x14ac:dyDescent="0.25">
      <c r="A37" t="s">
        <v>712</v>
      </c>
      <c r="B37">
        <v>7</v>
      </c>
    </row>
    <row r="38" spans="1:5" x14ac:dyDescent="0.25">
      <c r="A38" t="s">
        <v>713</v>
      </c>
      <c r="B38">
        <v>7</v>
      </c>
    </row>
    <row r="39" spans="1:5" x14ac:dyDescent="0.25">
      <c r="A39" t="s">
        <v>714</v>
      </c>
      <c r="B39">
        <v>1</v>
      </c>
    </row>
    <row r="40" spans="1:5" x14ac:dyDescent="0.25">
      <c r="A40" t="s">
        <v>715</v>
      </c>
      <c r="B40">
        <v>1</v>
      </c>
    </row>
    <row r="41" spans="1:5" x14ac:dyDescent="0.25">
      <c r="A41" t="s">
        <v>716</v>
      </c>
      <c r="B41">
        <v>1</v>
      </c>
    </row>
    <row r="42" spans="1:5" x14ac:dyDescent="0.25">
      <c r="A42" t="s">
        <v>717</v>
      </c>
      <c r="B42">
        <v>7</v>
      </c>
      <c r="C42" s="175">
        <v>45595</v>
      </c>
      <c r="D42" s="175">
        <v>374342</v>
      </c>
    </row>
    <row r="43" spans="1:5" x14ac:dyDescent="0.25">
      <c r="A43" t="s">
        <v>718</v>
      </c>
      <c r="B43">
        <v>2</v>
      </c>
      <c r="C43" s="175">
        <v>45595</v>
      </c>
      <c r="D43" s="175">
        <v>374329</v>
      </c>
      <c r="E43" s="175">
        <v>374329</v>
      </c>
    </row>
    <row r="44" spans="1:5" x14ac:dyDescent="0.25">
      <c r="A44" t="s">
        <v>719</v>
      </c>
      <c r="B44">
        <v>2</v>
      </c>
      <c r="C44" s="175">
        <v>45593</v>
      </c>
      <c r="D44" s="175">
        <v>45611</v>
      </c>
      <c r="E44" s="175">
        <v>374329</v>
      </c>
    </row>
    <row r="45" spans="1:5" x14ac:dyDescent="0.25">
      <c r="A45" t="s">
        <v>720</v>
      </c>
      <c r="B45">
        <v>1</v>
      </c>
    </row>
    <row r="46" spans="1:5" x14ac:dyDescent="0.25">
      <c r="A46" t="s">
        <v>721</v>
      </c>
      <c r="B46">
        <v>1</v>
      </c>
    </row>
    <row r="47" spans="1:5" x14ac:dyDescent="0.25">
      <c r="A47" t="s">
        <v>722</v>
      </c>
      <c r="B47">
        <v>1</v>
      </c>
    </row>
    <row r="48" spans="1:5" x14ac:dyDescent="0.25">
      <c r="A48" t="s">
        <v>723</v>
      </c>
      <c r="B48">
        <v>2</v>
      </c>
      <c r="D48" s="175">
        <v>45621</v>
      </c>
      <c r="E48" s="175">
        <v>45596</v>
      </c>
    </row>
    <row r="49" spans="1:5" x14ac:dyDescent="0.25">
      <c r="A49" t="s">
        <v>724</v>
      </c>
      <c r="B49">
        <v>2</v>
      </c>
      <c r="D49" s="175">
        <v>45621</v>
      </c>
      <c r="E49" s="175">
        <v>45596</v>
      </c>
    </row>
    <row r="50" spans="1:5" x14ac:dyDescent="0.25">
      <c r="A50" t="s">
        <v>725</v>
      </c>
      <c r="B50">
        <v>2</v>
      </c>
      <c r="D50" s="175">
        <v>45621</v>
      </c>
      <c r="E50" s="175">
        <v>45596</v>
      </c>
    </row>
    <row r="51" spans="1:5" x14ac:dyDescent="0.25">
      <c r="A51" t="s">
        <v>726</v>
      </c>
      <c r="B51">
        <v>1</v>
      </c>
    </row>
    <row r="52" spans="1:5" x14ac:dyDescent="0.25">
      <c r="A52" t="s">
        <v>727</v>
      </c>
      <c r="B52">
        <v>1</v>
      </c>
    </row>
    <row r="53" spans="1:5" x14ac:dyDescent="0.25">
      <c r="A53" t="s">
        <v>728</v>
      </c>
      <c r="B53">
        <v>1</v>
      </c>
    </row>
    <row r="54" spans="1:5" x14ac:dyDescent="0.25">
      <c r="A54" t="s">
        <v>729</v>
      </c>
      <c r="B54">
        <v>1</v>
      </c>
    </row>
    <row r="55" spans="1:5" x14ac:dyDescent="0.25">
      <c r="A55" t="s">
        <v>730</v>
      </c>
      <c r="B55">
        <v>2</v>
      </c>
      <c r="D55" s="175">
        <v>45614</v>
      </c>
      <c r="E55" s="175">
        <v>45596</v>
      </c>
    </row>
    <row r="56" spans="1:5" x14ac:dyDescent="0.25">
      <c r="A56" t="s">
        <v>731</v>
      </c>
      <c r="B56">
        <v>2</v>
      </c>
      <c r="D56" s="175">
        <v>45614</v>
      </c>
      <c r="E56" s="175">
        <v>45596</v>
      </c>
    </row>
    <row r="57" spans="1:5" x14ac:dyDescent="0.25">
      <c r="A57" t="s">
        <v>732</v>
      </c>
      <c r="B57">
        <v>2</v>
      </c>
      <c r="D57" s="175">
        <v>45614</v>
      </c>
      <c r="E57" s="175">
        <v>45596</v>
      </c>
    </row>
    <row r="58" spans="1:5" x14ac:dyDescent="0.25">
      <c r="A58" t="s">
        <v>733</v>
      </c>
      <c r="B58">
        <v>2</v>
      </c>
      <c r="D58" s="175">
        <v>45614</v>
      </c>
      <c r="E58" s="175">
        <v>45596</v>
      </c>
    </row>
    <row r="59" spans="1:5" x14ac:dyDescent="0.25">
      <c r="A59" t="s">
        <v>734</v>
      </c>
      <c r="B59">
        <v>1</v>
      </c>
    </row>
    <row r="60" spans="1:5" x14ac:dyDescent="0.25">
      <c r="A60" t="s">
        <v>735</v>
      </c>
      <c r="B60">
        <v>1</v>
      </c>
    </row>
    <row r="61" spans="1:5" x14ac:dyDescent="0.25">
      <c r="A61" t="s">
        <v>736</v>
      </c>
      <c r="B61">
        <v>2</v>
      </c>
      <c r="C61" s="175">
        <v>45583</v>
      </c>
      <c r="D61" s="175">
        <v>45611</v>
      </c>
      <c r="E61" s="175">
        <v>45611</v>
      </c>
    </row>
    <row r="62" spans="1:5" x14ac:dyDescent="0.25">
      <c r="A62" t="s">
        <v>737</v>
      </c>
      <c r="B62">
        <v>4</v>
      </c>
      <c r="C62" s="175">
        <v>45589</v>
      </c>
      <c r="E62" s="175">
        <v>45596</v>
      </c>
    </row>
    <row r="63" spans="1:5" x14ac:dyDescent="0.25">
      <c r="A63" t="s">
        <v>738</v>
      </c>
      <c r="B63">
        <v>4</v>
      </c>
      <c r="C63" s="175">
        <v>45589</v>
      </c>
      <c r="E63" s="175">
        <v>45596</v>
      </c>
    </row>
    <row r="64" spans="1:5" x14ac:dyDescent="0.25">
      <c r="A64" t="s">
        <v>739</v>
      </c>
      <c r="B64">
        <v>2</v>
      </c>
      <c r="D64" s="175">
        <v>45614</v>
      </c>
      <c r="E64" s="175">
        <v>45596</v>
      </c>
    </row>
    <row r="65" spans="1:5" x14ac:dyDescent="0.25">
      <c r="A65" t="s">
        <v>740</v>
      </c>
      <c r="B65">
        <v>2</v>
      </c>
      <c r="C65" s="175">
        <v>45589</v>
      </c>
      <c r="E65" s="175">
        <v>45596</v>
      </c>
    </row>
    <row r="66" spans="1:5" x14ac:dyDescent="0.25">
      <c r="A66" t="s">
        <v>741</v>
      </c>
      <c r="B66">
        <v>2</v>
      </c>
      <c r="C66" s="175">
        <v>45589</v>
      </c>
      <c r="D66" s="175">
        <v>45611</v>
      </c>
      <c r="E66" s="175">
        <v>45611</v>
      </c>
    </row>
    <row r="67" spans="1:5" x14ac:dyDescent="0.25">
      <c r="A67" t="s">
        <v>742</v>
      </c>
      <c r="B67">
        <v>2</v>
      </c>
      <c r="C67" s="175">
        <v>45593</v>
      </c>
      <c r="D67" s="175">
        <v>45611</v>
      </c>
      <c r="E67" s="175">
        <v>45611</v>
      </c>
    </row>
    <row r="68" spans="1:5" x14ac:dyDescent="0.25">
      <c r="A68" t="s">
        <v>743</v>
      </c>
      <c r="B68">
        <v>2</v>
      </c>
      <c r="C68" s="175">
        <v>45589</v>
      </c>
      <c r="E68" s="175">
        <v>45596</v>
      </c>
    </row>
    <row r="69" spans="1:5" x14ac:dyDescent="0.25">
      <c r="A69" t="s">
        <v>744</v>
      </c>
      <c r="B69">
        <v>2</v>
      </c>
      <c r="C69" s="175">
        <v>45589</v>
      </c>
      <c r="E69" s="175">
        <v>45596</v>
      </c>
    </row>
    <row r="70" spans="1:5" x14ac:dyDescent="0.25">
      <c r="A70" t="s">
        <v>745</v>
      </c>
      <c r="B70">
        <v>2</v>
      </c>
      <c r="C70" s="175">
        <v>45589</v>
      </c>
      <c r="E70" s="175">
        <v>45596</v>
      </c>
    </row>
    <row r="71" spans="1:5" x14ac:dyDescent="0.25">
      <c r="A71" t="s">
        <v>746</v>
      </c>
      <c r="B71">
        <v>1</v>
      </c>
    </row>
    <row r="72" spans="1:5" x14ac:dyDescent="0.25">
      <c r="A72" t="s">
        <v>747</v>
      </c>
      <c r="B72">
        <v>1</v>
      </c>
    </row>
    <row r="73" spans="1:5" x14ac:dyDescent="0.25">
      <c r="A73" t="s">
        <v>748</v>
      </c>
      <c r="B73">
        <v>2</v>
      </c>
      <c r="C73" s="175">
        <v>45593</v>
      </c>
      <c r="D73" s="175">
        <v>45611</v>
      </c>
      <c r="E73" s="175">
        <v>45611</v>
      </c>
    </row>
    <row r="74" spans="1:5" x14ac:dyDescent="0.25">
      <c r="A74" t="s">
        <v>749</v>
      </c>
      <c r="B74">
        <v>2</v>
      </c>
      <c r="C74" s="175">
        <v>45589</v>
      </c>
      <c r="E74" s="175">
        <v>45611</v>
      </c>
    </row>
    <row r="75" spans="1:5" x14ac:dyDescent="0.25">
      <c r="A75" t="s">
        <v>750</v>
      </c>
      <c r="B75">
        <v>1</v>
      </c>
    </row>
    <row r="76" spans="1:5" x14ac:dyDescent="0.25">
      <c r="A76" t="s">
        <v>751</v>
      </c>
      <c r="B76">
        <v>2</v>
      </c>
      <c r="C76" s="175">
        <v>45583</v>
      </c>
      <c r="E76" s="175">
        <v>45596</v>
      </c>
    </row>
    <row r="77" spans="1:5" x14ac:dyDescent="0.25">
      <c r="A77" t="s">
        <v>752</v>
      </c>
      <c r="B77">
        <v>1</v>
      </c>
      <c r="C77" s="175">
        <v>45589</v>
      </c>
      <c r="D77" s="175">
        <v>45596</v>
      </c>
      <c r="E77" s="175">
        <v>45596</v>
      </c>
    </row>
    <row r="78" spans="1:5" x14ac:dyDescent="0.25">
      <c r="A78" t="s">
        <v>753</v>
      </c>
      <c r="B78">
        <v>2</v>
      </c>
      <c r="D78" s="175">
        <v>45611</v>
      </c>
      <c r="E78" s="175">
        <v>45611</v>
      </c>
    </row>
    <row r="79" spans="1:5" x14ac:dyDescent="0.25">
      <c r="A79" t="s">
        <v>754</v>
      </c>
      <c r="B79">
        <v>2</v>
      </c>
      <c r="D79" s="175">
        <v>45614</v>
      </c>
      <c r="E79" s="175">
        <v>45596</v>
      </c>
    </row>
    <row r="80" spans="1:5" x14ac:dyDescent="0.25">
      <c r="A80" t="s">
        <v>755</v>
      </c>
      <c r="B80">
        <v>2</v>
      </c>
      <c r="D80" s="175">
        <v>45614</v>
      </c>
      <c r="E80" s="175">
        <v>45596</v>
      </c>
    </row>
    <row r="81" spans="1:5" x14ac:dyDescent="0.25">
      <c r="A81" t="s">
        <v>756</v>
      </c>
      <c r="B81">
        <v>2</v>
      </c>
      <c r="D81" s="175">
        <v>45614</v>
      </c>
      <c r="E81" s="175">
        <v>45596</v>
      </c>
    </row>
    <row r="82" spans="1:5" x14ac:dyDescent="0.25">
      <c r="A82" t="s">
        <v>757</v>
      </c>
      <c r="B82">
        <v>2</v>
      </c>
      <c r="D82" s="175">
        <v>45614</v>
      </c>
      <c r="E82" s="175">
        <v>45596</v>
      </c>
    </row>
    <row r="83" spans="1:5" x14ac:dyDescent="0.25">
      <c r="A83" t="s">
        <v>758</v>
      </c>
      <c r="B83">
        <v>2</v>
      </c>
      <c r="D83" s="175">
        <v>45614</v>
      </c>
      <c r="E83" s="175">
        <v>45596</v>
      </c>
    </row>
    <row r="84" spans="1:5" x14ac:dyDescent="0.25">
      <c r="A84" t="s">
        <v>759</v>
      </c>
      <c r="B84">
        <v>1</v>
      </c>
    </row>
    <row r="85" spans="1:5" x14ac:dyDescent="0.25">
      <c r="A85" t="s">
        <v>760</v>
      </c>
      <c r="B85">
        <v>7</v>
      </c>
      <c r="C85" s="175">
        <v>45593</v>
      </c>
      <c r="D85" s="175">
        <v>45624</v>
      </c>
    </row>
    <row r="86" spans="1:5" x14ac:dyDescent="0.25">
      <c r="A86" t="s">
        <v>761</v>
      </c>
      <c r="B86">
        <v>2</v>
      </c>
      <c r="D86" s="175">
        <v>45614</v>
      </c>
      <c r="E86" s="175">
        <v>45596</v>
      </c>
    </row>
    <row r="87" spans="1:5" x14ac:dyDescent="0.25">
      <c r="A87" t="s">
        <v>762</v>
      </c>
      <c r="B87">
        <v>2</v>
      </c>
      <c r="C87" s="175">
        <v>45583</v>
      </c>
      <c r="D87" s="175">
        <v>45614</v>
      </c>
      <c r="E87" s="175">
        <v>45596</v>
      </c>
    </row>
    <row r="88" spans="1:5" x14ac:dyDescent="0.25">
      <c r="A88" t="s">
        <v>763</v>
      </c>
      <c r="B88">
        <v>2</v>
      </c>
      <c r="D88" s="175">
        <v>45614</v>
      </c>
      <c r="E88" s="175">
        <v>45596</v>
      </c>
    </row>
    <row r="89" spans="1:5" x14ac:dyDescent="0.25">
      <c r="A89" t="s">
        <v>764</v>
      </c>
      <c r="B89">
        <v>2</v>
      </c>
      <c r="D89" s="175">
        <v>45614</v>
      </c>
      <c r="E89" s="175">
        <v>45596</v>
      </c>
    </row>
    <row r="90" spans="1:5" x14ac:dyDescent="0.25">
      <c r="A90" t="s">
        <v>765</v>
      </c>
      <c r="B90">
        <v>1</v>
      </c>
    </row>
    <row r="91" spans="1:5" x14ac:dyDescent="0.25">
      <c r="A91" t="s">
        <v>766</v>
      </c>
      <c r="B91">
        <v>1</v>
      </c>
    </row>
    <row r="92" spans="1:5" x14ac:dyDescent="0.25">
      <c r="A92" t="s">
        <v>767</v>
      </c>
      <c r="B92">
        <v>7</v>
      </c>
    </row>
    <row r="93" spans="1:5" x14ac:dyDescent="0.25">
      <c r="A93" t="s">
        <v>768</v>
      </c>
      <c r="B93">
        <v>7</v>
      </c>
    </row>
    <row r="94" spans="1:5" x14ac:dyDescent="0.25">
      <c r="A94" t="s">
        <v>769</v>
      </c>
      <c r="B94">
        <v>7</v>
      </c>
    </row>
    <row r="95" spans="1:5" x14ac:dyDescent="0.25">
      <c r="A95" t="s">
        <v>770</v>
      </c>
      <c r="B95">
        <v>2</v>
      </c>
      <c r="C95" s="175">
        <v>45583</v>
      </c>
      <c r="D95" s="175">
        <v>45596</v>
      </c>
      <c r="E95" s="175">
        <v>45596</v>
      </c>
    </row>
    <row r="96" spans="1:5" x14ac:dyDescent="0.25">
      <c r="A96" t="s">
        <v>771</v>
      </c>
      <c r="B96">
        <v>2</v>
      </c>
      <c r="C96" s="175">
        <v>45583</v>
      </c>
      <c r="D96" s="175">
        <v>45596</v>
      </c>
      <c r="E96" s="175">
        <v>45596</v>
      </c>
    </row>
    <row r="97" spans="1:5" x14ac:dyDescent="0.25">
      <c r="A97" t="s">
        <v>772</v>
      </c>
      <c r="B97">
        <v>4</v>
      </c>
      <c r="C97" s="175">
        <v>45583</v>
      </c>
      <c r="D97" s="175">
        <v>45596</v>
      </c>
      <c r="E97" s="175">
        <v>45596</v>
      </c>
    </row>
    <row r="98" spans="1:5" x14ac:dyDescent="0.25">
      <c r="A98" t="s">
        <v>773</v>
      </c>
      <c r="B98">
        <v>4</v>
      </c>
      <c r="C98" s="175">
        <v>45583</v>
      </c>
      <c r="D98" s="175">
        <v>45596</v>
      </c>
      <c r="E98" s="175">
        <v>45596</v>
      </c>
    </row>
    <row r="99" spans="1:5" x14ac:dyDescent="0.25">
      <c r="A99" t="s">
        <v>774</v>
      </c>
      <c r="B99">
        <v>7</v>
      </c>
      <c r="C99" s="175">
        <v>45593</v>
      </c>
      <c r="D99" s="175">
        <v>45624</v>
      </c>
    </row>
    <row r="100" spans="1:5" x14ac:dyDescent="0.25">
      <c r="A100" t="s">
        <v>775</v>
      </c>
      <c r="B100">
        <v>7</v>
      </c>
      <c r="C100" s="175">
        <v>45593</v>
      </c>
      <c r="D100" s="175">
        <v>45624</v>
      </c>
    </row>
    <row r="101" spans="1:5" x14ac:dyDescent="0.25">
      <c r="A101" t="s">
        <v>776</v>
      </c>
      <c r="B101">
        <v>7</v>
      </c>
      <c r="C101" s="175">
        <v>45593</v>
      </c>
      <c r="D101" s="175">
        <v>45624</v>
      </c>
    </row>
    <row r="102" spans="1:5" x14ac:dyDescent="0.25">
      <c r="A102" t="s">
        <v>777</v>
      </c>
      <c r="B102">
        <v>7</v>
      </c>
      <c r="C102" s="175">
        <v>45593</v>
      </c>
      <c r="D102" s="175">
        <v>45624</v>
      </c>
    </row>
    <row r="103" spans="1:5" x14ac:dyDescent="0.25">
      <c r="A103" t="s">
        <v>778</v>
      </c>
      <c r="B103">
        <v>7</v>
      </c>
    </row>
    <row r="104" spans="1:5" x14ac:dyDescent="0.25">
      <c r="A104" t="s">
        <v>779</v>
      </c>
      <c r="B104">
        <v>7</v>
      </c>
    </row>
    <row r="105" spans="1:5" x14ac:dyDescent="0.25">
      <c r="A105" t="s">
        <v>780</v>
      </c>
      <c r="B105">
        <v>7</v>
      </c>
    </row>
    <row r="106" spans="1:5" x14ac:dyDescent="0.25">
      <c r="A106" t="s">
        <v>781</v>
      </c>
      <c r="B106">
        <v>4</v>
      </c>
      <c r="C106" s="175">
        <v>45595</v>
      </c>
      <c r="D106" s="175">
        <v>45611</v>
      </c>
      <c r="E106" s="175">
        <v>45611</v>
      </c>
    </row>
    <row r="107" spans="1:5" x14ac:dyDescent="0.25">
      <c r="A107" t="s">
        <v>782</v>
      </c>
      <c r="B107">
        <v>2</v>
      </c>
      <c r="C107" s="175">
        <v>45589</v>
      </c>
      <c r="D107" s="175">
        <v>45611</v>
      </c>
      <c r="E107" s="175">
        <v>45611</v>
      </c>
    </row>
    <row r="108" spans="1:5" x14ac:dyDescent="0.25">
      <c r="A108" t="s">
        <v>783</v>
      </c>
      <c r="B108">
        <v>7</v>
      </c>
      <c r="C108" s="175">
        <v>45589</v>
      </c>
      <c r="D108" s="175">
        <v>45624</v>
      </c>
    </row>
    <row r="109" spans="1:5" x14ac:dyDescent="0.25">
      <c r="A109" t="s">
        <v>784</v>
      </c>
      <c r="B109">
        <v>2</v>
      </c>
      <c r="C109" s="175">
        <v>45589</v>
      </c>
      <c r="D109" s="175">
        <v>45611</v>
      </c>
      <c r="E109" s="175">
        <v>45611</v>
      </c>
    </row>
    <row r="110" spans="1:5" x14ac:dyDescent="0.25">
      <c r="A110" t="s">
        <v>785</v>
      </c>
      <c r="B110">
        <v>2</v>
      </c>
      <c r="C110" s="175">
        <v>45589</v>
      </c>
      <c r="D110" s="175">
        <v>45611</v>
      </c>
      <c r="E110" s="175">
        <v>45611</v>
      </c>
    </row>
    <row r="111" spans="1:5" x14ac:dyDescent="0.25">
      <c r="A111" t="s">
        <v>786</v>
      </c>
      <c r="B111">
        <v>2</v>
      </c>
      <c r="C111" s="175">
        <v>45583</v>
      </c>
      <c r="D111" s="175">
        <v>45611</v>
      </c>
      <c r="E111" s="175">
        <v>45611</v>
      </c>
    </row>
    <row r="112" spans="1:5" x14ac:dyDescent="0.25">
      <c r="A112" t="s">
        <v>787</v>
      </c>
      <c r="B112">
        <v>2</v>
      </c>
      <c r="C112" s="175">
        <v>45583</v>
      </c>
      <c r="D112" s="175">
        <v>45596</v>
      </c>
      <c r="E112" s="175">
        <v>45596</v>
      </c>
    </row>
    <row r="113" spans="1:4" x14ac:dyDescent="0.25">
      <c r="A113" t="s">
        <v>788</v>
      </c>
      <c r="B113">
        <v>7</v>
      </c>
      <c r="C113" s="175">
        <v>45588</v>
      </c>
      <c r="D113" s="175">
        <v>45624</v>
      </c>
    </row>
    <row r="114" spans="1:4" x14ac:dyDescent="0.25">
      <c r="A114" t="s">
        <v>789</v>
      </c>
      <c r="B114">
        <v>1</v>
      </c>
    </row>
    <row r="115" spans="1:4" x14ac:dyDescent="0.25">
      <c r="A115" t="s">
        <v>790</v>
      </c>
      <c r="B115">
        <v>1</v>
      </c>
    </row>
    <row r="116" spans="1:4" x14ac:dyDescent="0.25">
      <c r="A116" t="s">
        <v>791</v>
      </c>
      <c r="B116">
        <v>1</v>
      </c>
    </row>
    <row r="117" spans="1:4" x14ac:dyDescent="0.25">
      <c r="A117" t="s">
        <v>792</v>
      </c>
      <c r="B117">
        <v>1</v>
      </c>
    </row>
    <row r="118" spans="1:4" x14ac:dyDescent="0.25">
      <c r="A118" t="s">
        <v>793</v>
      </c>
      <c r="B118">
        <v>1</v>
      </c>
    </row>
    <row r="119" spans="1:4" x14ac:dyDescent="0.25">
      <c r="A119" t="s">
        <v>794</v>
      </c>
      <c r="B119">
        <v>1</v>
      </c>
    </row>
    <row r="120" spans="1:4" x14ac:dyDescent="0.25">
      <c r="A120" t="s">
        <v>795</v>
      </c>
      <c r="B120">
        <v>1</v>
      </c>
    </row>
    <row r="121" spans="1:4" x14ac:dyDescent="0.25">
      <c r="A121" t="s">
        <v>796</v>
      </c>
      <c r="B121">
        <v>1</v>
      </c>
    </row>
    <row r="122" spans="1:4" x14ac:dyDescent="0.25">
      <c r="A122" t="s">
        <v>797</v>
      </c>
      <c r="B122">
        <v>1</v>
      </c>
    </row>
    <row r="123" spans="1:4" x14ac:dyDescent="0.25">
      <c r="A123" t="s">
        <v>798</v>
      </c>
      <c r="B123">
        <v>1</v>
      </c>
    </row>
    <row r="124" spans="1:4" x14ac:dyDescent="0.25">
      <c r="A124" t="s">
        <v>1980</v>
      </c>
      <c r="B124">
        <v>7</v>
      </c>
      <c r="C124" s="175">
        <v>45593</v>
      </c>
      <c r="D124" s="175">
        <v>45624</v>
      </c>
    </row>
    <row r="125" spans="1:4" x14ac:dyDescent="0.25">
      <c r="A125" t="s">
        <v>1981</v>
      </c>
      <c r="B125">
        <v>7</v>
      </c>
      <c r="C125" s="175">
        <v>45593</v>
      </c>
      <c r="D125" s="175">
        <v>45624</v>
      </c>
    </row>
    <row r="126" spans="1:4" x14ac:dyDescent="0.25">
      <c r="A126" t="s">
        <v>1982</v>
      </c>
      <c r="B126">
        <v>7</v>
      </c>
      <c r="D126" s="175">
        <v>45624</v>
      </c>
    </row>
    <row r="127" spans="1:4" x14ac:dyDescent="0.25">
      <c r="A127" t="s">
        <v>1983</v>
      </c>
      <c r="B127">
        <v>7</v>
      </c>
      <c r="C127" s="175">
        <v>45593</v>
      </c>
      <c r="D127" s="175">
        <v>45624</v>
      </c>
    </row>
    <row r="128" spans="1:4" x14ac:dyDescent="0.25">
      <c r="A128" t="s">
        <v>799</v>
      </c>
      <c r="B128">
        <v>1</v>
      </c>
    </row>
    <row r="129" spans="1:5" x14ac:dyDescent="0.25">
      <c r="A129" t="s">
        <v>800</v>
      </c>
      <c r="B129">
        <v>1</v>
      </c>
    </row>
    <row r="130" spans="1:5" x14ac:dyDescent="0.25">
      <c r="A130" t="s">
        <v>801</v>
      </c>
      <c r="B130">
        <v>1</v>
      </c>
    </row>
    <row r="131" spans="1:5" x14ac:dyDescent="0.25">
      <c r="A131" t="s">
        <v>802</v>
      </c>
      <c r="B131">
        <v>1</v>
      </c>
    </row>
    <row r="132" spans="1:5" x14ac:dyDescent="0.25">
      <c r="A132" t="s">
        <v>803</v>
      </c>
      <c r="B132">
        <v>1</v>
      </c>
    </row>
    <row r="133" spans="1:5" x14ac:dyDescent="0.25">
      <c r="A133" t="s">
        <v>804</v>
      </c>
      <c r="B133">
        <v>1</v>
      </c>
    </row>
    <row r="134" spans="1:5" x14ac:dyDescent="0.25">
      <c r="A134" t="s">
        <v>805</v>
      </c>
      <c r="B134">
        <v>1</v>
      </c>
    </row>
    <row r="135" spans="1:5" x14ac:dyDescent="0.25">
      <c r="A135" t="s">
        <v>806</v>
      </c>
      <c r="B135">
        <v>1</v>
      </c>
    </row>
    <row r="136" spans="1:5" x14ac:dyDescent="0.25">
      <c r="A136" t="s">
        <v>807</v>
      </c>
      <c r="B136">
        <v>1</v>
      </c>
    </row>
    <row r="137" spans="1:5" x14ac:dyDescent="0.25">
      <c r="A137" t="s">
        <v>1984</v>
      </c>
      <c r="B137">
        <v>1</v>
      </c>
      <c r="C137" s="175">
        <v>45593</v>
      </c>
      <c r="D137" s="175">
        <v>45611</v>
      </c>
      <c r="E137" s="175">
        <v>45611</v>
      </c>
    </row>
    <row r="138" spans="1:5" x14ac:dyDescent="0.25">
      <c r="A138" t="s">
        <v>1985</v>
      </c>
      <c r="B138">
        <v>1</v>
      </c>
      <c r="D138" s="175">
        <v>45611</v>
      </c>
      <c r="E138" s="175">
        <v>45611</v>
      </c>
    </row>
    <row r="139" spans="1:5" x14ac:dyDescent="0.25">
      <c r="A139" t="s">
        <v>1986</v>
      </c>
      <c r="B139">
        <v>1</v>
      </c>
      <c r="D139" s="175">
        <v>45611</v>
      </c>
      <c r="E139" s="175">
        <v>45611</v>
      </c>
    </row>
    <row r="140" spans="1:5" x14ac:dyDescent="0.25">
      <c r="A140" t="s">
        <v>1987</v>
      </c>
      <c r="B140">
        <v>1</v>
      </c>
      <c r="D140" s="175">
        <v>45611</v>
      </c>
      <c r="E140" s="175">
        <v>45611</v>
      </c>
    </row>
    <row r="141" spans="1:5" x14ac:dyDescent="0.25">
      <c r="A141" t="s">
        <v>1988</v>
      </c>
      <c r="B141">
        <v>1</v>
      </c>
      <c r="D141" s="175">
        <v>45611</v>
      </c>
      <c r="E141" s="175">
        <v>45611</v>
      </c>
    </row>
    <row r="142" spans="1:5" x14ac:dyDescent="0.25">
      <c r="A142" t="s">
        <v>1989</v>
      </c>
      <c r="B142">
        <v>1</v>
      </c>
      <c r="C142" s="175">
        <v>45593</v>
      </c>
      <c r="D142" s="175">
        <v>45611</v>
      </c>
      <c r="E142" s="175">
        <v>45611</v>
      </c>
    </row>
    <row r="143" spans="1:5" x14ac:dyDescent="0.25">
      <c r="A143" t="s">
        <v>1990</v>
      </c>
      <c r="B143">
        <v>1</v>
      </c>
      <c r="C143" s="175">
        <v>45593</v>
      </c>
      <c r="D143" s="175">
        <v>45611</v>
      </c>
      <c r="E143" s="175">
        <v>45611</v>
      </c>
    </row>
    <row r="144" spans="1:5" x14ac:dyDescent="0.25">
      <c r="A144" t="s">
        <v>1991</v>
      </c>
      <c r="B144">
        <v>1</v>
      </c>
      <c r="C144" s="175">
        <v>45593</v>
      </c>
      <c r="D144" s="175">
        <v>45611</v>
      </c>
      <c r="E144" s="175">
        <v>45611</v>
      </c>
    </row>
    <row r="145" spans="1:5" x14ac:dyDescent="0.25">
      <c r="A145" t="s">
        <v>1992</v>
      </c>
      <c r="B145">
        <v>1</v>
      </c>
      <c r="C145" s="175">
        <v>45593</v>
      </c>
      <c r="D145" s="175">
        <v>45611</v>
      </c>
      <c r="E145" s="175">
        <v>45611</v>
      </c>
    </row>
    <row r="146" spans="1:5" x14ac:dyDescent="0.25">
      <c r="A146" t="s">
        <v>1993</v>
      </c>
      <c r="B146">
        <v>1</v>
      </c>
      <c r="C146" s="175">
        <v>45593</v>
      </c>
      <c r="D146" s="175">
        <v>45611</v>
      </c>
      <c r="E146" s="175">
        <v>45611</v>
      </c>
    </row>
    <row r="147" spans="1:5" x14ac:dyDescent="0.25">
      <c r="A147" t="s">
        <v>1994</v>
      </c>
      <c r="B147">
        <v>1</v>
      </c>
      <c r="C147" s="175">
        <v>45593</v>
      </c>
      <c r="D147" s="175">
        <v>45611</v>
      </c>
      <c r="E147" s="175">
        <v>45611</v>
      </c>
    </row>
    <row r="148" spans="1:5" x14ac:dyDescent="0.25">
      <c r="A148" t="s">
        <v>1995</v>
      </c>
      <c r="B148">
        <v>1</v>
      </c>
      <c r="C148" s="175">
        <v>45593</v>
      </c>
      <c r="D148" s="175">
        <v>45611</v>
      </c>
      <c r="E148" s="175">
        <v>45611</v>
      </c>
    </row>
    <row r="149" spans="1:5" x14ac:dyDescent="0.25">
      <c r="A149" t="s">
        <v>1996</v>
      </c>
      <c r="B149">
        <v>1</v>
      </c>
      <c r="D149" s="175">
        <v>45611</v>
      </c>
      <c r="E149" s="175">
        <v>45611</v>
      </c>
    </row>
    <row r="150" spans="1:5" x14ac:dyDescent="0.25">
      <c r="A150" t="s">
        <v>1997</v>
      </c>
      <c r="B150">
        <v>1</v>
      </c>
      <c r="C150" s="175">
        <v>45593</v>
      </c>
      <c r="D150" s="175">
        <v>45611</v>
      </c>
      <c r="E150" s="175">
        <v>45611</v>
      </c>
    </row>
    <row r="151" spans="1:5" x14ac:dyDescent="0.25">
      <c r="A151" t="s">
        <v>1998</v>
      </c>
      <c r="B151">
        <v>1</v>
      </c>
      <c r="C151" s="175">
        <v>45593</v>
      </c>
      <c r="D151" s="175">
        <v>45611</v>
      </c>
      <c r="E151" s="175">
        <v>45611</v>
      </c>
    </row>
    <row r="152" spans="1:5" x14ac:dyDescent="0.25">
      <c r="A152" t="s">
        <v>808</v>
      </c>
      <c r="B152">
        <v>1</v>
      </c>
      <c r="D152" s="175">
        <v>45603</v>
      </c>
    </row>
    <row r="153" spans="1:5" x14ac:dyDescent="0.25">
      <c r="A153" t="s">
        <v>809</v>
      </c>
      <c r="B153">
        <v>1</v>
      </c>
      <c r="D153" s="175">
        <v>45603</v>
      </c>
    </row>
    <row r="154" spans="1:5" x14ac:dyDescent="0.25">
      <c r="A154" t="s">
        <v>810</v>
      </c>
      <c r="B154">
        <v>1</v>
      </c>
      <c r="D154" s="175">
        <v>45603</v>
      </c>
    </row>
    <row r="155" spans="1:5" x14ac:dyDescent="0.25">
      <c r="A155" t="s">
        <v>811</v>
      </c>
      <c r="B155">
        <v>1</v>
      </c>
      <c r="D155" s="175">
        <v>45603</v>
      </c>
    </row>
    <row r="156" spans="1:5" x14ac:dyDescent="0.25">
      <c r="A156" t="s">
        <v>812</v>
      </c>
      <c r="B156">
        <v>1</v>
      </c>
      <c r="D156" s="175">
        <v>45603</v>
      </c>
    </row>
    <row r="157" spans="1:5" x14ac:dyDescent="0.25">
      <c r="A157" t="s">
        <v>813</v>
      </c>
      <c r="B157">
        <v>1</v>
      </c>
      <c r="D157" s="175">
        <v>45603</v>
      </c>
    </row>
    <row r="158" spans="1:5" x14ac:dyDescent="0.25">
      <c r="A158" t="s">
        <v>814</v>
      </c>
      <c r="B158">
        <v>1</v>
      </c>
      <c r="D158" s="175">
        <v>45603</v>
      </c>
    </row>
    <row r="159" spans="1:5" x14ac:dyDescent="0.25">
      <c r="A159" t="s">
        <v>815</v>
      </c>
      <c r="B159">
        <v>1</v>
      </c>
      <c r="D159" s="175">
        <v>45603</v>
      </c>
    </row>
    <row r="160" spans="1:5" x14ac:dyDescent="0.25">
      <c r="A160" t="s">
        <v>816</v>
      </c>
      <c r="B160">
        <v>1</v>
      </c>
      <c r="D160" s="175">
        <v>45603</v>
      </c>
      <c r="E160" s="175">
        <v>45534</v>
      </c>
    </row>
    <row r="161" spans="1:5" x14ac:dyDescent="0.25">
      <c r="A161" t="s">
        <v>817</v>
      </c>
      <c r="B161">
        <v>1</v>
      </c>
      <c r="D161" s="175">
        <v>45603</v>
      </c>
      <c r="E161" s="175">
        <v>45534</v>
      </c>
    </row>
    <row r="162" spans="1:5" x14ac:dyDescent="0.25">
      <c r="A162" t="s">
        <v>818</v>
      </c>
      <c r="B162">
        <v>1</v>
      </c>
      <c r="D162" s="175">
        <v>45603</v>
      </c>
      <c r="E162" s="175">
        <v>45534</v>
      </c>
    </row>
    <row r="163" spans="1:5" x14ac:dyDescent="0.25">
      <c r="A163" t="s">
        <v>819</v>
      </c>
      <c r="B163">
        <v>0</v>
      </c>
      <c r="D163" s="175">
        <v>45534</v>
      </c>
      <c r="E163" s="175">
        <v>45534</v>
      </c>
    </row>
    <row r="164" spans="1:5" x14ac:dyDescent="0.25">
      <c r="A164" t="s">
        <v>820</v>
      </c>
      <c r="B164">
        <v>1</v>
      </c>
      <c r="D164" s="175">
        <v>45603</v>
      </c>
      <c r="E164" s="175">
        <v>45534</v>
      </c>
    </row>
    <row r="165" spans="1:5" x14ac:dyDescent="0.25">
      <c r="A165" t="s">
        <v>821</v>
      </c>
      <c r="B165">
        <v>1</v>
      </c>
      <c r="D165" s="175">
        <v>45603</v>
      </c>
      <c r="E165" s="175">
        <v>45534</v>
      </c>
    </row>
    <row r="166" spans="1:5" x14ac:dyDescent="0.25">
      <c r="A166" t="s">
        <v>822</v>
      </c>
      <c r="B166">
        <v>1</v>
      </c>
      <c r="D166" s="175">
        <v>45603</v>
      </c>
      <c r="E166" s="175">
        <v>45534</v>
      </c>
    </row>
    <row r="167" spans="1:5" x14ac:dyDescent="0.25">
      <c r="A167" t="s">
        <v>823</v>
      </c>
      <c r="B167">
        <v>1</v>
      </c>
      <c r="D167" s="175">
        <v>45603</v>
      </c>
      <c r="E167" s="175">
        <v>45534</v>
      </c>
    </row>
    <row r="168" spans="1:5" x14ac:dyDescent="0.25">
      <c r="A168" t="s">
        <v>824</v>
      </c>
      <c r="B168">
        <v>1</v>
      </c>
      <c r="D168" s="175">
        <v>45603</v>
      </c>
      <c r="E168" s="175">
        <v>45534</v>
      </c>
    </row>
    <row r="169" spans="1:5" x14ac:dyDescent="0.25">
      <c r="A169" t="s">
        <v>825</v>
      </c>
      <c r="B169">
        <v>1</v>
      </c>
      <c r="D169" s="175">
        <v>45603</v>
      </c>
      <c r="E169" s="175">
        <v>45534</v>
      </c>
    </row>
    <row r="170" spans="1:5" x14ac:dyDescent="0.25">
      <c r="A170" t="s">
        <v>826</v>
      </c>
      <c r="B170">
        <v>1</v>
      </c>
      <c r="D170" s="175">
        <v>45603</v>
      </c>
      <c r="E170" s="175">
        <v>45534</v>
      </c>
    </row>
    <row r="171" spans="1:5" x14ac:dyDescent="0.25">
      <c r="A171" t="s">
        <v>827</v>
      </c>
      <c r="B171">
        <v>1</v>
      </c>
      <c r="D171" s="175">
        <v>45603</v>
      </c>
      <c r="E171" s="175">
        <v>45534</v>
      </c>
    </row>
    <row r="172" spans="1:5" x14ac:dyDescent="0.25">
      <c r="A172" t="s">
        <v>828</v>
      </c>
      <c r="B172">
        <v>1</v>
      </c>
      <c r="D172" s="175">
        <v>45603</v>
      </c>
      <c r="E172" s="175">
        <v>45534</v>
      </c>
    </row>
    <row r="173" spans="1:5" x14ac:dyDescent="0.25">
      <c r="A173" t="s">
        <v>829</v>
      </c>
      <c r="B173">
        <v>1</v>
      </c>
      <c r="D173" s="175">
        <v>45603</v>
      </c>
      <c r="E173" s="175">
        <v>45534</v>
      </c>
    </row>
    <row r="174" spans="1:5" x14ac:dyDescent="0.25">
      <c r="A174" t="s">
        <v>830</v>
      </c>
      <c r="B174">
        <v>1</v>
      </c>
      <c r="D174" s="175">
        <v>45603</v>
      </c>
      <c r="E174" s="175">
        <v>45534</v>
      </c>
    </row>
    <row r="175" spans="1:5" x14ac:dyDescent="0.25">
      <c r="A175" t="s">
        <v>831</v>
      </c>
      <c r="B175">
        <v>1</v>
      </c>
      <c r="D175" s="175">
        <v>45603</v>
      </c>
      <c r="E175" s="175">
        <v>45534</v>
      </c>
    </row>
    <row r="176" spans="1:5" x14ac:dyDescent="0.25">
      <c r="A176" t="s">
        <v>832</v>
      </c>
      <c r="B176">
        <v>1</v>
      </c>
      <c r="D176" s="175">
        <v>45603</v>
      </c>
      <c r="E176" s="175">
        <v>45534</v>
      </c>
    </row>
    <row r="177" spans="1:5" x14ac:dyDescent="0.25">
      <c r="A177" t="s">
        <v>833</v>
      </c>
      <c r="B177">
        <v>1</v>
      </c>
      <c r="D177" s="175">
        <v>45603</v>
      </c>
      <c r="E177" s="175">
        <v>45534</v>
      </c>
    </row>
    <row r="178" spans="1:5" x14ac:dyDescent="0.25">
      <c r="A178" t="s">
        <v>834</v>
      </c>
      <c r="B178">
        <v>1</v>
      </c>
      <c r="D178" s="175">
        <v>45603</v>
      </c>
      <c r="E178" s="175">
        <v>45534</v>
      </c>
    </row>
    <row r="179" spans="1:5" x14ac:dyDescent="0.25">
      <c r="A179" t="s">
        <v>835</v>
      </c>
      <c r="B179">
        <v>1</v>
      </c>
      <c r="D179" s="175">
        <v>45603</v>
      </c>
    </row>
    <row r="180" spans="1:5" x14ac:dyDescent="0.25">
      <c r="A180" t="s">
        <v>836</v>
      </c>
      <c r="B180">
        <v>0</v>
      </c>
    </row>
    <row r="181" spans="1:5" x14ac:dyDescent="0.25">
      <c r="A181" t="s">
        <v>837</v>
      </c>
      <c r="B181">
        <v>1</v>
      </c>
      <c r="D181" s="175">
        <v>45603</v>
      </c>
    </row>
    <row r="182" spans="1:5" x14ac:dyDescent="0.25">
      <c r="A182" t="s">
        <v>838</v>
      </c>
      <c r="B182">
        <v>1</v>
      </c>
      <c r="D182" s="175">
        <v>45603</v>
      </c>
    </row>
    <row r="183" spans="1:5" x14ac:dyDescent="0.25">
      <c r="A183" t="s">
        <v>839</v>
      </c>
      <c r="B183">
        <v>1</v>
      </c>
      <c r="D183" s="175">
        <v>45603</v>
      </c>
    </row>
    <row r="184" spans="1:5" x14ac:dyDescent="0.25">
      <c r="A184" t="s">
        <v>840</v>
      </c>
      <c r="B184">
        <v>0</v>
      </c>
    </row>
    <row r="185" spans="1:5" x14ac:dyDescent="0.25">
      <c r="A185" t="s">
        <v>841</v>
      </c>
      <c r="B185">
        <v>1</v>
      </c>
      <c r="D185" s="175">
        <v>45603</v>
      </c>
    </row>
    <row r="186" spans="1:5" x14ac:dyDescent="0.25">
      <c r="A186" t="s">
        <v>842</v>
      </c>
      <c r="B186">
        <v>1</v>
      </c>
      <c r="D186" s="175">
        <v>45603</v>
      </c>
    </row>
    <row r="187" spans="1:5" x14ac:dyDescent="0.25">
      <c r="A187" t="s">
        <v>843</v>
      </c>
      <c r="B187">
        <v>1</v>
      </c>
      <c r="D187" s="175">
        <v>45603</v>
      </c>
    </row>
    <row r="188" spans="1:5" x14ac:dyDescent="0.25">
      <c r="A188" t="s">
        <v>844</v>
      </c>
      <c r="B188">
        <v>0</v>
      </c>
    </row>
    <row r="189" spans="1:5" x14ac:dyDescent="0.25">
      <c r="A189" t="s">
        <v>845</v>
      </c>
      <c r="B189">
        <v>1</v>
      </c>
      <c r="D189" s="175">
        <v>45603</v>
      </c>
    </row>
    <row r="190" spans="1:5" x14ac:dyDescent="0.25">
      <c r="A190" t="s">
        <v>846</v>
      </c>
      <c r="B190">
        <v>1</v>
      </c>
      <c r="D190" s="175">
        <v>45603</v>
      </c>
    </row>
    <row r="191" spans="1:5" x14ac:dyDescent="0.25">
      <c r="A191" t="s">
        <v>847</v>
      </c>
      <c r="B191">
        <v>1</v>
      </c>
      <c r="D191" s="175">
        <v>45603</v>
      </c>
    </row>
    <row r="192" spans="1:5" x14ac:dyDescent="0.25">
      <c r="A192" t="s">
        <v>848</v>
      </c>
      <c r="B192">
        <v>1</v>
      </c>
      <c r="D192" s="175">
        <v>45603</v>
      </c>
    </row>
    <row r="193" spans="1:4" x14ac:dyDescent="0.25">
      <c r="A193" t="s">
        <v>849</v>
      </c>
      <c r="B193">
        <v>1</v>
      </c>
      <c r="D193" s="175">
        <v>45603</v>
      </c>
    </row>
    <row r="194" spans="1:4" x14ac:dyDescent="0.25">
      <c r="A194" t="s">
        <v>850</v>
      </c>
      <c r="B194">
        <v>1</v>
      </c>
      <c r="D194" s="175">
        <v>45603</v>
      </c>
    </row>
    <row r="195" spans="1:4" x14ac:dyDescent="0.25">
      <c r="A195" t="s">
        <v>851</v>
      </c>
      <c r="B195">
        <v>0</v>
      </c>
    </row>
    <row r="196" spans="1:4" x14ac:dyDescent="0.25">
      <c r="A196" t="s">
        <v>852</v>
      </c>
      <c r="B196">
        <v>0</v>
      </c>
    </row>
    <row r="197" spans="1:4" x14ac:dyDescent="0.25">
      <c r="A197" t="s">
        <v>853</v>
      </c>
      <c r="B197">
        <v>0</v>
      </c>
    </row>
    <row r="198" spans="1:4" x14ac:dyDescent="0.25">
      <c r="A198" t="s">
        <v>854</v>
      </c>
      <c r="B198">
        <v>1</v>
      </c>
      <c r="D198" s="175">
        <v>45603</v>
      </c>
    </row>
    <row r="199" spans="1:4" x14ac:dyDescent="0.25">
      <c r="A199" t="s">
        <v>855</v>
      </c>
      <c r="B199">
        <v>1</v>
      </c>
      <c r="D199" s="175">
        <v>45603</v>
      </c>
    </row>
    <row r="200" spans="1:4" x14ac:dyDescent="0.25">
      <c r="A200" t="s">
        <v>856</v>
      </c>
      <c r="B200">
        <v>0</v>
      </c>
    </row>
    <row r="201" spans="1:4" x14ac:dyDescent="0.25">
      <c r="A201" t="s">
        <v>857</v>
      </c>
      <c r="B201">
        <v>1</v>
      </c>
      <c r="D201" s="175">
        <v>45603</v>
      </c>
    </row>
    <row r="202" spans="1:4" x14ac:dyDescent="0.25">
      <c r="A202" t="s">
        <v>858</v>
      </c>
      <c r="B202">
        <v>1</v>
      </c>
      <c r="D202" s="175">
        <v>45603</v>
      </c>
    </row>
    <row r="203" spans="1:4" x14ac:dyDescent="0.25">
      <c r="A203" t="s">
        <v>859</v>
      </c>
      <c r="B203">
        <v>1</v>
      </c>
      <c r="D203" s="175">
        <v>45603</v>
      </c>
    </row>
    <row r="204" spans="1:4" x14ac:dyDescent="0.25">
      <c r="A204" t="s">
        <v>860</v>
      </c>
      <c r="B204">
        <v>1</v>
      </c>
      <c r="D204" s="175">
        <v>45603</v>
      </c>
    </row>
    <row r="205" spans="1:4" x14ac:dyDescent="0.25">
      <c r="A205" t="s">
        <v>861</v>
      </c>
      <c r="B205">
        <v>1</v>
      </c>
      <c r="D205" s="175">
        <v>45603</v>
      </c>
    </row>
    <row r="206" spans="1:4" x14ac:dyDescent="0.25">
      <c r="A206" t="s">
        <v>862</v>
      </c>
      <c r="B206">
        <v>1</v>
      </c>
      <c r="D206" s="175">
        <v>45603</v>
      </c>
    </row>
    <row r="207" spans="1:4" x14ac:dyDescent="0.25">
      <c r="A207" t="s">
        <v>863</v>
      </c>
      <c r="B207">
        <v>1</v>
      </c>
      <c r="D207" s="175">
        <v>45603</v>
      </c>
    </row>
    <row r="208" spans="1:4" x14ac:dyDescent="0.25">
      <c r="A208" t="s">
        <v>864</v>
      </c>
      <c r="B208">
        <v>1</v>
      </c>
      <c r="D208" s="175">
        <v>45603</v>
      </c>
    </row>
    <row r="209" spans="1:5" x14ac:dyDescent="0.25">
      <c r="A209" t="s">
        <v>865</v>
      </c>
      <c r="B209">
        <v>1</v>
      </c>
      <c r="D209" s="175">
        <v>45603</v>
      </c>
    </row>
    <row r="210" spans="1:5" x14ac:dyDescent="0.25">
      <c r="A210" t="s">
        <v>866</v>
      </c>
      <c r="B210">
        <v>1</v>
      </c>
      <c r="D210" s="175">
        <v>45603</v>
      </c>
    </row>
    <row r="211" spans="1:5" x14ac:dyDescent="0.25">
      <c r="A211" t="s">
        <v>867</v>
      </c>
      <c r="B211">
        <v>1</v>
      </c>
      <c r="D211" s="175">
        <v>45603</v>
      </c>
    </row>
    <row r="212" spans="1:5" x14ac:dyDescent="0.25">
      <c r="A212" t="s">
        <v>868</v>
      </c>
      <c r="B212">
        <v>1</v>
      </c>
      <c r="D212" s="175">
        <v>45603</v>
      </c>
    </row>
    <row r="213" spans="1:5" x14ac:dyDescent="0.25">
      <c r="A213" t="s">
        <v>869</v>
      </c>
      <c r="B213">
        <v>1</v>
      </c>
      <c r="D213" s="175">
        <v>45603</v>
      </c>
    </row>
    <row r="214" spans="1:5" x14ac:dyDescent="0.25">
      <c r="A214" t="s">
        <v>870</v>
      </c>
      <c r="B214">
        <v>1</v>
      </c>
      <c r="D214" s="175">
        <v>45603</v>
      </c>
    </row>
    <row r="215" spans="1:5" x14ac:dyDescent="0.25">
      <c r="A215" t="s">
        <v>871</v>
      </c>
      <c r="B215">
        <v>1</v>
      </c>
      <c r="D215" s="175">
        <v>45603</v>
      </c>
    </row>
    <row r="216" spans="1:5" x14ac:dyDescent="0.25">
      <c r="A216" t="s">
        <v>872</v>
      </c>
      <c r="B216">
        <v>1</v>
      </c>
      <c r="C216" s="175">
        <v>45491</v>
      </c>
      <c r="D216" s="175">
        <v>45603</v>
      </c>
      <c r="E216" s="175">
        <v>45499</v>
      </c>
    </row>
    <row r="217" spans="1:5" x14ac:dyDescent="0.25">
      <c r="A217" t="s">
        <v>873</v>
      </c>
      <c r="B217">
        <v>1</v>
      </c>
      <c r="C217" s="175">
        <v>45491</v>
      </c>
      <c r="D217" s="175">
        <v>45603</v>
      </c>
      <c r="E217" s="175">
        <v>45499</v>
      </c>
    </row>
    <row r="218" spans="1:5" x14ac:dyDescent="0.25">
      <c r="A218" t="s">
        <v>874</v>
      </c>
      <c r="B218">
        <v>1</v>
      </c>
      <c r="D218" s="175">
        <v>45603</v>
      </c>
    </row>
    <row r="219" spans="1:5" x14ac:dyDescent="0.25">
      <c r="A219" t="s">
        <v>875</v>
      </c>
      <c r="B219">
        <v>1</v>
      </c>
      <c r="D219" s="175">
        <v>45603</v>
      </c>
      <c r="E219" s="175">
        <v>45534</v>
      </c>
    </row>
    <row r="220" spans="1:5" x14ac:dyDescent="0.25">
      <c r="A220" t="s">
        <v>876</v>
      </c>
      <c r="B220">
        <v>1</v>
      </c>
      <c r="D220" s="175">
        <v>45603</v>
      </c>
      <c r="E220" s="175">
        <v>45534</v>
      </c>
    </row>
    <row r="221" spans="1:5" x14ac:dyDescent="0.25">
      <c r="A221" t="s">
        <v>877</v>
      </c>
      <c r="B221">
        <v>1</v>
      </c>
      <c r="C221" s="175">
        <v>45471</v>
      </c>
      <c r="D221" s="175">
        <v>45603</v>
      </c>
      <c r="E221" s="175">
        <v>45534</v>
      </c>
    </row>
    <row r="222" spans="1:5" x14ac:dyDescent="0.25">
      <c r="A222" t="s">
        <v>878</v>
      </c>
      <c r="B222">
        <v>1</v>
      </c>
      <c r="D222" s="175">
        <v>45603</v>
      </c>
      <c r="E222" s="175">
        <v>45534</v>
      </c>
    </row>
    <row r="223" spans="1:5" x14ac:dyDescent="0.25">
      <c r="A223" t="s">
        <v>879</v>
      </c>
      <c r="B223">
        <v>1</v>
      </c>
      <c r="D223" s="175">
        <v>45603</v>
      </c>
      <c r="E223" s="175">
        <v>45534</v>
      </c>
    </row>
    <row r="224" spans="1:5" x14ac:dyDescent="0.25">
      <c r="A224" t="s">
        <v>880</v>
      </c>
      <c r="B224">
        <v>1</v>
      </c>
      <c r="D224" s="175">
        <v>45603</v>
      </c>
      <c r="E224" s="175">
        <v>45534</v>
      </c>
    </row>
    <row r="225" spans="1:5" x14ac:dyDescent="0.25">
      <c r="A225" t="s">
        <v>881</v>
      </c>
      <c r="B225">
        <v>1</v>
      </c>
      <c r="D225" s="175">
        <v>45603</v>
      </c>
      <c r="E225" s="175">
        <v>45534</v>
      </c>
    </row>
    <row r="226" spans="1:5" x14ac:dyDescent="0.25">
      <c r="A226" t="s">
        <v>882</v>
      </c>
      <c r="B226">
        <v>1</v>
      </c>
      <c r="D226" s="175">
        <v>45603</v>
      </c>
      <c r="E226" s="175">
        <v>45534</v>
      </c>
    </row>
    <row r="227" spans="1:5" x14ac:dyDescent="0.25">
      <c r="A227" t="s">
        <v>883</v>
      </c>
      <c r="B227">
        <v>1</v>
      </c>
      <c r="D227" s="175">
        <v>45603</v>
      </c>
      <c r="E227" s="175">
        <v>45534</v>
      </c>
    </row>
    <row r="228" spans="1:5" x14ac:dyDescent="0.25">
      <c r="A228" t="s">
        <v>884</v>
      </c>
      <c r="B228">
        <v>1</v>
      </c>
      <c r="D228" s="175">
        <v>45603</v>
      </c>
      <c r="E228" s="175">
        <v>45534</v>
      </c>
    </row>
    <row r="229" spans="1:5" x14ac:dyDescent="0.25">
      <c r="A229" t="s">
        <v>885</v>
      </c>
      <c r="B229">
        <v>1</v>
      </c>
      <c r="D229" s="175">
        <v>45603</v>
      </c>
      <c r="E229" s="175">
        <v>45534</v>
      </c>
    </row>
    <row r="230" spans="1:5" x14ac:dyDescent="0.25">
      <c r="A230" t="s">
        <v>886</v>
      </c>
      <c r="B230">
        <v>1</v>
      </c>
      <c r="D230" s="175">
        <v>45603</v>
      </c>
      <c r="E230" s="175">
        <v>45534</v>
      </c>
    </row>
    <row r="231" spans="1:5" x14ac:dyDescent="0.25">
      <c r="A231" t="s">
        <v>887</v>
      </c>
      <c r="B231">
        <v>1</v>
      </c>
      <c r="D231" s="175">
        <v>45603</v>
      </c>
      <c r="E231" s="175">
        <v>45534</v>
      </c>
    </row>
    <row r="232" spans="1:5" x14ac:dyDescent="0.25">
      <c r="A232" t="s">
        <v>888</v>
      </c>
      <c r="B232">
        <v>1</v>
      </c>
      <c r="D232" s="175">
        <v>45603</v>
      </c>
      <c r="E232" s="175">
        <v>45534</v>
      </c>
    </row>
    <row r="233" spans="1:5" x14ac:dyDescent="0.25">
      <c r="A233" t="s">
        <v>889</v>
      </c>
      <c r="B233">
        <v>1</v>
      </c>
      <c r="D233" s="175">
        <v>45603</v>
      </c>
      <c r="E233" s="175">
        <v>45534</v>
      </c>
    </row>
    <row r="234" spans="1:5" x14ac:dyDescent="0.25">
      <c r="A234" t="s">
        <v>890</v>
      </c>
      <c r="B234">
        <v>1</v>
      </c>
      <c r="D234" s="175">
        <v>45603</v>
      </c>
      <c r="E234" s="175">
        <v>45534</v>
      </c>
    </row>
    <row r="235" spans="1:5" x14ac:dyDescent="0.25">
      <c r="A235" t="s">
        <v>891</v>
      </c>
      <c r="B235">
        <v>1</v>
      </c>
      <c r="D235" s="175">
        <v>45603</v>
      </c>
      <c r="E235" s="175">
        <v>45534</v>
      </c>
    </row>
    <row r="236" spans="1:5" x14ac:dyDescent="0.25">
      <c r="A236" t="s">
        <v>892</v>
      </c>
      <c r="B236">
        <v>1</v>
      </c>
      <c r="D236" s="175">
        <v>45603</v>
      </c>
      <c r="E236" s="175">
        <v>45534</v>
      </c>
    </row>
    <row r="237" spans="1:5" x14ac:dyDescent="0.25">
      <c r="A237" t="s">
        <v>893</v>
      </c>
      <c r="B237">
        <v>1</v>
      </c>
      <c r="D237" s="175">
        <v>45603</v>
      </c>
      <c r="E237" s="175">
        <v>45534</v>
      </c>
    </row>
    <row r="238" spans="1:5" x14ac:dyDescent="0.25">
      <c r="A238" t="s">
        <v>894</v>
      </c>
      <c r="B238">
        <v>0</v>
      </c>
    </row>
    <row r="239" spans="1:5" x14ac:dyDescent="0.25">
      <c r="A239" t="s">
        <v>895</v>
      </c>
      <c r="B239">
        <v>0</v>
      </c>
    </row>
    <row r="240" spans="1:5" x14ac:dyDescent="0.25">
      <c r="A240" t="s">
        <v>896</v>
      </c>
      <c r="B240">
        <v>0</v>
      </c>
    </row>
    <row r="241" spans="1:5" x14ac:dyDescent="0.25">
      <c r="A241" t="s">
        <v>897</v>
      </c>
      <c r="B241">
        <v>1</v>
      </c>
      <c r="D241" s="175">
        <v>45603</v>
      </c>
      <c r="E241" s="175">
        <v>45534</v>
      </c>
    </row>
    <row r="242" spans="1:5" x14ac:dyDescent="0.25">
      <c r="A242" t="s">
        <v>898</v>
      </c>
      <c r="B242">
        <v>1</v>
      </c>
      <c r="D242" s="175">
        <v>45603</v>
      </c>
      <c r="E242" s="175">
        <v>45534</v>
      </c>
    </row>
    <row r="243" spans="1:5" x14ac:dyDescent="0.25">
      <c r="A243" t="s">
        <v>899</v>
      </c>
      <c r="B243">
        <v>1</v>
      </c>
      <c r="D243" s="175">
        <v>45603</v>
      </c>
      <c r="E243" s="175">
        <v>45534</v>
      </c>
    </row>
    <row r="244" spans="1:5" x14ac:dyDescent="0.25">
      <c r="A244" t="s">
        <v>900</v>
      </c>
      <c r="B244">
        <v>1</v>
      </c>
      <c r="D244" s="175">
        <v>45603</v>
      </c>
      <c r="E244" s="175">
        <v>45534</v>
      </c>
    </row>
    <row r="245" spans="1:5" x14ac:dyDescent="0.25">
      <c r="A245" t="s">
        <v>901</v>
      </c>
      <c r="B245">
        <v>1</v>
      </c>
      <c r="D245" s="175">
        <v>45603</v>
      </c>
      <c r="E245" s="175">
        <v>45534</v>
      </c>
    </row>
    <row r="246" spans="1:5" x14ac:dyDescent="0.25">
      <c r="A246" t="s">
        <v>902</v>
      </c>
      <c r="B246">
        <v>1</v>
      </c>
      <c r="D246" s="175">
        <v>45603</v>
      </c>
      <c r="E246" s="175">
        <v>45534</v>
      </c>
    </row>
    <row r="247" spans="1:5" x14ac:dyDescent="0.25">
      <c r="A247" t="s">
        <v>903</v>
      </c>
      <c r="B247">
        <v>1</v>
      </c>
      <c r="D247" s="175">
        <v>45603</v>
      </c>
      <c r="E247" s="175">
        <v>45534</v>
      </c>
    </row>
    <row r="248" spans="1:5" x14ac:dyDescent="0.25">
      <c r="A248" t="s">
        <v>904</v>
      </c>
      <c r="B248">
        <v>1</v>
      </c>
      <c r="D248" s="175">
        <v>45603</v>
      </c>
      <c r="E248" s="175">
        <v>45534</v>
      </c>
    </row>
    <row r="249" spans="1:5" x14ac:dyDescent="0.25">
      <c r="A249" t="s">
        <v>905</v>
      </c>
      <c r="B249">
        <v>1</v>
      </c>
      <c r="D249" s="175">
        <v>45603</v>
      </c>
      <c r="E249" s="175">
        <v>45534</v>
      </c>
    </row>
    <row r="250" spans="1:5" x14ac:dyDescent="0.25">
      <c r="A250" t="s">
        <v>906</v>
      </c>
      <c r="B250">
        <v>1</v>
      </c>
      <c r="D250" s="175">
        <v>45603</v>
      </c>
      <c r="E250" s="175">
        <v>45534</v>
      </c>
    </row>
    <row r="251" spans="1:5" x14ac:dyDescent="0.25">
      <c r="A251" t="s">
        <v>907</v>
      </c>
      <c r="B251">
        <v>1</v>
      </c>
      <c r="D251" s="175">
        <v>45603</v>
      </c>
      <c r="E251" s="175">
        <v>45534</v>
      </c>
    </row>
    <row r="252" spans="1:5" x14ac:dyDescent="0.25">
      <c r="A252" t="s">
        <v>908</v>
      </c>
      <c r="B252">
        <v>1</v>
      </c>
      <c r="D252" s="175">
        <v>45603</v>
      </c>
      <c r="E252" s="175">
        <v>45534</v>
      </c>
    </row>
    <row r="253" spans="1:5" x14ac:dyDescent="0.25">
      <c r="A253" t="s">
        <v>909</v>
      </c>
      <c r="B253">
        <v>1</v>
      </c>
      <c r="D253" s="175">
        <v>45603</v>
      </c>
      <c r="E253" s="175">
        <v>45534</v>
      </c>
    </row>
    <row r="254" spans="1:5" x14ac:dyDescent="0.25">
      <c r="A254" t="s">
        <v>910</v>
      </c>
      <c r="B254">
        <v>1</v>
      </c>
      <c r="D254" s="175">
        <v>45603</v>
      </c>
      <c r="E254" s="175">
        <v>45534</v>
      </c>
    </row>
    <row r="255" spans="1:5" x14ac:dyDescent="0.25">
      <c r="A255" t="s">
        <v>911</v>
      </c>
      <c r="B255">
        <v>1</v>
      </c>
      <c r="D255" s="175">
        <v>45603</v>
      </c>
      <c r="E255" s="175">
        <v>45534</v>
      </c>
    </row>
    <row r="256" spans="1:5" x14ac:dyDescent="0.25">
      <c r="A256" t="s">
        <v>912</v>
      </c>
      <c r="B256">
        <v>1</v>
      </c>
      <c r="D256" s="175">
        <v>45603</v>
      </c>
      <c r="E256" s="175">
        <v>45534</v>
      </c>
    </row>
    <row r="257" spans="1:5" x14ac:dyDescent="0.25">
      <c r="A257" t="s">
        <v>913</v>
      </c>
      <c r="B257">
        <v>1</v>
      </c>
      <c r="D257" s="175">
        <v>45603</v>
      </c>
      <c r="E257" s="175">
        <v>45534</v>
      </c>
    </row>
    <row r="258" spans="1:5" x14ac:dyDescent="0.25">
      <c r="A258" t="s">
        <v>914</v>
      </c>
      <c r="B258">
        <v>1</v>
      </c>
      <c r="D258" s="175">
        <v>45603</v>
      </c>
      <c r="E258" s="175">
        <v>45534</v>
      </c>
    </row>
    <row r="259" spans="1:5" x14ac:dyDescent="0.25">
      <c r="A259" t="s">
        <v>915</v>
      </c>
      <c r="B259">
        <v>1</v>
      </c>
      <c r="D259" s="175">
        <v>45603</v>
      </c>
      <c r="E259" s="175">
        <v>45534</v>
      </c>
    </row>
    <row r="260" spans="1:5" x14ac:dyDescent="0.25">
      <c r="A260" t="s">
        <v>916</v>
      </c>
      <c r="B260">
        <v>1</v>
      </c>
      <c r="D260" s="175">
        <v>45603</v>
      </c>
      <c r="E260" s="175">
        <v>45534</v>
      </c>
    </row>
    <row r="261" spans="1:5" x14ac:dyDescent="0.25">
      <c r="A261" t="s">
        <v>917</v>
      </c>
      <c r="B261">
        <v>1</v>
      </c>
      <c r="D261" s="175">
        <v>45603</v>
      </c>
      <c r="E261" s="175">
        <v>45534</v>
      </c>
    </row>
    <row r="262" spans="1:5" x14ac:dyDescent="0.25">
      <c r="A262" t="s">
        <v>918</v>
      </c>
      <c r="B262">
        <v>1</v>
      </c>
      <c r="D262" s="175">
        <v>45603</v>
      </c>
      <c r="E262" s="175">
        <v>45534</v>
      </c>
    </row>
    <row r="263" spans="1:5" x14ac:dyDescent="0.25">
      <c r="A263" t="s">
        <v>919</v>
      </c>
      <c r="B263">
        <v>1</v>
      </c>
      <c r="D263" s="175">
        <v>45603</v>
      </c>
      <c r="E263" s="175">
        <v>45534</v>
      </c>
    </row>
    <row r="264" spans="1:5" x14ac:dyDescent="0.25">
      <c r="A264" t="s">
        <v>920</v>
      </c>
      <c r="B264">
        <v>1</v>
      </c>
      <c r="D264" s="175">
        <v>45603</v>
      </c>
      <c r="E264" s="175">
        <v>45534</v>
      </c>
    </row>
    <row r="265" spans="1:5" x14ac:dyDescent="0.25">
      <c r="A265" t="s">
        <v>921</v>
      </c>
      <c r="B265">
        <v>1</v>
      </c>
      <c r="D265" s="175">
        <v>45603</v>
      </c>
      <c r="E265" s="175">
        <v>45534</v>
      </c>
    </row>
    <row r="266" spans="1:5" x14ac:dyDescent="0.25">
      <c r="A266" t="s">
        <v>922</v>
      </c>
      <c r="B266">
        <v>1</v>
      </c>
      <c r="D266" s="175">
        <v>45603</v>
      </c>
      <c r="E266" s="175">
        <v>45534</v>
      </c>
    </row>
    <row r="267" spans="1:5" x14ac:dyDescent="0.25">
      <c r="A267" t="s">
        <v>923</v>
      </c>
      <c r="B267">
        <v>1</v>
      </c>
      <c r="D267" s="175">
        <v>45603</v>
      </c>
      <c r="E267" s="175">
        <v>45534</v>
      </c>
    </row>
    <row r="268" spans="1:5" x14ac:dyDescent="0.25">
      <c r="A268" t="s">
        <v>924</v>
      </c>
      <c r="B268">
        <v>1</v>
      </c>
      <c r="D268" s="175">
        <v>45603</v>
      </c>
      <c r="E268" s="175">
        <v>45534</v>
      </c>
    </row>
    <row r="269" spans="1:5" x14ac:dyDescent="0.25">
      <c r="A269" t="s">
        <v>925</v>
      </c>
      <c r="B269">
        <v>1</v>
      </c>
      <c r="D269" s="175">
        <v>45603</v>
      </c>
      <c r="E269" s="175">
        <v>45534</v>
      </c>
    </row>
    <row r="270" spans="1:5" x14ac:dyDescent="0.25">
      <c r="A270" t="s">
        <v>926</v>
      </c>
      <c r="B270">
        <v>1</v>
      </c>
      <c r="D270" s="175">
        <v>45603</v>
      </c>
      <c r="E270" s="175">
        <v>45534</v>
      </c>
    </row>
    <row r="271" spans="1:5" x14ac:dyDescent="0.25">
      <c r="A271" t="s">
        <v>927</v>
      </c>
      <c r="B271">
        <v>1</v>
      </c>
      <c r="D271" s="175">
        <v>45603</v>
      </c>
      <c r="E271" s="175">
        <v>45534</v>
      </c>
    </row>
    <row r="272" spans="1:5" x14ac:dyDescent="0.25">
      <c r="A272" t="s">
        <v>928</v>
      </c>
      <c r="B272">
        <v>1</v>
      </c>
      <c r="D272" s="175">
        <v>45603</v>
      </c>
      <c r="E272" s="175">
        <v>45534</v>
      </c>
    </row>
    <row r="273" spans="1:5" x14ac:dyDescent="0.25">
      <c r="A273" t="s">
        <v>929</v>
      </c>
      <c r="B273">
        <v>1</v>
      </c>
      <c r="D273" s="175">
        <v>45603</v>
      </c>
      <c r="E273" s="175">
        <v>45534</v>
      </c>
    </row>
    <row r="274" spans="1:5" x14ac:dyDescent="0.25">
      <c r="A274" t="s">
        <v>930</v>
      </c>
      <c r="B274">
        <v>1</v>
      </c>
      <c r="D274" s="175">
        <v>45603</v>
      </c>
      <c r="E274" s="175">
        <v>45534</v>
      </c>
    </row>
    <row r="275" spans="1:5" x14ac:dyDescent="0.25">
      <c r="A275" t="s">
        <v>931</v>
      </c>
      <c r="B275">
        <v>1</v>
      </c>
      <c r="D275" s="175">
        <v>45603</v>
      </c>
      <c r="E275" s="175">
        <v>45534</v>
      </c>
    </row>
    <row r="276" spans="1:5" x14ac:dyDescent="0.25">
      <c r="A276" t="s">
        <v>932</v>
      </c>
      <c r="B276">
        <v>1</v>
      </c>
      <c r="D276" s="175">
        <v>45603</v>
      </c>
      <c r="E276" s="175">
        <v>45534</v>
      </c>
    </row>
    <row r="277" spans="1:5" x14ac:dyDescent="0.25">
      <c r="A277" t="s">
        <v>933</v>
      </c>
      <c r="B277">
        <v>1</v>
      </c>
      <c r="D277" s="175">
        <v>45603</v>
      </c>
      <c r="E277" s="175">
        <v>45534</v>
      </c>
    </row>
    <row r="278" spans="1:5" x14ac:dyDescent="0.25">
      <c r="A278" t="s">
        <v>934</v>
      </c>
      <c r="B278">
        <v>1</v>
      </c>
      <c r="D278" s="175">
        <v>45603</v>
      </c>
      <c r="E278" s="175">
        <v>45534</v>
      </c>
    </row>
    <row r="279" spans="1:5" x14ac:dyDescent="0.25">
      <c r="A279" t="s">
        <v>935</v>
      </c>
      <c r="B279">
        <v>1</v>
      </c>
      <c r="D279" s="175">
        <v>45603</v>
      </c>
      <c r="E279" s="175">
        <v>45534</v>
      </c>
    </row>
    <row r="280" spans="1:5" x14ac:dyDescent="0.25">
      <c r="A280" t="s">
        <v>936</v>
      </c>
      <c r="B280">
        <v>1</v>
      </c>
      <c r="D280" s="175">
        <v>45603</v>
      </c>
      <c r="E280" s="175">
        <v>45534</v>
      </c>
    </row>
    <row r="281" spans="1:5" x14ac:dyDescent="0.25">
      <c r="A281" t="s">
        <v>937</v>
      </c>
      <c r="B281">
        <v>1</v>
      </c>
      <c r="D281" s="175">
        <v>45603</v>
      </c>
      <c r="E281" s="175">
        <v>45534</v>
      </c>
    </row>
    <row r="282" spans="1:5" x14ac:dyDescent="0.25">
      <c r="A282" t="s">
        <v>938</v>
      </c>
      <c r="B282">
        <v>1</v>
      </c>
      <c r="D282" s="175">
        <v>45603</v>
      </c>
      <c r="E282" s="175">
        <v>45534</v>
      </c>
    </row>
    <row r="283" spans="1:5" x14ac:dyDescent="0.25">
      <c r="A283" t="s">
        <v>939</v>
      </c>
      <c r="B283">
        <v>1</v>
      </c>
      <c r="D283" s="175">
        <v>45603</v>
      </c>
      <c r="E283" s="175">
        <v>45534</v>
      </c>
    </row>
    <row r="284" spans="1:5" x14ac:dyDescent="0.25">
      <c r="A284" t="s">
        <v>940</v>
      </c>
      <c r="B284">
        <v>1</v>
      </c>
      <c r="D284" s="175">
        <v>45603</v>
      </c>
      <c r="E284" s="175">
        <v>45534</v>
      </c>
    </row>
    <row r="285" spans="1:5" x14ac:dyDescent="0.25">
      <c r="A285" t="s">
        <v>941</v>
      </c>
      <c r="B285">
        <v>1</v>
      </c>
      <c r="D285" s="175">
        <v>45603</v>
      </c>
      <c r="E285" s="175">
        <v>45534</v>
      </c>
    </row>
    <row r="286" spans="1:5" x14ac:dyDescent="0.25">
      <c r="A286" t="s">
        <v>942</v>
      </c>
      <c r="B286">
        <v>1</v>
      </c>
      <c r="D286" s="175">
        <v>45603</v>
      </c>
      <c r="E286" s="175">
        <v>45534</v>
      </c>
    </row>
    <row r="287" spans="1:5" x14ac:dyDescent="0.25">
      <c r="A287" t="s">
        <v>943</v>
      </c>
      <c r="B287">
        <v>1</v>
      </c>
      <c r="D287" s="175">
        <v>45603</v>
      </c>
      <c r="E287" s="175">
        <v>45534</v>
      </c>
    </row>
    <row r="288" spans="1:5" x14ac:dyDescent="0.25">
      <c r="A288" t="s">
        <v>944</v>
      </c>
      <c r="B288">
        <v>1</v>
      </c>
      <c r="D288" s="175">
        <v>45603</v>
      </c>
      <c r="E288" s="175">
        <v>45534</v>
      </c>
    </row>
    <row r="289" spans="1:4" x14ac:dyDescent="0.25">
      <c r="A289" t="s">
        <v>945</v>
      </c>
      <c r="B289">
        <v>1</v>
      </c>
      <c r="D289" s="175">
        <v>45603</v>
      </c>
    </row>
    <row r="290" spans="1:4" x14ac:dyDescent="0.25">
      <c r="A290" t="s">
        <v>946</v>
      </c>
      <c r="B290">
        <v>1</v>
      </c>
      <c r="D290" s="175">
        <v>45603</v>
      </c>
    </row>
    <row r="291" spans="1:4" x14ac:dyDescent="0.25">
      <c r="A291" t="s">
        <v>947</v>
      </c>
      <c r="B291">
        <v>1</v>
      </c>
      <c r="D291" s="175">
        <v>45603</v>
      </c>
    </row>
    <row r="292" spans="1:4" x14ac:dyDescent="0.25">
      <c r="A292" t="s">
        <v>948</v>
      </c>
      <c r="B292">
        <v>1</v>
      </c>
      <c r="D292" s="175">
        <v>45603</v>
      </c>
    </row>
    <row r="293" spans="1:4" x14ac:dyDescent="0.25">
      <c r="A293" t="s">
        <v>949</v>
      </c>
      <c r="B293">
        <v>1</v>
      </c>
      <c r="D293" s="175">
        <v>45603</v>
      </c>
    </row>
    <row r="294" spans="1:4" x14ac:dyDescent="0.25">
      <c r="A294" t="s">
        <v>950</v>
      </c>
      <c r="B294">
        <v>1</v>
      </c>
      <c r="D294" s="175">
        <v>45603</v>
      </c>
    </row>
    <row r="295" spans="1:4" x14ac:dyDescent="0.25">
      <c r="A295" t="s">
        <v>951</v>
      </c>
      <c r="B295">
        <v>1</v>
      </c>
      <c r="D295" s="175">
        <v>45603</v>
      </c>
    </row>
    <row r="296" spans="1:4" x14ac:dyDescent="0.25">
      <c r="A296" t="s">
        <v>952</v>
      </c>
      <c r="B296">
        <v>1</v>
      </c>
    </row>
    <row r="297" spans="1:4" x14ac:dyDescent="0.25">
      <c r="A297" t="s">
        <v>953</v>
      </c>
      <c r="B297">
        <v>1</v>
      </c>
    </row>
    <row r="298" spans="1:4" x14ac:dyDescent="0.25">
      <c r="A298" t="s">
        <v>954</v>
      </c>
      <c r="B298">
        <v>1</v>
      </c>
    </row>
    <row r="299" spans="1:4" x14ac:dyDescent="0.25">
      <c r="A299" t="s">
        <v>955</v>
      </c>
      <c r="B299">
        <v>1</v>
      </c>
    </row>
    <row r="300" spans="1:4" x14ac:dyDescent="0.25">
      <c r="A300" t="s">
        <v>956</v>
      </c>
      <c r="B300">
        <v>7</v>
      </c>
      <c r="C300" s="175">
        <v>45569</v>
      </c>
      <c r="D300" s="175">
        <v>45621</v>
      </c>
    </row>
    <row r="301" spans="1:4" x14ac:dyDescent="0.25">
      <c r="A301" t="s">
        <v>957</v>
      </c>
      <c r="B301">
        <v>7</v>
      </c>
      <c r="C301" s="175">
        <v>45569</v>
      </c>
      <c r="D301" s="175">
        <v>45621</v>
      </c>
    </row>
    <row r="302" spans="1:4" x14ac:dyDescent="0.25">
      <c r="A302" t="s">
        <v>958</v>
      </c>
      <c r="B302">
        <v>1</v>
      </c>
    </row>
    <row r="303" spans="1:4" x14ac:dyDescent="0.25">
      <c r="A303" t="s">
        <v>959</v>
      </c>
      <c r="B303">
        <v>7</v>
      </c>
      <c r="C303" s="175">
        <v>45569</v>
      </c>
      <c r="D303" s="175">
        <v>45621</v>
      </c>
    </row>
    <row r="304" spans="1:4" x14ac:dyDescent="0.25">
      <c r="A304" t="s">
        <v>960</v>
      </c>
      <c r="B304">
        <v>7</v>
      </c>
      <c r="C304" s="175">
        <v>45569</v>
      </c>
      <c r="D304" s="175">
        <v>45621</v>
      </c>
    </row>
    <row r="305" spans="1:5" x14ac:dyDescent="0.25">
      <c r="A305" t="s">
        <v>961</v>
      </c>
      <c r="B305">
        <v>1</v>
      </c>
      <c r="C305" s="175">
        <v>45604</v>
      </c>
      <c r="D305" s="175">
        <v>45600</v>
      </c>
      <c r="E305" s="175">
        <v>45601</v>
      </c>
    </row>
    <row r="306" spans="1:5" x14ac:dyDescent="0.25">
      <c r="A306" t="s">
        <v>962</v>
      </c>
      <c r="B306">
        <v>1</v>
      </c>
      <c r="C306" s="175">
        <v>45604</v>
      </c>
      <c r="D306" s="175">
        <v>45600</v>
      </c>
      <c r="E306" s="175">
        <v>45601</v>
      </c>
    </row>
    <row r="307" spans="1:5" x14ac:dyDescent="0.25">
      <c r="A307" t="s">
        <v>963</v>
      </c>
      <c r="B307">
        <v>1</v>
      </c>
      <c r="C307" s="175">
        <v>45569</v>
      </c>
      <c r="D307" s="175">
        <v>45600</v>
      </c>
      <c r="E307" s="175">
        <v>45601</v>
      </c>
    </row>
    <row r="308" spans="1:5" x14ac:dyDescent="0.25">
      <c r="A308" t="s">
        <v>964</v>
      </c>
      <c r="B308">
        <v>1</v>
      </c>
    </row>
    <row r="309" spans="1:5" x14ac:dyDescent="0.25">
      <c r="A309" t="s">
        <v>965</v>
      </c>
      <c r="B309">
        <v>1</v>
      </c>
      <c r="C309" s="175">
        <v>45604</v>
      </c>
      <c r="D309" s="175">
        <v>45600</v>
      </c>
      <c r="E309" s="175">
        <v>45601</v>
      </c>
    </row>
    <row r="310" spans="1:5" x14ac:dyDescent="0.25">
      <c r="A310" t="s">
        <v>966</v>
      </c>
      <c r="B310">
        <v>1</v>
      </c>
      <c r="C310" s="175">
        <v>45604</v>
      </c>
      <c r="D310" s="175">
        <v>45600</v>
      </c>
      <c r="E310" s="175">
        <v>45601</v>
      </c>
    </row>
    <row r="311" spans="1:5" x14ac:dyDescent="0.25">
      <c r="A311" t="s">
        <v>967</v>
      </c>
      <c r="B311">
        <v>1</v>
      </c>
    </row>
    <row r="312" spans="1:5" x14ac:dyDescent="0.25">
      <c r="A312" t="s">
        <v>968</v>
      </c>
      <c r="B312">
        <v>1</v>
      </c>
      <c r="C312" s="175">
        <v>45604</v>
      </c>
      <c r="D312" s="175">
        <v>45600</v>
      </c>
      <c r="E312" s="175">
        <v>45601</v>
      </c>
    </row>
    <row r="313" spans="1:5" x14ac:dyDescent="0.25">
      <c r="A313" t="s">
        <v>969</v>
      </c>
      <c r="B313">
        <v>1</v>
      </c>
      <c r="C313" s="175">
        <v>45604</v>
      </c>
      <c r="D313" s="175">
        <v>45600</v>
      </c>
      <c r="E313" s="175">
        <v>45601</v>
      </c>
    </row>
    <row r="314" spans="1:5" x14ac:dyDescent="0.25">
      <c r="A314" t="s">
        <v>970</v>
      </c>
      <c r="B314">
        <v>1</v>
      </c>
      <c r="C314" s="175">
        <v>45569</v>
      </c>
      <c r="D314" s="175">
        <v>45600</v>
      </c>
      <c r="E314" s="175">
        <v>45601</v>
      </c>
    </row>
    <row r="315" spans="1:5" x14ac:dyDescent="0.25">
      <c r="A315" t="s">
        <v>971</v>
      </c>
      <c r="B315">
        <v>2</v>
      </c>
      <c r="C315" s="175">
        <v>45561</v>
      </c>
      <c r="D315" s="175">
        <v>45614</v>
      </c>
      <c r="E315" s="175">
        <v>45615</v>
      </c>
    </row>
    <row r="316" spans="1:5" x14ac:dyDescent="0.25">
      <c r="A316" t="s">
        <v>972</v>
      </c>
      <c r="B316">
        <v>2</v>
      </c>
      <c r="C316" s="175">
        <v>45561</v>
      </c>
      <c r="D316" s="175">
        <v>45614</v>
      </c>
      <c r="E316" s="175">
        <v>45615</v>
      </c>
    </row>
    <row r="317" spans="1:5" x14ac:dyDescent="0.25">
      <c r="A317" t="s">
        <v>973</v>
      </c>
      <c r="B317">
        <v>2</v>
      </c>
      <c r="C317" s="175">
        <v>45561</v>
      </c>
      <c r="D317" s="175">
        <v>45614</v>
      </c>
      <c r="E317" s="175">
        <v>45615</v>
      </c>
    </row>
    <row r="318" spans="1:5" x14ac:dyDescent="0.25">
      <c r="A318" t="s">
        <v>974</v>
      </c>
      <c r="B318">
        <v>2</v>
      </c>
      <c r="C318" s="175">
        <v>45561</v>
      </c>
      <c r="D318" s="175">
        <v>45614</v>
      </c>
      <c r="E318" s="175">
        <v>45615</v>
      </c>
    </row>
    <row r="319" spans="1:5" x14ac:dyDescent="0.25">
      <c r="A319" t="s">
        <v>975</v>
      </c>
      <c r="B319">
        <v>2</v>
      </c>
      <c r="C319" s="175">
        <v>45561</v>
      </c>
      <c r="D319" s="175">
        <v>45614</v>
      </c>
      <c r="E319" s="175">
        <v>45615</v>
      </c>
    </row>
    <row r="320" spans="1:5" x14ac:dyDescent="0.25">
      <c r="A320" t="s">
        <v>976</v>
      </c>
      <c r="B320">
        <v>2</v>
      </c>
      <c r="C320" s="175">
        <v>45561</v>
      </c>
      <c r="D320" s="175">
        <v>45614</v>
      </c>
      <c r="E320" s="175">
        <v>45615</v>
      </c>
    </row>
    <row r="321" spans="1:5" x14ac:dyDescent="0.25">
      <c r="A321" t="s">
        <v>977</v>
      </c>
      <c r="B321">
        <v>2</v>
      </c>
      <c r="C321" s="175">
        <v>45561</v>
      </c>
      <c r="D321" s="175">
        <v>45614</v>
      </c>
      <c r="E321" s="175">
        <v>45615</v>
      </c>
    </row>
    <row r="322" spans="1:5" x14ac:dyDescent="0.25">
      <c r="A322" t="s">
        <v>978</v>
      </c>
      <c r="B322">
        <v>2</v>
      </c>
      <c r="C322" s="175">
        <v>45561</v>
      </c>
      <c r="D322" s="175">
        <v>45614</v>
      </c>
      <c r="E322" s="175">
        <v>45615</v>
      </c>
    </row>
    <row r="323" spans="1:5" x14ac:dyDescent="0.25">
      <c r="A323" t="s">
        <v>979</v>
      </c>
      <c r="B323">
        <v>2</v>
      </c>
      <c r="C323" s="175">
        <v>45561</v>
      </c>
      <c r="D323" s="175">
        <v>45614</v>
      </c>
      <c r="E323" s="175">
        <v>45615</v>
      </c>
    </row>
    <row r="324" spans="1:5" x14ac:dyDescent="0.25">
      <c r="A324" t="s">
        <v>980</v>
      </c>
      <c r="B324">
        <v>2</v>
      </c>
      <c r="C324" s="175">
        <v>45561</v>
      </c>
      <c r="D324" s="175">
        <v>45614</v>
      </c>
      <c r="E324" s="175">
        <v>45615</v>
      </c>
    </row>
    <row r="325" spans="1:5" x14ac:dyDescent="0.25">
      <c r="A325" t="s">
        <v>981</v>
      </c>
      <c r="B325">
        <v>2</v>
      </c>
      <c r="C325" s="175">
        <v>45561</v>
      </c>
      <c r="D325" s="175">
        <v>45614</v>
      </c>
      <c r="E325" s="175">
        <v>45615</v>
      </c>
    </row>
    <row r="326" spans="1:5" x14ac:dyDescent="0.25">
      <c r="A326" t="s">
        <v>982</v>
      </c>
      <c r="B326">
        <v>2</v>
      </c>
      <c r="C326" s="175">
        <v>45561</v>
      </c>
      <c r="D326" s="175">
        <v>45614</v>
      </c>
      <c r="E326" s="175">
        <v>45615</v>
      </c>
    </row>
    <row r="327" spans="1:5" x14ac:dyDescent="0.25">
      <c r="A327" t="s">
        <v>983</v>
      </c>
      <c r="B327">
        <v>2</v>
      </c>
      <c r="C327" s="175">
        <v>45561</v>
      </c>
      <c r="D327" s="175">
        <v>45614</v>
      </c>
      <c r="E327" s="175">
        <v>45615</v>
      </c>
    </row>
    <row r="328" spans="1:5" x14ac:dyDescent="0.25">
      <c r="A328" t="s">
        <v>984</v>
      </c>
      <c r="B328">
        <v>2</v>
      </c>
      <c r="C328" s="175">
        <v>45561</v>
      </c>
      <c r="D328" s="175">
        <v>45614</v>
      </c>
      <c r="E328" s="175">
        <v>45615</v>
      </c>
    </row>
    <row r="329" spans="1:5" x14ac:dyDescent="0.25">
      <c r="A329" t="s">
        <v>985</v>
      </c>
      <c r="B329">
        <v>2</v>
      </c>
      <c r="C329" s="175">
        <v>45561</v>
      </c>
      <c r="D329" s="175">
        <v>45614</v>
      </c>
      <c r="E329" s="175">
        <v>45615</v>
      </c>
    </row>
    <row r="330" spans="1:5" x14ac:dyDescent="0.25">
      <c r="A330" t="s">
        <v>986</v>
      </c>
      <c r="B330">
        <v>2</v>
      </c>
      <c r="C330" s="175">
        <v>45553</v>
      </c>
      <c r="D330" s="175">
        <v>45614</v>
      </c>
      <c r="E330" s="175">
        <v>45615</v>
      </c>
    </row>
    <row r="331" spans="1:5" x14ac:dyDescent="0.25">
      <c r="A331" t="s">
        <v>987</v>
      </c>
      <c r="B331">
        <v>2</v>
      </c>
      <c r="C331" s="175">
        <v>45553</v>
      </c>
      <c r="D331" s="175">
        <v>45614</v>
      </c>
      <c r="E331" s="175">
        <v>45615</v>
      </c>
    </row>
    <row r="332" spans="1:5" x14ac:dyDescent="0.25">
      <c r="A332" t="s">
        <v>988</v>
      </c>
      <c r="B332">
        <v>7</v>
      </c>
      <c r="C332" s="175">
        <v>45569</v>
      </c>
      <c r="D332" s="175">
        <v>45624</v>
      </c>
    </row>
    <row r="333" spans="1:5" x14ac:dyDescent="0.25">
      <c r="A333" t="s">
        <v>989</v>
      </c>
      <c r="B333">
        <v>7</v>
      </c>
      <c r="C333" s="175">
        <v>45569</v>
      </c>
      <c r="D333" s="175">
        <v>45624</v>
      </c>
    </row>
    <row r="334" spans="1:5" x14ac:dyDescent="0.25">
      <c r="A334" t="s">
        <v>990</v>
      </c>
      <c r="B334">
        <v>1</v>
      </c>
      <c r="C334" s="175">
        <v>45512</v>
      </c>
    </row>
    <row r="335" spans="1:5" x14ac:dyDescent="0.25">
      <c r="A335" t="s">
        <v>991</v>
      </c>
      <c r="B335">
        <v>2</v>
      </c>
      <c r="C335" s="175">
        <v>45569</v>
      </c>
      <c r="D335" s="175">
        <v>45614</v>
      </c>
      <c r="E335" s="175">
        <v>45615</v>
      </c>
    </row>
    <row r="336" spans="1:5" x14ac:dyDescent="0.25">
      <c r="A336" t="s">
        <v>992</v>
      </c>
      <c r="B336">
        <v>2</v>
      </c>
      <c r="C336" s="175">
        <v>45553</v>
      </c>
      <c r="D336" s="175">
        <v>45614</v>
      </c>
      <c r="E336" s="175">
        <v>45615</v>
      </c>
    </row>
    <row r="337" spans="1:5" x14ac:dyDescent="0.25">
      <c r="A337" t="s">
        <v>993</v>
      </c>
      <c r="B337">
        <v>2</v>
      </c>
      <c r="C337" s="175">
        <v>45553</v>
      </c>
      <c r="D337" s="175">
        <v>45614</v>
      </c>
      <c r="E337" s="175">
        <v>45615</v>
      </c>
    </row>
    <row r="338" spans="1:5" x14ac:dyDescent="0.25">
      <c r="A338" t="s">
        <v>994</v>
      </c>
      <c r="B338">
        <v>7</v>
      </c>
      <c r="C338" s="175">
        <v>45569</v>
      </c>
      <c r="D338" s="175">
        <v>45624</v>
      </c>
    </row>
    <row r="339" spans="1:5" x14ac:dyDescent="0.25">
      <c r="A339" t="s">
        <v>995</v>
      </c>
      <c r="B339">
        <v>7</v>
      </c>
      <c r="C339" s="175">
        <v>45569</v>
      </c>
      <c r="D339" s="175">
        <v>45624</v>
      </c>
    </row>
    <row r="340" spans="1:5" x14ac:dyDescent="0.25">
      <c r="A340" t="s">
        <v>996</v>
      </c>
      <c r="B340">
        <v>2</v>
      </c>
      <c r="C340" s="175">
        <v>45569</v>
      </c>
      <c r="D340" s="175">
        <v>45621</v>
      </c>
      <c r="E340" s="175">
        <v>45622</v>
      </c>
    </row>
    <row r="341" spans="1:5" x14ac:dyDescent="0.25">
      <c r="A341" t="s">
        <v>997</v>
      </c>
      <c r="B341">
        <v>2</v>
      </c>
      <c r="C341" s="175">
        <v>45569</v>
      </c>
      <c r="D341" s="175">
        <v>45621</v>
      </c>
      <c r="E341" s="175">
        <v>45622</v>
      </c>
    </row>
    <row r="342" spans="1:5" x14ac:dyDescent="0.25">
      <c r="A342" t="s">
        <v>998</v>
      </c>
      <c r="B342">
        <v>2</v>
      </c>
      <c r="C342" s="175">
        <v>45569</v>
      </c>
      <c r="D342" s="175">
        <v>45621</v>
      </c>
      <c r="E342" s="175">
        <v>45622</v>
      </c>
    </row>
    <row r="343" spans="1:5" x14ac:dyDescent="0.25">
      <c r="A343" t="s">
        <v>999</v>
      </c>
      <c r="B343">
        <v>1</v>
      </c>
    </row>
    <row r="344" spans="1:5" x14ac:dyDescent="0.25">
      <c r="A344" t="s">
        <v>1000</v>
      </c>
      <c r="B344">
        <v>2</v>
      </c>
      <c r="C344" s="175">
        <v>45569</v>
      </c>
      <c r="D344" s="175">
        <v>45621</v>
      </c>
      <c r="E344" s="175">
        <v>45622</v>
      </c>
    </row>
    <row r="345" spans="1:5" x14ac:dyDescent="0.25">
      <c r="A345" t="s">
        <v>1001</v>
      </c>
      <c r="B345">
        <v>2</v>
      </c>
      <c r="C345" s="175">
        <v>45569</v>
      </c>
      <c r="D345" s="175">
        <v>45621</v>
      </c>
      <c r="E345" s="175">
        <v>45622</v>
      </c>
    </row>
    <row r="346" spans="1:5" x14ac:dyDescent="0.25">
      <c r="A346" t="s">
        <v>1002</v>
      </c>
      <c r="B346">
        <v>2</v>
      </c>
      <c r="C346" s="175">
        <v>45569</v>
      </c>
      <c r="D346" s="175">
        <v>45621</v>
      </c>
      <c r="E346" s="175">
        <v>45622</v>
      </c>
    </row>
    <row r="347" spans="1:5" x14ac:dyDescent="0.25">
      <c r="A347" t="s">
        <v>1003</v>
      </c>
      <c r="B347">
        <v>1</v>
      </c>
    </row>
    <row r="348" spans="1:5" x14ac:dyDescent="0.25">
      <c r="A348" t="s">
        <v>1004</v>
      </c>
      <c r="B348">
        <v>1</v>
      </c>
    </row>
    <row r="349" spans="1:5" x14ac:dyDescent="0.25">
      <c r="A349" t="s">
        <v>1005</v>
      </c>
      <c r="B349">
        <v>1</v>
      </c>
    </row>
    <row r="350" spans="1:5" x14ac:dyDescent="0.25">
      <c r="A350" t="s">
        <v>1006</v>
      </c>
      <c r="B350">
        <v>1</v>
      </c>
    </row>
    <row r="351" spans="1:5" x14ac:dyDescent="0.25">
      <c r="A351" t="s">
        <v>1007</v>
      </c>
      <c r="B351">
        <v>1</v>
      </c>
    </row>
    <row r="352" spans="1:5" x14ac:dyDescent="0.25">
      <c r="A352" t="s">
        <v>1008</v>
      </c>
      <c r="B352">
        <v>1</v>
      </c>
      <c r="C352" s="175">
        <v>45559</v>
      </c>
      <c r="D352" s="175">
        <v>45607</v>
      </c>
      <c r="E352" s="175">
        <v>45608</v>
      </c>
    </row>
    <row r="353" spans="1:5" x14ac:dyDescent="0.25">
      <c r="A353" t="s">
        <v>1009</v>
      </c>
      <c r="B353">
        <v>2</v>
      </c>
      <c r="C353" s="175">
        <v>45560</v>
      </c>
      <c r="D353" s="175">
        <v>45607</v>
      </c>
      <c r="E353" s="175">
        <v>45608</v>
      </c>
    </row>
    <row r="354" spans="1:5" x14ac:dyDescent="0.25">
      <c r="A354" t="s">
        <v>1010</v>
      </c>
      <c r="B354">
        <v>6</v>
      </c>
      <c r="C354" s="175">
        <v>45621</v>
      </c>
      <c r="D354" s="175">
        <v>45607</v>
      </c>
      <c r="E354" s="175">
        <v>45608</v>
      </c>
    </row>
    <row r="355" spans="1:5" x14ac:dyDescent="0.25">
      <c r="A355" t="s">
        <v>1011</v>
      </c>
      <c r="B355">
        <v>6</v>
      </c>
      <c r="C355" s="175">
        <v>45621</v>
      </c>
      <c r="D355" s="175">
        <v>45607</v>
      </c>
      <c r="E355" s="175">
        <v>45608</v>
      </c>
    </row>
    <row r="356" spans="1:5" x14ac:dyDescent="0.25">
      <c r="A356" t="s">
        <v>1012</v>
      </c>
      <c r="B356">
        <v>1</v>
      </c>
      <c r="C356" s="175">
        <v>45569</v>
      </c>
      <c r="D356" s="175">
        <v>45607</v>
      </c>
      <c r="E356" s="175">
        <v>45608</v>
      </c>
    </row>
    <row r="357" spans="1:5" x14ac:dyDescent="0.25">
      <c r="A357" t="s">
        <v>1013</v>
      </c>
      <c r="B357">
        <v>1</v>
      </c>
    </row>
    <row r="358" spans="1:5" x14ac:dyDescent="0.25">
      <c r="A358" t="s">
        <v>1014</v>
      </c>
      <c r="B358">
        <v>6</v>
      </c>
      <c r="C358" s="175">
        <v>45621</v>
      </c>
      <c r="D358" s="175">
        <v>45607</v>
      </c>
      <c r="E358" s="175">
        <v>45608</v>
      </c>
    </row>
    <row r="359" spans="1:5" x14ac:dyDescent="0.25">
      <c r="A359" t="s">
        <v>1015</v>
      </c>
      <c r="B359">
        <v>6</v>
      </c>
      <c r="C359" s="175">
        <v>45621</v>
      </c>
      <c r="D359" s="175">
        <v>45607</v>
      </c>
      <c r="E359" s="175">
        <v>45608</v>
      </c>
    </row>
    <row r="360" spans="1:5" x14ac:dyDescent="0.25">
      <c r="A360" t="s">
        <v>1016</v>
      </c>
      <c r="B360">
        <v>1</v>
      </c>
      <c r="C360" s="175">
        <v>45569</v>
      </c>
      <c r="D360" s="175">
        <v>45607</v>
      </c>
      <c r="E360" s="175">
        <v>45608</v>
      </c>
    </row>
    <row r="361" spans="1:5" x14ac:dyDescent="0.25">
      <c r="A361" t="s">
        <v>1017</v>
      </c>
      <c r="B361">
        <v>1</v>
      </c>
    </row>
    <row r="362" spans="1:5" x14ac:dyDescent="0.25">
      <c r="A362" t="s">
        <v>1018</v>
      </c>
      <c r="B362">
        <v>1</v>
      </c>
    </row>
    <row r="363" spans="1:5" x14ac:dyDescent="0.25">
      <c r="A363" t="s">
        <v>1019</v>
      </c>
      <c r="B363">
        <v>1</v>
      </c>
    </row>
    <row r="364" spans="1:5" x14ac:dyDescent="0.25">
      <c r="A364" t="s">
        <v>1020</v>
      </c>
      <c r="B364">
        <v>7</v>
      </c>
      <c r="C364" s="175">
        <v>45563</v>
      </c>
      <c r="D364" s="175">
        <v>45624</v>
      </c>
    </row>
    <row r="365" spans="1:5" x14ac:dyDescent="0.25">
      <c r="A365" t="s">
        <v>1021</v>
      </c>
      <c r="B365">
        <v>7</v>
      </c>
      <c r="C365" s="175">
        <v>45563</v>
      </c>
      <c r="D365" s="175">
        <v>45624</v>
      </c>
    </row>
    <row r="366" spans="1:5" x14ac:dyDescent="0.25">
      <c r="A366" t="s">
        <v>1022</v>
      </c>
      <c r="B366">
        <v>7</v>
      </c>
      <c r="C366" s="175">
        <v>45563</v>
      </c>
      <c r="D366" s="175">
        <v>45624</v>
      </c>
    </row>
    <row r="367" spans="1:5" x14ac:dyDescent="0.25">
      <c r="A367" t="s">
        <v>1023</v>
      </c>
      <c r="B367">
        <v>7</v>
      </c>
      <c r="C367" s="175">
        <v>45563</v>
      </c>
      <c r="D367" s="175">
        <v>45624</v>
      </c>
    </row>
    <row r="368" spans="1:5" x14ac:dyDescent="0.25">
      <c r="A368" t="s">
        <v>1024</v>
      </c>
      <c r="B368">
        <v>7</v>
      </c>
      <c r="C368" s="175">
        <v>45563</v>
      </c>
      <c r="D368" s="175">
        <v>45624</v>
      </c>
    </row>
    <row r="369" spans="1:5" x14ac:dyDescent="0.25">
      <c r="A369" t="s">
        <v>1025</v>
      </c>
      <c r="B369">
        <v>7</v>
      </c>
      <c r="C369" s="175">
        <v>45563</v>
      </c>
      <c r="D369" s="175">
        <v>45624</v>
      </c>
    </row>
    <row r="370" spans="1:5" x14ac:dyDescent="0.25">
      <c r="A370" t="s">
        <v>1026</v>
      </c>
      <c r="B370">
        <v>7</v>
      </c>
      <c r="C370" s="175">
        <v>45562</v>
      </c>
      <c r="D370" s="175">
        <v>45624</v>
      </c>
    </row>
    <row r="371" spans="1:5" x14ac:dyDescent="0.25">
      <c r="A371" t="s">
        <v>1027</v>
      </c>
      <c r="B371">
        <v>7</v>
      </c>
      <c r="C371" s="175">
        <v>45563</v>
      </c>
      <c r="D371" s="175">
        <v>45624</v>
      </c>
    </row>
    <row r="372" spans="1:5" x14ac:dyDescent="0.25">
      <c r="A372" t="s">
        <v>1028</v>
      </c>
      <c r="B372">
        <v>7</v>
      </c>
      <c r="C372" s="175">
        <v>45563</v>
      </c>
      <c r="D372" s="175">
        <v>45624</v>
      </c>
    </row>
    <row r="373" spans="1:5" x14ac:dyDescent="0.25">
      <c r="A373" t="s">
        <v>1029</v>
      </c>
      <c r="B373">
        <v>7</v>
      </c>
      <c r="C373" s="175">
        <v>45563</v>
      </c>
      <c r="D373" s="175">
        <v>45624</v>
      </c>
    </row>
    <row r="374" spans="1:5" x14ac:dyDescent="0.25">
      <c r="A374" t="s">
        <v>1030</v>
      </c>
      <c r="B374">
        <v>7</v>
      </c>
      <c r="C374" s="175">
        <v>45563</v>
      </c>
      <c r="D374" s="175">
        <v>45624</v>
      </c>
    </row>
    <row r="375" spans="1:5" x14ac:dyDescent="0.25">
      <c r="A375" t="s">
        <v>1031</v>
      </c>
      <c r="B375">
        <v>0</v>
      </c>
      <c r="C375" s="175">
        <v>45562</v>
      </c>
    </row>
    <row r="376" spans="1:5" x14ac:dyDescent="0.25">
      <c r="A376" t="s">
        <v>1032</v>
      </c>
      <c r="B376">
        <v>1</v>
      </c>
    </row>
    <row r="377" spans="1:5" x14ac:dyDescent="0.25">
      <c r="A377" t="s">
        <v>1033</v>
      </c>
      <c r="B377">
        <v>7</v>
      </c>
      <c r="C377" s="175">
        <v>45561</v>
      </c>
      <c r="D377" s="175">
        <v>45624</v>
      </c>
    </row>
    <row r="378" spans="1:5" x14ac:dyDescent="0.25">
      <c r="A378" t="s">
        <v>1034</v>
      </c>
      <c r="B378">
        <v>7</v>
      </c>
      <c r="C378" s="175">
        <v>45561</v>
      </c>
      <c r="D378" s="175">
        <v>45624</v>
      </c>
    </row>
    <row r="379" spans="1:5" x14ac:dyDescent="0.25">
      <c r="A379" t="s">
        <v>1035</v>
      </c>
      <c r="B379">
        <v>1</v>
      </c>
      <c r="D379" s="175">
        <v>45603</v>
      </c>
    </row>
    <row r="380" spans="1:5" x14ac:dyDescent="0.25">
      <c r="A380" t="s">
        <v>1036</v>
      </c>
      <c r="B380">
        <v>1</v>
      </c>
      <c r="D380" s="175">
        <v>45603</v>
      </c>
    </row>
    <row r="381" spans="1:5" x14ac:dyDescent="0.25">
      <c r="A381" t="s">
        <v>1037</v>
      </c>
      <c r="B381">
        <v>1</v>
      </c>
      <c r="C381" s="175">
        <v>45563</v>
      </c>
      <c r="D381" s="175">
        <v>45603</v>
      </c>
      <c r="E381" s="175">
        <v>45604</v>
      </c>
    </row>
    <row r="382" spans="1:5" x14ac:dyDescent="0.25">
      <c r="A382" t="s">
        <v>1038</v>
      </c>
      <c r="B382">
        <v>1</v>
      </c>
      <c r="D382" s="175">
        <v>45603</v>
      </c>
    </row>
    <row r="383" spans="1:5" x14ac:dyDescent="0.25">
      <c r="A383" t="s">
        <v>1039</v>
      </c>
      <c r="B383">
        <v>1</v>
      </c>
      <c r="D383" s="175">
        <v>45603</v>
      </c>
    </row>
    <row r="384" spans="1:5" x14ac:dyDescent="0.25">
      <c r="A384" t="s">
        <v>1040</v>
      </c>
      <c r="B384">
        <v>1</v>
      </c>
      <c r="D384" s="175">
        <v>45603</v>
      </c>
    </row>
    <row r="385" spans="1:5" x14ac:dyDescent="0.25">
      <c r="A385" t="s">
        <v>1041</v>
      </c>
      <c r="B385">
        <v>1</v>
      </c>
      <c r="D385" s="175">
        <v>45603</v>
      </c>
    </row>
    <row r="386" spans="1:5" x14ac:dyDescent="0.25">
      <c r="A386" t="s">
        <v>1042</v>
      </c>
      <c r="B386">
        <v>1</v>
      </c>
      <c r="D386" s="175">
        <v>45603</v>
      </c>
    </row>
    <row r="387" spans="1:5" x14ac:dyDescent="0.25">
      <c r="A387" t="s">
        <v>1043</v>
      </c>
      <c r="B387">
        <v>1</v>
      </c>
      <c r="D387" s="175">
        <v>45603</v>
      </c>
    </row>
    <row r="388" spans="1:5" x14ac:dyDescent="0.25">
      <c r="A388" t="s">
        <v>1044</v>
      </c>
      <c r="B388">
        <v>1</v>
      </c>
      <c r="C388" s="175">
        <v>45563</v>
      </c>
      <c r="D388" s="175">
        <v>45603</v>
      </c>
      <c r="E388" s="175">
        <v>45604</v>
      </c>
    </row>
    <row r="389" spans="1:5" x14ac:dyDescent="0.25">
      <c r="A389" t="s">
        <v>1045</v>
      </c>
      <c r="B389">
        <v>1</v>
      </c>
      <c r="C389" s="175">
        <v>45563</v>
      </c>
      <c r="D389" s="175">
        <v>45603</v>
      </c>
      <c r="E389" s="175">
        <v>45604</v>
      </c>
    </row>
    <row r="390" spans="1:5" x14ac:dyDescent="0.25">
      <c r="A390" t="s">
        <v>1046</v>
      </c>
      <c r="B390">
        <v>1</v>
      </c>
      <c r="C390" s="175">
        <v>45563</v>
      </c>
      <c r="D390" s="175">
        <v>45603</v>
      </c>
      <c r="E390" s="175">
        <v>45604</v>
      </c>
    </row>
    <row r="391" spans="1:5" x14ac:dyDescent="0.25">
      <c r="A391" t="s">
        <v>1047</v>
      </c>
      <c r="B391">
        <v>1</v>
      </c>
      <c r="C391" s="175">
        <v>45561</v>
      </c>
      <c r="D391" s="175">
        <v>45603</v>
      </c>
      <c r="E391" s="175">
        <v>45604</v>
      </c>
    </row>
    <row r="392" spans="1:5" x14ac:dyDescent="0.25">
      <c r="A392" t="s">
        <v>1048</v>
      </c>
      <c r="B392">
        <v>1</v>
      </c>
      <c r="C392" s="175">
        <v>45561</v>
      </c>
      <c r="D392" s="175">
        <v>45603</v>
      </c>
      <c r="E392" s="175">
        <v>45604</v>
      </c>
    </row>
    <row r="393" spans="1:5" x14ac:dyDescent="0.25">
      <c r="A393" t="s">
        <v>1049</v>
      </c>
      <c r="B393">
        <v>1</v>
      </c>
      <c r="D393" s="175">
        <v>45603</v>
      </c>
    </row>
    <row r="394" spans="1:5" x14ac:dyDescent="0.25">
      <c r="A394" t="s">
        <v>1050</v>
      </c>
      <c r="B394">
        <v>1</v>
      </c>
      <c r="D394" s="175">
        <v>45603</v>
      </c>
    </row>
    <row r="395" spans="1:5" x14ac:dyDescent="0.25">
      <c r="A395" t="s">
        <v>1051</v>
      </c>
      <c r="B395">
        <v>1</v>
      </c>
      <c r="D395" s="175">
        <v>45603</v>
      </c>
    </row>
    <row r="396" spans="1:5" x14ac:dyDescent="0.25">
      <c r="A396" t="s">
        <v>1052</v>
      </c>
      <c r="B396">
        <v>1</v>
      </c>
      <c r="C396" s="175">
        <v>45563</v>
      </c>
      <c r="D396" s="175">
        <v>45603</v>
      </c>
      <c r="E396" s="175">
        <v>45604</v>
      </c>
    </row>
    <row r="397" spans="1:5" x14ac:dyDescent="0.25">
      <c r="A397" t="s">
        <v>1053</v>
      </c>
      <c r="B397">
        <v>1</v>
      </c>
      <c r="C397" s="175">
        <v>45563</v>
      </c>
      <c r="D397" s="175">
        <v>45603</v>
      </c>
      <c r="E397" s="175">
        <v>45604</v>
      </c>
    </row>
    <row r="398" spans="1:5" x14ac:dyDescent="0.25">
      <c r="A398" t="s">
        <v>1054</v>
      </c>
      <c r="B398">
        <v>1</v>
      </c>
      <c r="C398" s="175">
        <v>45563</v>
      </c>
      <c r="D398" s="175">
        <v>45603</v>
      </c>
      <c r="E398" s="175">
        <v>45604</v>
      </c>
    </row>
    <row r="399" spans="1:5" x14ac:dyDescent="0.25">
      <c r="A399" t="s">
        <v>1055</v>
      </c>
      <c r="B399">
        <v>0</v>
      </c>
      <c r="C399" s="175">
        <v>45561</v>
      </c>
    </row>
    <row r="400" spans="1:5" x14ac:dyDescent="0.25">
      <c r="A400" t="s">
        <v>1056</v>
      </c>
      <c r="B400">
        <v>5</v>
      </c>
      <c r="C400" s="175">
        <v>45563</v>
      </c>
      <c r="D400" s="175">
        <v>45603</v>
      </c>
      <c r="E400" s="175">
        <v>45604</v>
      </c>
    </row>
    <row r="401" spans="1:5" x14ac:dyDescent="0.25">
      <c r="A401" t="s">
        <v>1057</v>
      </c>
      <c r="B401">
        <v>1</v>
      </c>
      <c r="C401" s="175">
        <v>45563</v>
      </c>
      <c r="D401" s="175">
        <v>45603</v>
      </c>
      <c r="E401" s="175">
        <v>45604</v>
      </c>
    </row>
    <row r="402" spans="1:5" x14ac:dyDescent="0.25">
      <c r="A402" t="s">
        <v>1058</v>
      </c>
      <c r="B402">
        <v>1</v>
      </c>
      <c r="C402" s="175">
        <v>45563</v>
      </c>
      <c r="D402" s="175">
        <v>45603</v>
      </c>
      <c r="E402" s="175">
        <v>45604</v>
      </c>
    </row>
    <row r="403" spans="1:5" x14ac:dyDescent="0.25">
      <c r="A403" t="s">
        <v>1059</v>
      </c>
      <c r="B403">
        <v>1</v>
      </c>
      <c r="C403" s="175">
        <v>45563</v>
      </c>
      <c r="D403" s="175">
        <v>45603</v>
      </c>
      <c r="E403" s="175">
        <v>45604</v>
      </c>
    </row>
    <row r="404" spans="1:5" x14ac:dyDescent="0.25">
      <c r="A404" t="s">
        <v>1060</v>
      </c>
      <c r="B404">
        <v>1</v>
      </c>
      <c r="C404" s="175">
        <v>45563</v>
      </c>
      <c r="D404" s="175">
        <v>45603</v>
      </c>
      <c r="E404" s="175">
        <v>45604</v>
      </c>
    </row>
    <row r="405" spans="1:5" x14ac:dyDescent="0.25">
      <c r="A405" t="s">
        <v>1061</v>
      </c>
      <c r="B405">
        <v>0</v>
      </c>
      <c r="C405" s="175">
        <v>45561</v>
      </c>
    </row>
    <row r="406" spans="1:5" x14ac:dyDescent="0.25">
      <c r="A406" t="s">
        <v>1062</v>
      </c>
      <c r="B406">
        <v>1</v>
      </c>
      <c r="D406" s="175">
        <v>45603</v>
      </c>
    </row>
    <row r="407" spans="1:5" x14ac:dyDescent="0.25">
      <c r="A407" t="s">
        <v>1063</v>
      </c>
      <c r="B407">
        <v>1</v>
      </c>
      <c r="C407" s="175">
        <v>45563</v>
      </c>
      <c r="D407" s="175">
        <v>45603</v>
      </c>
      <c r="E407" s="175">
        <v>45604</v>
      </c>
    </row>
    <row r="408" spans="1:5" x14ac:dyDescent="0.25">
      <c r="A408" t="s">
        <v>1064</v>
      </c>
      <c r="B408">
        <v>1</v>
      </c>
      <c r="C408" s="175">
        <v>45563</v>
      </c>
      <c r="D408" s="175">
        <v>45603</v>
      </c>
      <c r="E408" s="175">
        <v>45604</v>
      </c>
    </row>
    <row r="409" spans="1:5" x14ac:dyDescent="0.25">
      <c r="A409" t="s">
        <v>1065</v>
      </c>
      <c r="B409">
        <v>1</v>
      </c>
      <c r="C409" s="175">
        <v>45563</v>
      </c>
      <c r="D409" s="175">
        <v>45603</v>
      </c>
      <c r="E409" s="175">
        <v>45604</v>
      </c>
    </row>
    <row r="410" spans="1:5" x14ac:dyDescent="0.25">
      <c r="A410" t="s">
        <v>1066</v>
      </c>
      <c r="B410">
        <v>1</v>
      </c>
    </row>
    <row r="411" spans="1:5" x14ac:dyDescent="0.25">
      <c r="A411" t="s">
        <v>1067</v>
      </c>
      <c r="B411">
        <v>0</v>
      </c>
    </row>
    <row r="412" spans="1:5" x14ac:dyDescent="0.25">
      <c r="A412" t="s">
        <v>1068</v>
      </c>
      <c r="B412">
        <v>1</v>
      </c>
    </row>
    <row r="413" spans="1:5" x14ac:dyDescent="0.25">
      <c r="A413" t="s">
        <v>1069</v>
      </c>
      <c r="B413">
        <v>1</v>
      </c>
    </row>
    <row r="414" spans="1:5" x14ac:dyDescent="0.25">
      <c r="A414" t="s">
        <v>1070</v>
      </c>
      <c r="B414">
        <v>1</v>
      </c>
    </row>
    <row r="415" spans="1:5" x14ac:dyDescent="0.25">
      <c r="A415" t="s">
        <v>1071</v>
      </c>
      <c r="B415">
        <v>1</v>
      </c>
    </row>
    <row r="416" spans="1:5" x14ac:dyDescent="0.25">
      <c r="A416" t="s">
        <v>1072</v>
      </c>
      <c r="B416">
        <v>1</v>
      </c>
    </row>
    <row r="417" spans="1:4" x14ac:dyDescent="0.25">
      <c r="A417" t="s">
        <v>1073</v>
      </c>
      <c r="B417">
        <v>1</v>
      </c>
    </row>
    <row r="418" spans="1:4" x14ac:dyDescent="0.25">
      <c r="A418" t="s">
        <v>1074</v>
      </c>
      <c r="B418">
        <v>1</v>
      </c>
    </row>
    <row r="419" spans="1:4" x14ac:dyDescent="0.25">
      <c r="A419" t="s">
        <v>1075</v>
      </c>
      <c r="B419">
        <v>1</v>
      </c>
    </row>
    <row r="420" spans="1:4" x14ac:dyDescent="0.25">
      <c r="A420" t="s">
        <v>1076</v>
      </c>
      <c r="B420">
        <v>1</v>
      </c>
    </row>
    <row r="421" spans="1:4" x14ac:dyDescent="0.25">
      <c r="A421" t="s">
        <v>1077</v>
      </c>
      <c r="B421">
        <v>1</v>
      </c>
    </row>
    <row r="422" spans="1:4" x14ac:dyDescent="0.25">
      <c r="A422" t="s">
        <v>1078</v>
      </c>
      <c r="B422">
        <v>1</v>
      </c>
    </row>
    <row r="423" spans="1:4" x14ac:dyDescent="0.25">
      <c r="A423" t="s">
        <v>1079</v>
      </c>
      <c r="B423">
        <v>1</v>
      </c>
    </row>
    <row r="424" spans="1:4" x14ac:dyDescent="0.25">
      <c r="A424" t="s">
        <v>1080</v>
      </c>
      <c r="B424">
        <v>1</v>
      </c>
    </row>
    <row r="425" spans="1:4" x14ac:dyDescent="0.25">
      <c r="A425" t="s">
        <v>1081</v>
      </c>
      <c r="B425">
        <v>1</v>
      </c>
    </row>
    <row r="426" spans="1:4" x14ac:dyDescent="0.25">
      <c r="A426" t="s">
        <v>1082</v>
      </c>
      <c r="B426">
        <v>0</v>
      </c>
    </row>
    <row r="427" spans="1:4" x14ac:dyDescent="0.25">
      <c r="A427" t="s">
        <v>1083</v>
      </c>
      <c r="B427">
        <v>1</v>
      </c>
      <c r="C427" s="175">
        <v>45512</v>
      </c>
      <c r="D427" s="175">
        <v>45526</v>
      </c>
    </row>
    <row r="428" spans="1:4" x14ac:dyDescent="0.25">
      <c r="A428" t="s">
        <v>1084</v>
      </c>
      <c r="B428">
        <v>1</v>
      </c>
    </row>
    <row r="429" spans="1:4" x14ac:dyDescent="0.25">
      <c r="A429" t="s">
        <v>1085</v>
      </c>
      <c r="B429">
        <v>1</v>
      </c>
    </row>
    <row r="430" spans="1:4" x14ac:dyDescent="0.25">
      <c r="A430" t="s">
        <v>1086</v>
      </c>
      <c r="B430">
        <v>1</v>
      </c>
    </row>
    <row r="431" spans="1:4" x14ac:dyDescent="0.25">
      <c r="A431" t="s">
        <v>1087</v>
      </c>
      <c r="B431">
        <v>0</v>
      </c>
    </row>
    <row r="432" spans="1:4" x14ac:dyDescent="0.25">
      <c r="A432" t="s">
        <v>1088</v>
      </c>
      <c r="B432">
        <v>0</v>
      </c>
    </row>
    <row r="433" spans="1:2" x14ac:dyDescent="0.25">
      <c r="A433" t="s">
        <v>1089</v>
      </c>
      <c r="B433">
        <v>1</v>
      </c>
    </row>
    <row r="434" spans="1:2" x14ac:dyDescent="0.25">
      <c r="A434" t="s">
        <v>1090</v>
      </c>
      <c r="B434">
        <v>0</v>
      </c>
    </row>
    <row r="435" spans="1:2" x14ac:dyDescent="0.25">
      <c r="A435" t="s">
        <v>1091</v>
      </c>
      <c r="B435">
        <v>1</v>
      </c>
    </row>
    <row r="436" spans="1:2" x14ac:dyDescent="0.25">
      <c r="A436" t="s">
        <v>1092</v>
      </c>
      <c r="B436">
        <v>1</v>
      </c>
    </row>
    <row r="437" spans="1:2" x14ac:dyDescent="0.25">
      <c r="A437" t="s">
        <v>1093</v>
      </c>
      <c r="B437">
        <v>1</v>
      </c>
    </row>
    <row r="438" spans="1:2" x14ac:dyDescent="0.25">
      <c r="A438" t="s">
        <v>1094</v>
      </c>
      <c r="B438">
        <v>1</v>
      </c>
    </row>
    <row r="439" spans="1:2" x14ac:dyDescent="0.25">
      <c r="A439" t="s">
        <v>1095</v>
      </c>
      <c r="B439">
        <v>1</v>
      </c>
    </row>
    <row r="440" spans="1:2" x14ac:dyDescent="0.25">
      <c r="A440" t="s">
        <v>1096</v>
      </c>
      <c r="B440">
        <v>1</v>
      </c>
    </row>
    <row r="441" spans="1:2" x14ac:dyDescent="0.25">
      <c r="A441" t="s">
        <v>1097</v>
      </c>
      <c r="B441">
        <v>1</v>
      </c>
    </row>
    <row r="442" spans="1:2" x14ac:dyDescent="0.25">
      <c r="A442" t="s">
        <v>1098</v>
      </c>
      <c r="B442">
        <v>1</v>
      </c>
    </row>
    <row r="443" spans="1:2" x14ac:dyDescent="0.25">
      <c r="A443" t="s">
        <v>1099</v>
      </c>
      <c r="B443">
        <v>1</v>
      </c>
    </row>
    <row r="444" spans="1:2" x14ac:dyDescent="0.25">
      <c r="A444" t="s">
        <v>1100</v>
      </c>
      <c r="B444">
        <v>7</v>
      </c>
    </row>
    <row r="445" spans="1:2" x14ac:dyDescent="0.25">
      <c r="A445" t="s">
        <v>1101</v>
      </c>
      <c r="B445">
        <v>7</v>
      </c>
    </row>
    <row r="446" spans="1:2" x14ac:dyDescent="0.25">
      <c r="A446" t="s">
        <v>1102</v>
      </c>
      <c r="B446">
        <v>1</v>
      </c>
    </row>
    <row r="447" spans="1:2" x14ac:dyDescent="0.25">
      <c r="A447" t="s">
        <v>1103</v>
      </c>
      <c r="B447">
        <v>1</v>
      </c>
    </row>
    <row r="448" spans="1:2" x14ac:dyDescent="0.25">
      <c r="A448" t="s">
        <v>1104</v>
      </c>
      <c r="B448">
        <v>1</v>
      </c>
    </row>
    <row r="449" spans="1:2" x14ac:dyDescent="0.25">
      <c r="A449" t="s">
        <v>1105</v>
      </c>
      <c r="B449">
        <v>7</v>
      </c>
    </row>
    <row r="450" spans="1:2" x14ac:dyDescent="0.25">
      <c r="A450" t="s">
        <v>1106</v>
      </c>
      <c r="B450">
        <v>1</v>
      </c>
    </row>
    <row r="451" spans="1:2" x14ac:dyDescent="0.25">
      <c r="A451" t="s">
        <v>1107</v>
      </c>
      <c r="B451">
        <v>7</v>
      </c>
    </row>
    <row r="452" spans="1:2" x14ac:dyDescent="0.25">
      <c r="A452" t="s">
        <v>1108</v>
      </c>
      <c r="B452">
        <v>7</v>
      </c>
    </row>
    <row r="453" spans="1:2" x14ac:dyDescent="0.25">
      <c r="A453" t="s">
        <v>1109</v>
      </c>
      <c r="B453">
        <v>1</v>
      </c>
    </row>
    <row r="454" spans="1:2" x14ac:dyDescent="0.25">
      <c r="A454" t="s">
        <v>1110</v>
      </c>
      <c r="B454">
        <v>1</v>
      </c>
    </row>
    <row r="455" spans="1:2" x14ac:dyDescent="0.25">
      <c r="A455" t="s">
        <v>1111</v>
      </c>
      <c r="B455">
        <v>1</v>
      </c>
    </row>
    <row r="456" spans="1:2" x14ac:dyDescent="0.25">
      <c r="A456" t="s">
        <v>1112</v>
      </c>
      <c r="B456">
        <v>7</v>
      </c>
    </row>
    <row r="457" spans="1:2" x14ac:dyDescent="0.25">
      <c r="A457" t="s">
        <v>1113</v>
      </c>
      <c r="B457">
        <v>1</v>
      </c>
    </row>
    <row r="458" spans="1:2" x14ac:dyDescent="0.25">
      <c r="A458" t="s">
        <v>1114</v>
      </c>
      <c r="B458">
        <v>1</v>
      </c>
    </row>
    <row r="459" spans="1:2" x14ac:dyDescent="0.25">
      <c r="A459" t="s">
        <v>1115</v>
      </c>
      <c r="B459">
        <v>1</v>
      </c>
    </row>
    <row r="460" spans="1:2" x14ac:dyDescent="0.25">
      <c r="A460" t="s">
        <v>1116</v>
      </c>
      <c r="B460">
        <v>7</v>
      </c>
    </row>
    <row r="461" spans="1:2" x14ac:dyDescent="0.25">
      <c r="A461" t="s">
        <v>1117</v>
      </c>
      <c r="B461">
        <v>1</v>
      </c>
    </row>
    <row r="462" spans="1:2" x14ac:dyDescent="0.25">
      <c r="A462" t="s">
        <v>1118</v>
      </c>
      <c r="B462">
        <v>1</v>
      </c>
    </row>
    <row r="463" spans="1:2" x14ac:dyDescent="0.25">
      <c r="A463" t="s">
        <v>1119</v>
      </c>
      <c r="B463">
        <v>1</v>
      </c>
    </row>
    <row r="464" spans="1:2" x14ac:dyDescent="0.25">
      <c r="A464" t="s">
        <v>1120</v>
      </c>
      <c r="B464">
        <v>7</v>
      </c>
    </row>
    <row r="465" spans="1:2" x14ac:dyDescent="0.25">
      <c r="A465" t="s">
        <v>1121</v>
      </c>
      <c r="B465">
        <v>7</v>
      </c>
    </row>
    <row r="466" spans="1:2" x14ac:dyDescent="0.25">
      <c r="A466" t="s">
        <v>1122</v>
      </c>
      <c r="B466">
        <v>1</v>
      </c>
    </row>
    <row r="467" spans="1:2" x14ac:dyDescent="0.25">
      <c r="A467" t="s">
        <v>1123</v>
      </c>
      <c r="B467">
        <v>7</v>
      </c>
    </row>
    <row r="468" spans="1:2" x14ac:dyDescent="0.25">
      <c r="A468" t="s">
        <v>1124</v>
      </c>
      <c r="B468">
        <v>7</v>
      </c>
    </row>
    <row r="469" spans="1:2" x14ac:dyDescent="0.25">
      <c r="A469" t="s">
        <v>1125</v>
      </c>
      <c r="B469">
        <v>7</v>
      </c>
    </row>
    <row r="470" spans="1:2" x14ac:dyDescent="0.25">
      <c r="A470" t="s">
        <v>1126</v>
      </c>
      <c r="B470">
        <v>7</v>
      </c>
    </row>
    <row r="471" spans="1:2" x14ac:dyDescent="0.25">
      <c r="A471" t="s">
        <v>1127</v>
      </c>
      <c r="B471">
        <v>1</v>
      </c>
    </row>
    <row r="472" spans="1:2" x14ac:dyDescent="0.25">
      <c r="A472" t="s">
        <v>1128</v>
      </c>
      <c r="B472">
        <v>1</v>
      </c>
    </row>
    <row r="473" spans="1:2" x14ac:dyDescent="0.25">
      <c r="A473" t="s">
        <v>1129</v>
      </c>
      <c r="B473">
        <v>7</v>
      </c>
    </row>
    <row r="474" spans="1:2" x14ac:dyDescent="0.25">
      <c r="A474" t="s">
        <v>1130</v>
      </c>
      <c r="B474">
        <v>7</v>
      </c>
    </row>
    <row r="475" spans="1:2" x14ac:dyDescent="0.25">
      <c r="A475" t="s">
        <v>1131</v>
      </c>
      <c r="B475">
        <v>1</v>
      </c>
    </row>
    <row r="476" spans="1:2" x14ac:dyDescent="0.25">
      <c r="A476" t="s">
        <v>1132</v>
      </c>
      <c r="B476">
        <v>7</v>
      </c>
    </row>
    <row r="477" spans="1:2" x14ac:dyDescent="0.25">
      <c r="A477" t="s">
        <v>1133</v>
      </c>
      <c r="B477">
        <v>7</v>
      </c>
    </row>
    <row r="478" spans="1:2" x14ac:dyDescent="0.25">
      <c r="A478" t="s">
        <v>1134</v>
      </c>
      <c r="B478">
        <v>1</v>
      </c>
    </row>
    <row r="479" spans="1:2" x14ac:dyDescent="0.25">
      <c r="A479" t="s">
        <v>1135</v>
      </c>
      <c r="B479">
        <v>1</v>
      </c>
    </row>
    <row r="480" spans="1:2" x14ac:dyDescent="0.25">
      <c r="A480" t="s">
        <v>1136</v>
      </c>
      <c r="B480">
        <v>1</v>
      </c>
    </row>
    <row r="481" spans="1:2" x14ac:dyDescent="0.25">
      <c r="A481" t="s">
        <v>1137</v>
      </c>
      <c r="B481">
        <v>1</v>
      </c>
    </row>
    <row r="482" spans="1:2" x14ac:dyDescent="0.25">
      <c r="A482" t="s">
        <v>1138</v>
      </c>
      <c r="B482">
        <v>1</v>
      </c>
    </row>
    <row r="483" spans="1:2" x14ac:dyDescent="0.25">
      <c r="A483" t="s">
        <v>1139</v>
      </c>
      <c r="B483">
        <v>1</v>
      </c>
    </row>
    <row r="484" spans="1:2" x14ac:dyDescent="0.25">
      <c r="A484" t="s">
        <v>1140</v>
      </c>
      <c r="B484">
        <v>1</v>
      </c>
    </row>
    <row r="485" spans="1:2" x14ac:dyDescent="0.25">
      <c r="A485" t="s">
        <v>1141</v>
      </c>
      <c r="B485">
        <v>1</v>
      </c>
    </row>
    <row r="486" spans="1:2" x14ac:dyDescent="0.25">
      <c r="A486" t="s">
        <v>1142</v>
      </c>
      <c r="B486">
        <v>1</v>
      </c>
    </row>
    <row r="487" spans="1:2" x14ac:dyDescent="0.25">
      <c r="A487" t="s">
        <v>1143</v>
      </c>
      <c r="B487">
        <v>1</v>
      </c>
    </row>
    <row r="488" spans="1:2" x14ac:dyDescent="0.25">
      <c r="A488" t="s">
        <v>1144</v>
      </c>
      <c r="B488">
        <v>7</v>
      </c>
    </row>
    <row r="489" spans="1:2" x14ac:dyDescent="0.25">
      <c r="A489" t="s">
        <v>1145</v>
      </c>
      <c r="B489">
        <v>1</v>
      </c>
    </row>
    <row r="490" spans="1:2" x14ac:dyDescent="0.25">
      <c r="A490" t="s">
        <v>1146</v>
      </c>
      <c r="B490">
        <v>1</v>
      </c>
    </row>
    <row r="491" spans="1:2" x14ac:dyDescent="0.25">
      <c r="A491" t="s">
        <v>1147</v>
      </c>
      <c r="B491">
        <v>1</v>
      </c>
    </row>
    <row r="492" spans="1:2" x14ac:dyDescent="0.25">
      <c r="A492" t="s">
        <v>1148</v>
      </c>
      <c r="B492">
        <v>7</v>
      </c>
    </row>
    <row r="493" spans="1:2" x14ac:dyDescent="0.25">
      <c r="A493" t="s">
        <v>1149</v>
      </c>
      <c r="B493">
        <v>7</v>
      </c>
    </row>
    <row r="494" spans="1:2" x14ac:dyDescent="0.25">
      <c r="A494" t="s">
        <v>1150</v>
      </c>
      <c r="B494">
        <v>1</v>
      </c>
    </row>
    <row r="495" spans="1:2" x14ac:dyDescent="0.25">
      <c r="A495" t="s">
        <v>1151</v>
      </c>
      <c r="B495">
        <v>1</v>
      </c>
    </row>
    <row r="496" spans="1:2" x14ac:dyDescent="0.25">
      <c r="A496" t="s">
        <v>1152</v>
      </c>
      <c r="B496">
        <v>1</v>
      </c>
    </row>
    <row r="497" spans="1:2" x14ac:dyDescent="0.25">
      <c r="A497" t="s">
        <v>1153</v>
      </c>
      <c r="B497">
        <v>1</v>
      </c>
    </row>
    <row r="498" spans="1:2" x14ac:dyDescent="0.25">
      <c r="A498" t="s">
        <v>1154</v>
      </c>
      <c r="B498">
        <v>7</v>
      </c>
    </row>
    <row r="499" spans="1:2" x14ac:dyDescent="0.25">
      <c r="A499" t="s">
        <v>1155</v>
      </c>
      <c r="B499">
        <v>1</v>
      </c>
    </row>
    <row r="500" spans="1:2" x14ac:dyDescent="0.25">
      <c r="A500" t="s">
        <v>1156</v>
      </c>
      <c r="B500">
        <v>1</v>
      </c>
    </row>
    <row r="501" spans="1:2" x14ac:dyDescent="0.25">
      <c r="A501" t="s">
        <v>1157</v>
      </c>
      <c r="B501">
        <v>1</v>
      </c>
    </row>
    <row r="502" spans="1:2" x14ac:dyDescent="0.25">
      <c r="A502" t="s">
        <v>1158</v>
      </c>
      <c r="B502">
        <v>7</v>
      </c>
    </row>
    <row r="503" spans="1:2" x14ac:dyDescent="0.25">
      <c r="A503" t="s">
        <v>1159</v>
      </c>
      <c r="B503">
        <v>1</v>
      </c>
    </row>
    <row r="504" spans="1:2" x14ac:dyDescent="0.25">
      <c r="A504" t="s">
        <v>1160</v>
      </c>
      <c r="B504">
        <v>1</v>
      </c>
    </row>
    <row r="505" spans="1:2" x14ac:dyDescent="0.25">
      <c r="A505" t="s">
        <v>1161</v>
      </c>
      <c r="B505">
        <v>1</v>
      </c>
    </row>
    <row r="506" spans="1:2" x14ac:dyDescent="0.25">
      <c r="A506" t="s">
        <v>1162</v>
      </c>
      <c r="B506">
        <v>1</v>
      </c>
    </row>
    <row r="507" spans="1:2" x14ac:dyDescent="0.25">
      <c r="A507" t="s">
        <v>1163</v>
      </c>
      <c r="B507">
        <v>1</v>
      </c>
    </row>
    <row r="508" spans="1:2" x14ac:dyDescent="0.25">
      <c r="A508" t="s">
        <v>1164</v>
      </c>
      <c r="B508">
        <v>1</v>
      </c>
    </row>
    <row r="509" spans="1:2" x14ac:dyDescent="0.25">
      <c r="A509" t="s">
        <v>1165</v>
      </c>
      <c r="B509">
        <v>1</v>
      </c>
    </row>
    <row r="510" spans="1:2" x14ac:dyDescent="0.25">
      <c r="A510" t="s">
        <v>1166</v>
      </c>
      <c r="B510">
        <v>1</v>
      </c>
    </row>
    <row r="511" spans="1:2" x14ac:dyDescent="0.25">
      <c r="A511" t="s">
        <v>1167</v>
      </c>
      <c r="B511">
        <v>1</v>
      </c>
    </row>
    <row r="512" spans="1:2" x14ac:dyDescent="0.25">
      <c r="A512" t="s">
        <v>1168</v>
      </c>
      <c r="B512">
        <v>1</v>
      </c>
    </row>
    <row r="513" spans="1:5" x14ac:dyDescent="0.25">
      <c r="A513" t="s">
        <v>1169</v>
      </c>
      <c r="B513">
        <v>1</v>
      </c>
    </row>
    <row r="514" spans="1:5" x14ac:dyDescent="0.25">
      <c r="A514" t="s">
        <v>1170</v>
      </c>
      <c r="B514">
        <v>1</v>
      </c>
    </row>
    <row r="515" spans="1:5" x14ac:dyDescent="0.25">
      <c r="A515" t="s">
        <v>1171</v>
      </c>
      <c r="B515">
        <v>1</v>
      </c>
    </row>
    <row r="516" spans="1:5" x14ac:dyDescent="0.25">
      <c r="A516" t="s">
        <v>1172</v>
      </c>
      <c r="B516">
        <v>1</v>
      </c>
    </row>
    <row r="517" spans="1:5" x14ac:dyDescent="0.25">
      <c r="A517" t="s">
        <v>1173</v>
      </c>
      <c r="B517">
        <v>1</v>
      </c>
    </row>
    <row r="518" spans="1:5" x14ac:dyDescent="0.25">
      <c r="A518" t="s">
        <v>1174</v>
      </c>
      <c r="B518">
        <v>1</v>
      </c>
    </row>
    <row r="519" spans="1:5" x14ac:dyDescent="0.25">
      <c r="A519" t="s">
        <v>1175</v>
      </c>
      <c r="B519">
        <v>1</v>
      </c>
    </row>
    <row r="520" spans="1:5" x14ac:dyDescent="0.25">
      <c r="A520" t="s">
        <v>1176</v>
      </c>
      <c r="B520">
        <v>1</v>
      </c>
    </row>
    <row r="521" spans="1:5" x14ac:dyDescent="0.25">
      <c r="A521" t="s">
        <v>1944</v>
      </c>
      <c r="B521">
        <v>7</v>
      </c>
    </row>
    <row r="522" spans="1:5" x14ac:dyDescent="0.25">
      <c r="A522" t="s">
        <v>1177</v>
      </c>
      <c r="B522">
        <v>0</v>
      </c>
    </row>
    <row r="523" spans="1:5" x14ac:dyDescent="0.25">
      <c r="A523" t="s">
        <v>1178</v>
      </c>
      <c r="B523">
        <v>1</v>
      </c>
    </row>
    <row r="524" spans="1:5" x14ac:dyDescent="0.25">
      <c r="A524" t="s">
        <v>1179</v>
      </c>
      <c r="B524">
        <v>1</v>
      </c>
    </row>
    <row r="525" spans="1:5" x14ac:dyDescent="0.25">
      <c r="A525" t="s">
        <v>1180</v>
      </c>
      <c r="B525">
        <v>1</v>
      </c>
      <c r="C525" s="175">
        <v>45491</v>
      </c>
      <c r="D525" s="175">
        <v>45495</v>
      </c>
      <c r="E525" s="175">
        <v>45495</v>
      </c>
    </row>
    <row r="526" spans="1:5" x14ac:dyDescent="0.25">
      <c r="A526" t="s">
        <v>1181</v>
      </c>
      <c r="B526">
        <v>1</v>
      </c>
    </row>
    <row r="527" spans="1:5" x14ac:dyDescent="0.25">
      <c r="A527" t="s">
        <v>1182</v>
      </c>
      <c r="B527">
        <v>1</v>
      </c>
    </row>
    <row r="528" spans="1:5" x14ac:dyDescent="0.25">
      <c r="A528" t="s">
        <v>1183</v>
      </c>
      <c r="B528">
        <v>1</v>
      </c>
      <c r="C528" s="175">
        <v>45491</v>
      </c>
      <c r="D528" s="175">
        <v>45495</v>
      </c>
      <c r="E528" s="175">
        <v>45495</v>
      </c>
    </row>
    <row r="529" spans="1:2" x14ac:dyDescent="0.25">
      <c r="A529" t="s">
        <v>1184</v>
      </c>
      <c r="B529">
        <v>1</v>
      </c>
    </row>
    <row r="530" spans="1:2" x14ac:dyDescent="0.25">
      <c r="A530" t="s">
        <v>1185</v>
      </c>
      <c r="B530">
        <v>1</v>
      </c>
    </row>
    <row r="531" spans="1:2" x14ac:dyDescent="0.25">
      <c r="A531" t="s">
        <v>1186</v>
      </c>
      <c r="B531">
        <v>1</v>
      </c>
    </row>
    <row r="532" spans="1:2" x14ac:dyDescent="0.25">
      <c r="A532" t="s">
        <v>1187</v>
      </c>
      <c r="B532">
        <v>1</v>
      </c>
    </row>
    <row r="533" spans="1:2" x14ac:dyDescent="0.25">
      <c r="A533" t="s">
        <v>1188</v>
      </c>
      <c r="B533">
        <v>1</v>
      </c>
    </row>
    <row r="534" spans="1:2" x14ac:dyDescent="0.25">
      <c r="A534" t="s">
        <v>1189</v>
      </c>
      <c r="B534">
        <v>1</v>
      </c>
    </row>
    <row r="535" spans="1:2" x14ac:dyDescent="0.25">
      <c r="A535" t="s">
        <v>1190</v>
      </c>
      <c r="B535">
        <v>1</v>
      </c>
    </row>
    <row r="536" spans="1:2" x14ac:dyDescent="0.25">
      <c r="A536" t="s">
        <v>1191</v>
      </c>
      <c r="B536">
        <v>1</v>
      </c>
    </row>
    <row r="537" spans="1:2" x14ac:dyDescent="0.25">
      <c r="A537" t="s">
        <v>1192</v>
      </c>
      <c r="B537">
        <v>1</v>
      </c>
    </row>
    <row r="538" spans="1:2" x14ac:dyDescent="0.25">
      <c r="A538" t="s">
        <v>1193</v>
      </c>
      <c r="B538">
        <v>0</v>
      </c>
    </row>
    <row r="539" spans="1:2" x14ac:dyDescent="0.25">
      <c r="A539" t="s">
        <v>1194</v>
      </c>
      <c r="B539">
        <v>1</v>
      </c>
    </row>
    <row r="540" spans="1:2" x14ac:dyDescent="0.25">
      <c r="A540" t="s">
        <v>1195</v>
      </c>
      <c r="B540">
        <v>1</v>
      </c>
    </row>
    <row r="541" spans="1:2" x14ac:dyDescent="0.25">
      <c r="A541" t="s">
        <v>1196</v>
      </c>
      <c r="B541">
        <v>1</v>
      </c>
    </row>
    <row r="542" spans="1:2" x14ac:dyDescent="0.25">
      <c r="A542" t="s">
        <v>1197</v>
      </c>
      <c r="B542">
        <v>1</v>
      </c>
    </row>
    <row r="543" spans="1:2" x14ac:dyDescent="0.25">
      <c r="A543" t="s">
        <v>1198</v>
      </c>
      <c r="B543">
        <v>1</v>
      </c>
    </row>
    <row r="544" spans="1:2" x14ac:dyDescent="0.25">
      <c r="A544" t="s">
        <v>1199</v>
      </c>
      <c r="B544">
        <v>1</v>
      </c>
    </row>
    <row r="545" spans="1:2" x14ac:dyDescent="0.25">
      <c r="A545" t="s">
        <v>1200</v>
      </c>
      <c r="B545">
        <v>1</v>
      </c>
    </row>
    <row r="546" spans="1:2" x14ac:dyDescent="0.25">
      <c r="A546" t="s">
        <v>1201</v>
      </c>
      <c r="B546">
        <v>1</v>
      </c>
    </row>
    <row r="547" spans="1:2" x14ac:dyDescent="0.25">
      <c r="A547" t="s">
        <v>1202</v>
      </c>
      <c r="B547">
        <v>1</v>
      </c>
    </row>
    <row r="548" spans="1:2" x14ac:dyDescent="0.25">
      <c r="A548" t="s">
        <v>1203</v>
      </c>
      <c r="B548">
        <v>1</v>
      </c>
    </row>
    <row r="549" spans="1:2" x14ac:dyDescent="0.25">
      <c r="A549" t="s">
        <v>1204</v>
      </c>
      <c r="B549">
        <v>1</v>
      </c>
    </row>
    <row r="550" spans="1:2" x14ac:dyDescent="0.25">
      <c r="A550" t="s">
        <v>1205</v>
      </c>
      <c r="B550">
        <v>1</v>
      </c>
    </row>
    <row r="551" spans="1:2" x14ac:dyDescent="0.25">
      <c r="A551" t="s">
        <v>1206</v>
      </c>
      <c r="B551">
        <v>1</v>
      </c>
    </row>
    <row r="552" spans="1:2" x14ac:dyDescent="0.25">
      <c r="A552" t="s">
        <v>1207</v>
      </c>
      <c r="B552">
        <v>1</v>
      </c>
    </row>
    <row r="553" spans="1:2" x14ac:dyDescent="0.25">
      <c r="A553" t="s">
        <v>1208</v>
      </c>
      <c r="B553">
        <v>0</v>
      </c>
    </row>
    <row r="554" spans="1:2" x14ac:dyDescent="0.25">
      <c r="A554" t="s">
        <v>1209</v>
      </c>
      <c r="B554">
        <v>1</v>
      </c>
    </row>
    <row r="555" spans="1:2" x14ac:dyDescent="0.25">
      <c r="A555" t="s">
        <v>1210</v>
      </c>
      <c r="B555">
        <v>1</v>
      </c>
    </row>
    <row r="556" spans="1:2" x14ac:dyDescent="0.25">
      <c r="A556" t="s">
        <v>1211</v>
      </c>
      <c r="B556">
        <v>1</v>
      </c>
    </row>
    <row r="557" spans="1:2" x14ac:dyDescent="0.25">
      <c r="A557" t="s">
        <v>1212</v>
      </c>
      <c r="B557">
        <v>0</v>
      </c>
    </row>
    <row r="558" spans="1:2" x14ac:dyDescent="0.25">
      <c r="A558" t="s">
        <v>1213</v>
      </c>
      <c r="B558">
        <v>1</v>
      </c>
    </row>
    <row r="559" spans="1:2" x14ac:dyDescent="0.25">
      <c r="A559" t="s">
        <v>1214</v>
      </c>
      <c r="B559">
        <v>1</v>
      </c>
    </row>
    <row r="560" spans="1:2" x14ac:dyDescent="0.25">
      <c r="A560" t="s">
        <v>1215</v>
      </c>
      <c r="B560">
        <v>0</v>
      </c>
    </row>
    <row r="561" spans="1:5" x14ac:dyDescent="0.25">
      <c r="A561" t="s">
        <v>1216</v>
      </c>
      <c r="B561">
        <v>1</v>
      </c>
    </row>
    <row r="562" spans="1:5" x14ac:dyDescent="0.25">
      <c r="A562" t="s">
        <v>1217</v>
      </c>
      <c r="B562">
        <v>1</v>
      </c>
    </row>
    <row r="563" spans="1:5" x14ac:dyDescent="0.25">
      <c r="A563" t="s">
        <v>1218</v>
      </c>
      <c r="B563">
        <v>1</v>
      </c>
    </row>
    <row r="564" spans="1:5" x14ac:dyDescent="0.25">
      <c r="A564" t="s">
        <v>1219</v>
      </c>
      <c r="B564">
        <v>1</v>
      </c>
    </row>
    <row r="565" spans="1:5" x14ac:dyDescent="0.25">
      <c r="A565" t="s">
        <v>1220</v>
      </c>
      <c r="B565">
        <v>1</v>
      </c>
    </row>
    <row r="566" spans="1:5" x14ac:dyDescent="0.25">
      <c r="A566" t="s">
        <v>1221</v>
      </c>
      <c r="B566">
        <v>1</v>
      </c>
    </row>
    <row r="567" spans="1:5" x14ac:dyDescent="0.25">
      <c r="A567" t="s">
        <v>1222</v>
      </c>
      <c r="B567">
        <v>1</v>
      </c>
    </row>
    <row r="568" spans="1:5" x14ac:dyDescent="0.25">
      <c r="A568" t="s">
        <v>1223</v>
      </c>
      <c r="B568">
        <v>1</v>
      </c>
    </row>
    <row r="569" spans="1:5" x14ac:dyDescent="0.25">
      <c r="A569" t="s">
        <v>1224</v>
      </c>
      <c r="B569">
        <v>1</v>
      </c>
    </row>
    <row r="570" spans="1:5" x14ac:dyDescent="0.25">
      <c r="A570" t="s">
        <v>1225</v>
      </c>
      <c r="B570">
        <v>1</v>
      </c>
    </row>
    <row r="571" spans="1:5" x14ac:dyDescent="0.25">
      <c r="A571" t="s">
        <v>1226</v>
      </c>
      <c r="B571">
        <v>1</v>
      </c>
    </row>
    <row r="572" spans="1:5" x14ac:dyDescent="0.25">
      <c r="A572" t="s">
        <v>1227</v>
      </c>
      <c r="B572">
        <v>7</v>
      </c>
      <c r="C572" s="175">
        <v>45621</v>
      </c>
      <c r="D572" s="175">
        <v>374342</v>
      </c>
      <c r="E572" s="175">
        <v>374329</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P121"/>
  <sheetViews>
    <sheetView showGridLines="0" zoomScale="85" zoomScaleNormal="85" workbookViewId="0">
      <selection activeCell="A3" sqref="A3"/>
    </sheetView>
  </sheetViews>
  <sheetFormatPr defaultRowHeight="13.8" x14ac:dyDescent="0.25"/>
  <cols>
    <col min="1" max="1" width="3.69921875" customWidth="1"/>
    <col min="2" max="2" width="34.5" bestFit="1" customWidth="1"/>
    <col min="3" max="3" width="15.8984375" bestFit="1" customWidth="1"/>
    <col min="4" max="4" width="11.69921875" bestFit="1" customWidth="1"/>
    <col min="5" max="5" width="12.19921875" bestFit="1" customWidth="1"/>
    <col min="6" max="6" width="14.296875" bestFit="1" customWidth="1"/>
    <col min="7" max="7" width="14.3984375" bestFit="1" customWidth="1"/>
    <col min="8" max="8" width="36.5" bestFit="1" customWidth="1"/>
    <col min="9" max="9" width="11" bestFit="1" customWidth="1"/>
    <col min="10"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2" ht="22.2" x14ac:dyDescent="0.55000000000000004">
      <c r="B2" s="127" t="s">
        <v>1228</v>
      </c>
      <c r="C2" s="11"/>
      <c r="D2" s="11"/>
      <c r="E2" s="11"/>
      <c r="F2" s="11"/>
      <c r="G2" s="11"/>
      <c r="H2" s="11"/>
      <c r="I2" s="11"/>
      <c r="J2" s="11"/>
      <c r="K2" s="11"/>
      <c r="L2" s="11"/>
    </row>
    <row r="5" spans="2:12" x14ac:dyDescent="0.25">
      <c r="B5" s="50" t="s">
        <v>8</v>
      </c>
      <c r="C5" t="s" vm="1">
        <v>26</v>
      </c>
    </row>
    <row r="6" spans="2:12" x14ac:dyDescent="0.25">
      <c r="B6" s="50" t="s">
        <v>9</v>
      </c>
      <c r="C6" t="s" vm="2">
        <v>1229</v>
      </c>
    </row>
    <row r="7" spans="2:12" x14ac:dyDescent="0.25">
      <c r="B7" s="50" t="s">
        <v>10</v>
      </c>
      <c r="C7" t="s" vm="3">
        <v>40</v>
      </c>
    </row>
    <row r="9" spans="2:12" x14ac:dyDescent="0.25">
      <c r="B9" s="50" t="s">
        <v>1230</v>
      </c>
      <c r="C9" s="50" t="s">
        <v>1231</v>
      </c>
    </row>
    <row r="10" spans="2:12" x14ac:dyDescent="0.25">
      <c r="B10" s="50" t="s">
        <v>1232</v>
      </c>
      <c r="C10" t="s">
        <v>613</v>
      </c>
      <c r="D10" t="s">
        <v>614</v>
      </c>
      <c r="E10" t="s">
        <v>619</v>
      </c>
      <c r="F10" t="s">
        <v>1227</v>
      </c>
    </row>
    <row r="11" spans="2:12" x14ac:dyDescent="0.25">
      <c r="B11" s="51" t="s">
        <v>74</v>
      </c>
      <c r="C11">
        <v>3</v>
      </c>
      <c r="D11">
        <v>17</v>
      </c>
      <c r="F11">
        <v>20</v>
      </c>
    </row>
    <row r="12" spans="2:12" x14ac:dyDescent="0.25">
      <c r="B12" s="51" t="s">
        <v>123</v>
      </c>
      <c r="D12">
        <v>50</v>
      </c>
      <c r="E12">
        <v>22</v>
      </c>
      <c r="F12">
        <v>72</v>
      </c>
    </row>
    <row r="13" spans="2:12" x14ac:dyDescent="0.25">
      <c r="B13" s="51" t="s">
        <v>94</v>
      </c>
      <c r="C13">
        <v>2</v>
      </c>
      <c r="D13">
        <v>30</v>
      </c>
      <c r="E13">
        <v>1</v>
      </c>
      <c r="F13">
        <v>33</v>
      </c>
    </row>
    <row r="14" spans="2:12" x14ac:dyDescent="0.25">
      <c r="B14" s="51" t="s">
        <v>88</v>
      </c>
      <c r="C14">
        <v>1</v>
      </c>
      <c r="D14">
        <v>14</v>
      </c>
      <c r="F14">
        <v>15</v>
      </c>
    </row>
    <row r="15" spans="2:12" x14ac:dyDescent="0.25">
      <c r="B15" s="51" t="s">
        <v>55</v>
      </c>
      <c r="C15">
        <v>4</v>
      </c>
      <c r="D15">
        <v>13</v>
      </c>
      <c r="F15">
        <v>17</v>
      </c>
    </row>
    <row r="16" spans="2:12" x14ac:dyDescent="0.25">
      <c r="B16" s="51" t="s">
        <v>37</v>
      </c>
      <c r="E16">
        <v>12</v>
      </c>
      <c r="F16">
        <v>12</v>
      </c>
    </row>
    <row r="17" spans="2:6" x14ac:dyDescent="0.25">
      <c r="B17" s="51" t="s">
        <v>1227</v>
      </c>
      <c r="C17">
        <v>10</v>
      </c>
      <c r="D17">
        <v>124</v>
      </c>
      <c r="E17">
        <v>35</v>
      </c>
      <c r="F17">
        <v>169</v>
      </c>
    </row>
    <row r="23" spans="2:6" x14ac:dyDescent="0.25">
      <c r="B23" s="50" t="s">
        <v>8</v>
      </c>
      <c r="C23" t="s" vm="1">
        <v>26</v>
      </c>
    </row>
    <row r="24" spans="2:6" x14ac:dyDescent="0.25">
      <c r="B24" s="50" t="s">
        <v>9</v>
      </c>
      <c r="C24" t="s" vm="2">
        <v>1229</v>
      </c>
    </row>
    <row r="25" spans="2:6" x14ac:dyDescent="0.25">
      <c r="B25" s="50" t="s">
        <v>10</v>
      </c>
      <c r="C25" t="s" vm="3">
        <v>40</v>
      </c>
    </row>
    <row r="27" spans="2:6" x14ac:dyDescent="0.25">
      <c r="B27" s="50" t="s">
        <v>1232</v>
      </c>
      <c r="C27" t="s">
        <v>1230</v>
      </c>
    </row>
    <row r="28" spans="2:6" x14ac:dyDescent="0.25">
      <c r="B28" s="51" t="s">
        <v>613</v>
      </c>
      <c r="C28">
        <v>10</v>
      </c>
    </row>
    <row r="29" spans="2:6" x14ac:dyDescent="0.25">
      <c r="B29" s="51" t="s">
        <v>614</v>
      </c>
      <c r="C29">
        <v>124</v>
      </c>
    </row>
    <row r="30" spans="2:6" x14ac:dyDescent="0.25">
      <c r="B30" s="51" t="s">
        <v>619</v>
      </c>
      <c r="C30">
        <v>35</v>
      </c>
    </row>
    <row r="31" spans="2:6" x14ac:dyDescent="0.25">
      <c r="B31" s="51" t="s">
        <v>1227</v>
      </c>
      <c r="C31">
        <v>169</v>
      </c>
    </row>
    <row r="42" spans="2:16" ht="22.2" x14ac:dyDescent="0.55000000000000004">
      <c r="B42" s="127" t="s">
        <v>635</v>
      </c>
      <c r="C42" s="11"/>
      <c r="D42" s="11"/>
      <c r="E42" s="11"/>
      <c r="F42" s="11"/>
      <c r="G42" s="11"/>
      <c r="H42" s="11"/>
      <c r="I42" s="11"/>
      <c r="J42" s="11"/>
      <c r="K42" s="11"/>
      <c r="L42" s="11"/>
      <c r="M42" s="11"/>
      <c r="N42" s="11"/>
      <c r="O42" s="11"/>
      <c r="P42" s="11"/>
    </row>
    <row r="44" spans="2:16" x14ac:dyDescent="0.25">
      <c r="B44" s="50" t="s">
        <v>8</v>
      </c>
      <c r="C44" t="s" vm="1">
        <v>26</v>
      </c>
    </row>
    <row r="45" spans="2:16" x14ac:dyDescent="0.25">
      <c r="B45" s="50" t="s">
        <v>9</v>
      </c>
      <c r="C45" t="s" vm="4">
        <v>1229</v>
      </c>
    </row>
    <row r="46" spans="2:16" x14ac:dyDescent="0.25">
      <c r="B46" s="50" t="s">
        <v>10</v>
      </c>
      <c r="C46" t="s" vm="3">
        <v>40</v>
      </c>
    </row>
    <row r="48" spans="2:16" x14ac:dyDescent="0.25">
      <c r="B48" s="50" t="s">
        <v>1230</v>
      </c>
      <c r="C48" s="50" t="s">
        <v>1231</v>
      </c>
    </row>
    <row r="49" spans="2:9" x14ac:dyDescent="0.25">
      <c r="B49" s="50" t="s">
        <v>1232</v>
      </c>
      <c r="C49" t="s">
        <v>613</v>
      </c>
      <c r="D49" t="s">
        <v>614</v>
      </c>
      <c r="E49" t="s">
        <v>1927</v>
      </c>
      <c r="F49" t="s">
        <v>616</v>
      </c>
      <c r="G49" t="s">
        <v>617</v>
      </c>
      <c r="H49" t="s">
        <v>619</v>
      </c>
      <c r="I49" t="s">
        <v>1227</v>
      </c>
    </row>
    <row r="50" spans="2:9" x14ac:dyDescent="0.25">
      <c r="B50" s="51" t="s">
        <v>182</v>
      </c>
      <c r="C50">
        <v>2</v>
      </c>
      <c r="D50">
        <v>27</v>
      </c>
      <c r="F50">
        <v>1</v>
      </c>
      <c r="I50">
        <v>30</v>
      </c>
    </row>
    <row r="51" spans="2:9" x14ac:dyDescent="0.25">
      <c r="B51" s="51" t="s">
        <v>334</v>
      </c>
      <c r="C51">
        <v>1</v>
      </c>
      <c r="D51">
        <v>1</v>
      </c>
      <c r="H51">
        <v>12</v>
      </c>
      <c r="I51">
        <v>14</v>
      </c>
    </row>
    <row r="52" spans="2:9" x14ac:dyDescent="0.25">
      <c r="B52" s="51" t="s">
        <v>332</v>
      </c>
      <c r="D52">
        <v>11</v>
      </c>
      <c r="G52">
        <v>4</v>
      </c>
      <c r="I52">
        <v>15</v>
      </c>
    </row>
    <row r="53" spans="2:9" x14ac:dyDescent="0.25">
      <c r="B53" s="51" t="s">
        <v>326</v>
      </c>
      <c r="D53">
        <v>2</v>
      </c>
      <c r="E53">
        <v>26</v>
      </c>
      <c r="H53">
        <v>4</v>
      </c>
      <c r="I53">
        <v>32</v>
      </c>
    </row>
    <row r="54" spans="2:9" x14ac:dyDescent="0.25">
      <c r="B54" s="51" t="s">
        <v>312</v>
      </c>
      <c r="D54">
        <v>14</v>
      </c>
      <c r="H54">
        <v>4</v>
      </c>
      <c r="I54">
        <v>18</v>
      </c>
    </row>
    <row r="55" spans="2:9" x14ac:dyDescent="0.25">
      <c r="B55" s="51" t="s">
        <v>217</v>
      </c>
      <c r="D55">
        <v>6</v>
      </c>
      <c r="I55">
        <v>6</v>
      </c>
    </row>
    <row r="56" spans="2:9" x14ac:dyDescent="0.25">
      <c r="B56" s="51" t="s">
        <v>216</v>
      </c>
      <c r="D56">
        <v>41</v>
      </c>
      <c r="I56">
        <v>41</v>
      </c>
    </row>
    <row r="57" spans="2:9" x14ac:dyDescent="0.25">
      <c r="B57" s="51" t="s">
        <v>214</v>
      </c>
      <c r="C57">
        <v>3</v>
      </c>
      <c r="D57">
        <v>6</v>
      </c>
      <c r="I57">
        <v>9</v>
      </c>
    </row>
    <row r="58" spans="2:9" x14ac:dyDescent="0.25">
      <c r="B58" s="51" t="s">
        <v>213</v>
      </c>
      <c r="D58">
        <v>17</v>
      </c>
      <c r="I58">
        <v>17</v>
      </c>
    </row>
    <row r="59" spans="2:9" x14ac:dyDescent="0.25">
      <c r="B59" s="51" t="s">
        <v>218</v>
      </c>
      <c r="D59">
        <v>17</v>
      </c>
      <c r="I59">
        <v>17</v>
      </c>
    </row>
    <row r="60" spans="2:9" x14ac:dyDescent="0.25">
      <c r="B60" s="51" t="s">
        <v>219</v>
      </c>
      <c r="C60">
        <v>7</v>
      </c>
      <c r="D60">
        <v>14</v>
      </c>
      <c r="I60">
        <v>21</v>
      </c>
    </row>
    <row r="61" spans="2:9" x14ac:dyDescent="0.25">
      <c r="B61" s="51" t="s">
        <v>220</v>
      </c>
      <c r="C61">
        <v>1</v>
      </c>
      <c r="D61">
        <v>17</v>
      </c>
      <c r="I61">
        <v>18</v>
      </c>
    </row>
    <row r="62" spans="2:9" x14ac:dyDescent="0.25">
      <c r="B62" s="51" t="s">
        <v>215</v>
      </c>
      <c r="D62">
        <v>7</v>
      </c>
      <c r="I62">
        <v>7</v>
      </c>
    </row>
    <row r="63" spans="2:9" x14ac:dyDescent="0.25">
      <c r="B63" s="51" t="s">
        <v>1227</v>
      </c>
      <c r="C63">
        <v>14</v>
      </c>
      <c r="D63">
        <v>180</v>
      </c>
      <c r="E63">
        <v>26</v>
      </c>
      <c r="F63">
        <v>1</v>
      </c>
      <c r="G63">
        <v>4</v>
      </c>
      <c r="H63">
        <v>20</v>
      </c>
      <c r="I63">
        <v>245</v>
      </c>
    </row>
    <row r="68" spans="2:3" x14ac:dyDescent="0.25">
      <c r="B68" s="50" t="s">
        <v>8</v>
      </c>
      <c r="C68" t="s" vm="1">
        <v>26</v>
      </c>
    </row>
    <row r="69" spans="2:3" x14ac:dyDescent="0.25">
      <c r="B69" s="50" t="s">
        <v>9</v>
      </c>
      <c r="C69" t="s" vm="4">
        <v>1229</v>
      </c>
    </row>
    <row r="70" spans="2:3" x14ac:dyDescent="0.25">
      <c r="B70" s="50" t="s">
        <v>10</v>
      </c>
      <c r="C70" t="s" vm="3">
        <v>40</v>
      </c>
    </row>
    <row r="72" spans="2:3" x14ac:dyDescent="0.25">
      <c r="B72" s="50" t="s">
        <v>1232</v>
      </c>
      <c r="C72" t="s">
        <v>1230</v>
      </c>
    </row>
    <row r="73" spans="2:3" x14ac:dyDescent="0.25">
      <c r="B73" s="51" t="s">
        <v>613</v>
      </c>
      <c r="C73">
        <v>14</v>
      </c>
    </row>
    <row r="74" spans="2:3" x14ac:dyDescent="0.25">
      <c r="B74" s="51" t="s">
        <v>614</v>
      </c>
      <c r="C74">
        <v>180</v>
      </c>
    </row>
    <row r="75" spans="2:3" x14ac:dyDescent="0.25">
      <c r="B75" s="51" t="s">
        <v>1927</v>
      </c>
      <c r="C75">
        <v>26</v>
      </c>
    </row>
    <row r="76" spans="2:3" x14ac:dyDescent="0.25">
      <c r="B76" s="51" t="s">
        <v>616</v>
      </c>
      <c r="C76">
        <v>1</v>
      </c>
    </row>
    <row r="77" spans="2:3" x14ac:dyDescent="0.25">
      <c r="B77" s="51" t="s">
        <v>617</v>
      </c>
      <c r="C77">
        <v>4</v>
      </c>
    </row>
    <row r="78" spans="2:3" x14ac:dyDescent="0.25">
      <c r="B78" s="51" t="s">
        <v>619</v>
      </c>
      <c r="C78">
        <v>20</v>
      </c>
    </row>
    <row r="79" spans="2:3" x14ac:dyDescent="0.25">
      <c r="B79" s="51" t="s">
        <v>1227</v>
      </c>
      <c r="C79">
        <v>245</v>
      </c>
    </row>
    <row r="87" spans="2:16" ht="22.2" x14ac:dyDescent="0.55000000000000004">
      <c r="B87" s="127" t="s">
        <v>644</v>
      </c>
      <c r="C87" s="11"/>
      <c r="D87" s="11"/>
      <c r="E87" s="11"/>
      <c r="F87" s="11"/>
      <c r="G87" s="11"/>
      <c r="H87" s="11"/>
      <c r="I87" s="11"/>
      <c r="J87" s="11"/>
      <c r="K87" s="11"/>
      <c r="L87" s="11"/>
      <c r="M87" s="11"/>
      <c r="N87" s="11"/>
      <c r="O87" s="11"/>
      <c r="P87" s="11"/>
    </row>
    <row r="88" spans="2:16" ht="22.2" x14ac:dyDescent="0.55000000000000004">
      <c r="B88" s="139"/>
    </row>
    <row r="90" spans="2:16" x14ac:dyDescent="0.25">
      <c r="B90" s="50" t="s">
        <v>8</v>
      </c>
      <c r="C90" t="s" vm="1">
        <v>26</v>
      </c>
    </row>
    <row r="91" spans="2:16" x14ac:dyDescent="0.25">
      <c r="B91" s="50" t="s">
        <v>9</v>
      </c>
      <c r="C91" t="s" vm="5">
        <v>26</v>
      </c>
    </row>
    <row r="92" spans="2:16" x14ac:dyDescent="0.25">
      <c r="B92" s="50" t="s">
        <v>10</v>
      </c>
      <c r="C92" t="s" vm="3">
        <v>40</v>
      </c>
    </row>
    <row r="94" spans="2:16" x14ac:dyDescent="0.25">
      <c r="B94" s="50" t="s">
        <v>1230</v>
      </c>
      <c r="C94" s="50" t="s">
        <v>1231</v>
      </c>
    </row>
    <row r="95" spans="2:16" x14ac:dyDescent="0.25">
      <c r="B95" s="50" t="s">
        <v>1232</v>
      </c>
      <c r="C95" t="s">
        <v>614</v>
      </c>
      <c r="D95" t="s">
        <v>1927</v>
      </c>
      <c r="E95" t="s">
        <v>615</v>
      </c>
      <c r="F95" t="s">
        <v>617</v>
      </c>
      <c r="G95" t="s">
        <v>619</v>
      </c>
      <c r="H95" t="s">
        <v>1227</v>
      </c>
    </row>
    <row r="96" spans="2:16" x14ac:dyDescent="0.25">
      <c r="B96" s="51" t="s">
        <v>380</v>
      </c>
      <c r="C96">
        <v>21</v>
      </c>
      <c r="D96">
        <v>2</v>
      </c>
      <c r="F96">
        <v>3</v>
      </c>
      <c r="G96">
        <v>4</v>
      </c>
      <c r="H96">
        <v>30</v>
      </c>
    </row>
    <row r="97" spans="2:8" x14ac:dyDescent="0.25">
      <c r="B97" s="51" t="s">
        <v>336</v>
      </c>
      <c r="C97">
        <v>12</v>
      </c>
      <c r="D97">
        <v>28</v>
      </c>
      <c r="E97">
        <v>2</v>
      </c>
      <c r="G97">
        <v>1</v>
      </c>
      <c r="H97">
        <v>43</v>
      </c>
    </row>
    <row r="98" spans="2:8" x14ac:dyDescent="0.25">
      <c r="B98" s="51" t="s">
        <v>369</v>
      </c>
      <c r="C98">
        <v>2</v>
      </c>
      <c r="D98">
        <v>7</v>
      </c>
      <c r="E98">
        <v>3</v>
      </c>
      <c r="G98">
        <v>12</v>
      </c>
      <c r="H98">
        <v>24</v>
      </c>
    </row>
    <row r="99" spans="2:8" x14ac:dyDescent="0.25">
      <c r="B99" s="51" t="s">
        <v>440</v>
      </c>
      <c r="C99">
        <v>5</v>
      </c>
      <c r="H99">
        <v>5</v>
      </c>
    </row>
    <row r="100" spans="2:8" x14ac:dyDescent="0.25">
      <c r="B100" s="51" t="s">
        <v>442</v>
      </c>
      <c r="C100">
        <v>5</v>
      </c>
      <c r="H100">
        <v>5</v>
      </c>
    </row>
    <row r="101" spans="2:8" x14ac:dyDescent="0.25">
      <c r="B101" s="51" t="s">
        <v>1955</v>
      </c>
      <c r="G101">
        <v>4</v>
      </c>
      <c r="H101">
        <v>4</v>
      </c>
    </row>
    <row r="102" spans="2:8" x14ac:dyDescent="0.25">
      <c r="B102" s="51" t="s">
        <v>393</v>
      </c>
      <c r="C102">
        <v>9</v>
      </c>
      <c r="H102">
        <v>9</v>
      </c>
    </row>
    <row r="103" spans="2:8" x14ac:dyDescent="0.25">
      <c r="B103" s="51" t="s">
        <v>1956</v>
      </c>
      <c r="C103">
        <v>15</v>
      </c>
      <c r="H103">
        <v>15</v>
      </c>
    </row>
    <row r="104" spans="2:8" x14ac:dyDescent="0.25">
      <c r="B104" s="51" t="s">
        <v>1227</v>
      </c>
      <c r="C104">
        <v>69</v>
      </c>
      <c r="D104">
        <v>37</v>
      </c>
      <c r="E104">
        <v>5</v>
      </c>
      <c r="F104">
        <v>3</v>
      </c>
      <c r="G104">
        <v>21</v>
      </c>
      <c r="H104">
        <v>135</v>
      </c>
    </row>
    <row r="108" spans="2:8" x14ac:dyDescent="0.25">
      <c r="B108" s="51"/>
    </row>
    <row r="109" spans="2:8" x14ac:dyDescent="0.25">
      <c r="B109" s="51"/>
    </row>
    <row r="111" spans="2:8" x14ac:dyDescent="0.25">
      <c r="B111" s="50" t="s">
        <v>8</v>
      </c>
      <c r="C111" t="s" vm="1">
        <v>26</v>
      </c>
    </row>
    <row r="112" spans="2:8" x14ac:dyDescent="0.25">
      <c r="B112" s="50" t="s">
        <v>9</v>
      </c>
      <c r="C112" t="s" vm="5">
        <v>26</v>
      </c>
    </row>
    <row r="113" spans="2:3" x14ac:dyDescent="0.25">
      <c r="B113" s="50" t="s">
        <v>10</v>
      </c>
      <c r="C113" t="s" vm="3">
        <v>40</v>
      </c>
    </row>
    <row r="115" spans="2:3" x14ac:dyDescent="0.25">
      <c r="B115" s="50" t="s">
        <v>1232</v>
      </c>
      <c r="C115" t="s">
        <v>1230</v>
      </c>
    </row>
    <row r="116" spans="2:3" x14ac:dyDescent="0.25">
      <c r="B116" s="51" t="s">
        <v>614</v>
      </c>
      <c r="C116">
        <v>69</v>
      </c>
    </row>
    <row r="117" spans="2:3" x14ac:dyDescent="0.25">
      <c r="B117" s="51" t="s">
        <v>619</v>
      </c>
      <c r="C117">
        <v>21</v>
      </c>
    </row>
    <row r="118" spans="2:3" x14ac:dyDescent="0.25">
      <c r="B118" s="51" t="s">
        <v>615</v>
      </c>
      <c r="C118">
        <v>5</v>
      </c>
    </row>
    <row r="119" spans="2:3" x14ac:dyDescent="0.25">
      <c r="B119" s="51" t="s">
        <v>1927</v>
      </c>
      <c r="C119">
        <v>37</v>
      </c>
    </row>
    <row r="120" spans="2:3" x14ac:dyDescent="0.25">
      <c r="B120" s="51" t="s">
        <v>617</v>
      </c>
      <c r="C120">
        <v>3</v>
      </c>
    </row>
    <row r="121" spans="2:3" x14ac:dyDescent="0.25">
      <c r="B121" s="51" t="s">
        <v>1227</v>
      </c>
      <c r="C121">
        <v>135</v>
      </c>
    </row>
  </sheetData>
  <pageMargins left="0.7" right="0.7" top="0.75" bottom="0.75" header="0.3" footer="0.3"/>
  <pageSetup paperSize="9" orientation="portrait"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
    <tabColor theme="5" tint="-0.249977111117893"/>
  </sheetPr>
  <dimension ref="A1:AS1320"/>
  <sheetViews>
    <sheetView showGridLines="0" topLeftCell="C1" zoomScale="70" zoomScaleNormal="70" workbookViewId="0">
      <selection activeCell="G27" sqref="G27"/>
    </sheetView>
  </sheetViews>
  <sheetFormatPr defaultRowHeight="13.8" x14ac:dyDescent="0.25"/>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x14ac:dyDescent="0.25">
      <c r="AG1" s="11"/>
      <c r="AH1" s="11"/>
      <c r="AI1" s="11"/>
      <c r="AJ1" s="11"/>
      <c r="AK1" s="11"/>
      <c r="AL1" s="11"/>
      <c r="AM1" s="11"/>
      <c r="AN1" s="11"/>
      <c r="AO1" s="11"/>
      <c r="AP1" s="11"/>
      <c r="AS1" s="11"/>
    </row>
    <row r="2" spans="1:45" x14ac:dyDescent="0.2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x14ac:dyDescent="0.2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x14ac:dyDescent="0.2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x14ac:dyDescent="0.25">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x14ac:dyDescent="0.25">
      <c r="N7" t="s">
        <v>1233</v>
      </c>
      <c r="R7" t="s">
        <v>1234</v>
      </c>
    </row>
    <row r="8" spans="1:45" ht="15" customHeight="1" x14ac:dyDescent="0.25">
      <c r="B8" s="201" t="s">
        <v>8</v>
      </c>
      <c r="C8" s="201" t="s">
        <v>9</v>
      </c>
      <c r="D8" s="200" t="s">
        <v>119</v>
      </c>
      <c r="E8" s="200" t="s">
        <v>1235</v>
      </c>
      <c r="F8" s="204" t="s">
        <v>11</v>
      </c>
      <c r="G8" s="200" t="s">
        <v>12</v>
      </c>
      <c r="H8" s="202" t="s">
        <v>674</v>
      </c>
      <c r="I8" s="203" t="s">
        <v>13</v>
      </c>
      <c r="J8" s="203" t="s">
        <v>14</v>
      </c>
      <c r="K8" s="200" t="s">
        <v>1236</v>
      </c>
      <c r="L8" s="200" t="s">
        <v>1237</v>
      </c>
      <c r="M8" s="200" t="s">
        <v>1238</v>
      </c>
      <c r="N8" s="200" t="s">
        <v>1239</v>
      </c>
      <c r="O8" s="200" t="s">
        <v>1240</v>
      </c>
      <c r="P8" s="200" t="s">
        <v>1241</v>
      </c>
      <c r="Q8" s="200" t="s">
        <v>1242</v>
      </c>
      <c r="R8" s="200" t="s">
        <v>1243</v>
      </c>
      <c r="S8" s="200" t="s">
        <v>1244</v>
      </c>
      <c r="T8" s="200" t="s">
        <v>1245</v>
      </c>
      <c r="U8" s="200" t="s">
        <v>1246</v>
      </c>
      <c r="V8" s="200" t="s">
        <v>1247</v>
      </c>
      <c r="W8" s="200" t="s">
        <v>17</v>
      </c>
      <c r="X8" s="200" t="s">
        <v>1248</v>
      </c>
    </row>
    <row r="9" spans="1:45" ht="17.7" customHeight="1" x14ac:dyDescent="0.45">
      <c r="B9" s="2" t="s">
        <v>26</v>
      </c>
      <c r="C9" s="2" t="s">
        <v>34</v>
      </c>
      <c r="D9" s="2" t="s">
        <v>1262</v>
      </c>
      <c r="E9" s="2" t="s">
        <v>38</v>
      </c>
      <c r="F9" s="2" t="s">
        <v>37</v>
      </c>
      <c r="G9" s="2" t="s">
        <v>38</v>
      </c>
      <c r="H9" s="57" t="str">
        <f>Table1[[#This Row],[Tabela]]&amp;Table1[[#This Row],[Campo]]</f>
        <v>ENERGY_CERTIFICATE_EST_INPUTn.a.</v>
      </c>
      <c r="I9" s="2" t="s">
        <v>619</v>
      </c>
      <c r="J9" s="43">
        <f>VLOOKUP(Table1[[#This Row],[Status]],Auxiliar!$B$16:$C$24,2,0)</f>
        <v>7</v>
      </c>
      <c r="K9" s="2" t="s">
        <v>1249</v>
      </c>
      <c r="L9" s="2" t="s">
        <v>1258</v>
      </c>
      <c r="M9" s="21" t="s">
        <v>1259</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9"/>
      <c r="Y9" s="173"/>
      <c r="Z9" s="26"/>
      <c r="AA9" s="26"/>
      <c r="AB9" s="26"/>
      <c r="AC9" s="26"/>
      <c r="AD9" s="26"/>
    </row>
    <row r="10" spans="1:45" ht="17.7" customHeight="1" x14ac:dyDescent="0.45">
      <c r="B10" s="2" t="s">
        <v>26</v>
      </c>
      <c r="C10" s="2" t="s">
        <v>34</v>
      </c>
      <c r="D10" s="2" t="s">
        <v>1262</v>
      </c>
      <c r="E10" s="2" t="s">
        <v>38</v>
      </c>
      <c r="F10" s="2" t="s">
        <v>37</v>
      </c>
      <c r="G10" s="2" t="s">
        <v>41</v>
      </c>
      <c r="H10" s="57" t="str">
        <f>Table1[[#This Row],[Tabela]]&amp;Table1[[#This Row],[Campo]]</f>
        <v>ENERGY_CERTIFICATE_EST_INPUTPROPERTY_BANK_ID</v>
      </c>
      <c r="I10" s="2" t="s">
        <v>619</v>
      </c>
      <c r="J10" s="43">
        <f>VLOOKUP(Table1[[#This Row],[Status]],Auxiliar!$B$16:$C$24,2,0)</f>
        <v>7</v>
      </c>
      <c r="K10" s="2" t="s">
        <v>1255</v>
      </c>
      <c r="L10" s="29" t="s">
        <v>1250</v>
      </c>
      <c r="M10" s="21" t="s">
        <v>1259</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9"/>
      <c r="Y10" s="173"/>
      <c r="Z10" s="26"/>
      <c r="AA10" s="26"/>
      <c r="AB10" s="26"/>
      <c r="AC10" s="26"/>
      <c r="AD10" s="26"/>
    </row>
    <row r="11" spans="1:45" ht="17.7" customHeight="1" x14ac:dyDescent="0.45">
      <c r="B11" s="2" t="s">
        <v>26</v>
      </c>
      <c r="C11" s="2" t="s">
        <v>34</v>
      </c>
      <c r="D11" s="2" t="s">
        <v>1262</v>
      </c>
      <c r="E11" s="2" t="s">
        <v>38</v>
      </c>
      <c r="F11" s="2" t="s">
        <v>37</v>
      </c>
      <c r="G11" s="2" t="s">
        <v>41</v>
      </c>
      <c r="H11" s="57" t="str">
        <f>Table1[[#This Row],[Tabela]]&amp;Table1[[#This Row],[Campo]]</f>
        <v>ENERGY_CERTIFICATE_EST_INPUTPROPERTY_BANK_ID</v>
      </c>
      <c r="I11" s="2" t="s">
        <v>619</v>
      </c>
      <c r="J11" s="43">
        <f>VLOOKUP(Table1[[#This Row],[Status]],Auxiliar!$B$16:$C$24,2,0)</f>
        <v>7</v>
      </c>
      <c r="K11" s="2" t="s">
        <v>1263</v>
      </c>
      <c r="L11" s="29" t="s">
        <v>1250</v>
      </c>
      <c r="M11" s="21" t="s">
        <v>1259</v>
      </c>
      <c r="N11" s="48">
        <v>45485</v>
      </c>
      <c r="O11" s="21">
        <f>INDEX(Auxiliar!$D$5:$F$13,MATCH(Table1[[#This Row],[Tipologia_Testes]],Auxiliar!$B$5:$B$13,0),MATCH(Table1[[#This Row],[Complexidade]],Auxiliar!$D$4:$F$4,0))</f>
        <v>0.5</v>
      </c>
      <c r="P11" s="2" t="s">
        <v>1264</v>
      </c>
      <c r="Q11" s="2"/>
      <c r="R11" s="152">
        <v>45261</v>
      </c>
      <c r="S11" s="152"/>
      <c r="T11" s="152">
        <v>45510</v>
      </c>
      <c r="U11" s="152">
        <v>45624</v>
      </c>
      <c r="V11" s="152"/>
      <c r="W11" s="2">
        <f>VLOOKUP(Table1[[#This Row],[Status]],Auxiliar!$B$16:$D$24,3,0)*Table1[[#This Row],[Estimação (horas)]]</f>
        <v>0.125</v>
      </c>
      <c r="X11" s="169"/>
      <c r="Y11" s="173"/>
      <c r="Z11" s="26"/>
      <c r="AA11" s="26"/>
      <c r="AB11" s="26"/>
      <c r="AC11" s="26"/>
      <c r="AD11" s="26"/>
    </row>
    <row r="12" spans="1:45" ht="69.599999999999994" customHeight="1" x14ac:dyDescent="0.25">
      <c r="B12" s="2" t="s">
        <v>26</v>
      </c>
      <c r="C12" s="2" t="s">
        <v>34</v>
      </c>
      <c r="D12" s="2" t="s">
        <v>1262</v>
      </c>
      <c r="E12" s="2" t="s">
        <v>38</v>
      </c>
      <c r="F12" s="2" t="s">
        <v>37</v>
      </c>
      <c r="G12" s="2" t="s">
        <v>42</v>
      </c>
      <c r="H12" s="57" t="str">
        <f>Table1[[#This Row],[Tabela]]&amp;Table1[[#This Row],[Campo]]</f>
        <v>ENERGY_CERTIFICATE_EST_INPUTENCRYPTED_KEY</v>
      </c>
      <c r="I12" s="2" t="s">
        <v>619</v>
      </c>
      <c r="J12" s="43">
        <f>VLOOKUP(Table1[[#This Row],[Status]],Auxiliar!$B$16:$C$24,2,0)</f>
        <v>7</v>
      </c>
      <c r="K12" s="2" t="s">
        <v>1255</v>
      </c>
      <c r="L12" s="29" t="s">
        <v>1250</v>
      </c>
      <c r="M12" s="21" t="s">
        <v>1259</v>
      </c>
      <c r="N12" s="48">
        <v>45485</v>
      </c>
      <c r="O12" s="21">
        <f>INDEX(Auxiliar!$D$5:$F$13,MATCH(Table1[[#This Row],[Tipologia_Testes]],Auxiliar!$B$5:$B$13,0),MATCH(Table1[[#This Row],[Complexidade]],Auxiliar!$D$4:$F$4,0))</f>
        <v>0.1</v>
      </c>
      <c r="P12" s="49" t="s">
        <v>1265</v>
      </c>
      <c r="Q12" s="33"/>
      <c r="R12" s="152">
        <v>45261</v>
      </c>
      <c r="S12" s="152"/>
      <c r="T12" s="152">
        <v>45510</v>
      </c>
      <c r="U12" s="152">
        <v>45624</v>
      </c>
      <c r="V12" s="152"/>
      <c r="W12" s="2">
        <f>VLOOKUP(Table1[[#This Row],[Status]],Auxiliar!$B$16:$D$24,3,0)*Table1[[#This Row],[Estimação (horas)]]</f>
        <v>2.5000000000000001E-2</v>
      </c>
      <c r="X12" s="170"/>
      <c r="Y12" s="174"/>
      <c r="Z12" s="172"/>
      <c r="AA12" s="172"/>
      <c r="AB12" s="172"/>
      <c r="AC12" s="172"/>
      <c r="AD12" s="172"/>
    </row>
    <row r="13" spans="1:45" ht="69.599999999999994" customHeight="1" x14ac:dyDescent="0.25">
      <c r="B13" s="2" t="s">
        <v>26</v>
      </c>
      <c r="C13" s="2" t="s">
        <v>34</v>
      </c>
      <c r="D13" s="2" t="s">
        <v>1262</v>
      </c>
      <c r="E13" s="2" t="s">
        <v>38</v>
      </c>
      <c r="F13" s="2" t="s">
        <v>37</v>
      </c>
      <c r="G13" s="2" t="s">
        <v>42</v>
      </c>
      <c r="H13" s="57" t="str">
        <f>Table1[[#This Row],[Tabela]]&amp;Table1[[#This Row],[Campo]]</f>
        <v>ENERGY_CERTIFICATE_EST_INPUTENCRYPTED_KEY</v>
      </c>
      <c r="I13" s="2" t="s">
        <v>619</v>
      </c>
      <c r="J13" s="43">
        <f>VLOOKUP(Table1[[#This Row],[Status]],Auxiliar!$B$16:$C$24,2,0)</f>
        <v>7</v>
      </c>
      <c r="K13" s="2" t="s">
        <v>1263</v>
      </c>
      <c r="L13" s="29" t="s">
        <v>1250</v>
      </c>
      <c r="M13" s="21" t="s">
        <v>1259</v>
      </c>
      <c r="N13" s="48">
        <v>45485</v>
      </c>
      <c r="O13" s="21">
        <f>INDEX(Auxiliar!$D$5:$F$13,MATCH(Table1[[#This Row],[Tipologia_Testes]],Auxiliar!$B$5:$B$13,0),MATCH(Table1[[#This Row],[Complexidade]],Auxiliar!$D$4:$F$4,0))</f>
        <v>0.5</v>
      </c>
      <c r="P13" s="49" t="s">
        <v>1265</v>
      </c>
      <c r="Q13" s="33"/>
      <c r="R13" s="152">
        <v>45261</v>
      </c>
      <c r="S13" s="152"/>
      <c r="T13" s="152">
        <v>45510</v>
      </c>
      <c r="U13" s="152">
        <v>45624</v>
      </c>
      <c r="V13" s="152"/>
      <c r="W13" s="2">
        <f>VLOOKUP(Table1[[#This Row],[Status]],Auxiliar!$B$16:$D$24,3,0)*Table1[[#This Row],[Estimação (horas)]]</f>
        <v>0.125</v>
      </c>
      <c r="X13" s="170"/>
      <c r="Y13" s="174"/>
      <c r="Z13" s="172"/>
      <c r="AA13" s="172"/>
      <c r="AB13" s="172"/>
      <c r="AC13" s="172"/>
      <c r="AD13" s="172"/>
    </row>
    <row r="14" spans="1:45" ht="17.7" customHeight="1" x14ac:dyDescent="0.45">
      <c r="B14" s="2" t="s">
        <v>26</v>
      </c>
      <c r="C14" s="2" t="s">
        <v>34</v>
      </c>
      <c r="D14" s="2" t="s">
        <v>1262</v>
      </c>
      <c r="E14" s="2" t="s">
        <v>38</v>
      </c>
      <c r="F14" s="2" t="s">
        <v>37</v>
      </c>
      <c r="G14" s="2" t="s">
        <v>43</v>
      </c>
      <c r="H14" s="57" t="str">
        <f>Table1[[#This Row],[Tabela]]&amp;Table1[[#This Row],[Campo]]</f>
        <v>ENERGY_CERTIFICATE_EST_INPUTPROPERTY_BRANCH_CODE</v>
      </c>
      <c r="I14" s="2" t="s">
        <v>619</v>
      </c>
      <c r="J14" s="43">
        <f>VLOOKUP(Table1[[#This Row],[Status]],Auxiliar!$B$16:$C$24,2,0)</f>
        <v>7</v>
      </c>
      <c r="K14" s="2" t="s">
        <v>1255</v>
      </c>
      <c r="L14" s="29" t="s">
        <v>1250</v>
      </c>
      <c r="M14" s="21" t="s">
        <v>1259</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9"/>
      <c r="Y14" s="173"/>
      <c r="Z14" s="26"/>
      <c r="AA14" s="26"/>
      <c r="AB14" s="26"/>
      <c r="AC14" s="26"/>
      <c r="AD14" s="26"/>
    </row>
    <row r="15" spans="1:45" ht="17.7" customHeight="1" x14ac:dyDescent="0.45">
      <c r="B15" s="2" t="s">
        <v>26</v>
      </c>
      <c r="C15" s="2" t="s">
        <v>34</v>
      </c>
      <c r="D15" s="2" t="s">
        <v>1262</v>
      </c>
      <c r="E15" s="2" t="s">
        <v>38</v>
      </c>
      <c r="F15" s="2" t="s">
        <v>37</v>
      </c>
      <c r="G15" s="2" t="s">
        <v>43</v>
      </c>
      <c r="H15" s="57" t="str">
        <f>Table1[[#This Row],[Tabela]]&amp;Table1[[#This Row],[Campo]]</f>
        <v>ENERGY_CERTIFICATE_EST_INPUTPROPERTY_BRANCH_CODE</v>
      </c>
      <c r="I15" s="2" t="s">
        <v>619</v>
      </c>
      <c r="J15" s="43">
        <f>VLOOKUP(Table1[[#This Row],[Status]],Auxiliar!$B$16:$C$24,2,0)</f>
        <v>7</v>
      </c>
      <c r="K15" s="2" t="s">
        <v>1263</v>
      </c>
      <c r="L15" s="29" t="s">
        <v>1250</v>
      </c>
      <c r="M15" s="21" t="s">
        <v>1259</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9"/>
      <c r="Y15" s="173"/>
      <c r="Z15" s="26"/>
      <c r="AA15" s="26"/>
      <c r="AB15" s="26"/>
      <c r="AC15" s="26"/>
      <c r="AD15" s="26"/>
    </row>
    <row r="16" spans="1:45" ht="17.7" customHeight="1" x14ac:dyDescent="0.45">
      <c r="B16" s="2" t="s">
        <v>26</v>
      </c>
      <c r="C16" s="2" t="s">
        <v>34</v>
      </c>
      <c r="D16" s="2" t="s">
        <v>1262</v>
      </c>
      <c r="E16" s="2" t="s">
        <v>38</v>
      </c>
      <c r="F16" s="2" t="s">
        <v>37</v>
      </c>
      <c r="G16" s="2" t="s">
        <v>44</v>
      </c>
      <c r="H16" s="57" t="str">
        <f>Table1[[#This Row],[Tabela]]&amp;Table1[[#This Row],[Campo]]</f>
        <v>ENERGY_CERTIFICATE_EST_INPUTPROPERTY_CONTRACT_ID</v>
      </c>
      <c r="I16" s="2" t="s">
        <v>619</v>
      </c>
      <c r="J16" s="43">
        <f>VLOOKUP(Table1[[#This Row],[Status]],Auxiliar!$B$16:$C$24,2,0)</f>
        <v>7</v>
      </c>
      <c r="K16" s="2" t="s">
        <v>1255</v>
      </c>
      <c r="L16" s="29" t="s">
        <v>1250</v>
      </c>
      <c r="M16" s="21" t="s">
        <v>1259</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9"/>
      <c r="Y16" s="173"/>
      <c r="Z16" s="26"/>
      <c r="AA16" s="26"/>
      <c r="AB16" s="26"/>
      <c r="AC16" s="26"/>
      <c r="AD16" s="26"/>
    </row>
    <row r="17" spans="2:30" ht="17.7" customHeight="1" x14ac:dyDescent="0.45">
      <c r="B17" s="2" t="s">
        <v>26</v>
      </c>
      <c r="C17" s="2" t="s">
        <v>34</v>
      </c>
      <c r="D17" s="2" t="s">
        <v>1262</v>
      </c>
      <c r="E17" s="2" t="s">
        <v>38</v>
      </c>
      <c r="F17" s="2" t="s">
        <v>37</v>
      </c>
      <c r="G17" s="2" t="s">
        <v>44</v>
      </c>
      <c r="H17" s="57" t="str">
        <f>Table1[[#This Row],[Tabela]]&amp;Table1[[#This Row],[Campo]]</f>
        <v>ENERGY_CERTIFICATE_EST_INPUTPROPERTY_CONTRACT_ID</v>
      </c>
      <c r="I17" s="2" t="s">
        <v>619</v>
      </c>
      <c r="J17" s="43">
        <f>VLOOKUP(Table1[[#This Row],[Status]],Auxiliar!$B$16:$C$24,2,0)</f>
        <v>7</v>
      </c>
      <c r="K17" s="2" t="s">
        <v>1263</v>
      </c>
      <c r="L17" s="29" t="s">
        <v>1250</v>
      </c>
      <c r="M17" s="21" t="s">
        <v>1259</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9"/>
      <c r="Y17" s="173"/>
      <c r="Z17" s="26"/>
      <c r="AA17" s="26"/>
      <c r="AB17" s="26"/>
      <c r="AC17" s="26"/>
      <c r="AD17" s="26"/>
    </row>
    <row r="18" spans="2:30" ht="17.7" customHeight="1" x14ac:dyDescent="0.45">
      <c r="B18" s="2" t="s">
        <v>26</v>
      </c>
      <c r="C18" s="2" t="s">
        <v>34</v>
      </c>
      <c r="D18" s="2" t="s">
        <v>1262</v>
      </c>
      <c r="E18" s="2" t="s">
        <v>38</v>
      </c>
      <c r="F18" s="2" t="s">
        <v>37</v>
      </c>
      <c r="G18" s="2" t="s">
        <v>45</v>
      </c>
      <c r="H18" s="57" t="str">
        <f>Table1[[#This Row],[Tabela]]&amp;Table1[[#This Row],[Campo]]</f>
        <v>ENERGY_CERTIFICATE_EST_INPUTPROPERTY_REFERENCE_CODE</v>
      </c>
      <c r="I18" s="2" t="s">
        <v>619</v>
      </c>
      <c r="J18" s="43">
        <f>VLOOKUP(Table1[[#This Row],[Status]],Auxiliar!$B$16:$C$24,2,0)</f>
        <v>7</v>
      </c>
      <c r="K18" s="2" t="s">
        <v>1255</v>
      </c>
      <c r="L18" s="29" t="s">
        <v>1250</v>
      </c>
      <c r="M18" s="21" t="s">
        <v>1259</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9"/>
      <c r="Y18" s="173"/>
      <c r="Z18" s="26"/>
      <c r="AA18" s="26"/>
      <c r="AB18" s="26"/>
      <c r="AC18" s="26"/>
      <c r="AD18" s="26"/>
    </row>
    <row r="19" spans="2:30" ht="17.7" customHeight="1" x14ac:dyDescent="0.45">
      <c r="B19" s="2" t="s">
        <v>26</v>
      </c>
      <c r="C19" s="2" t="s">
        <v>34</v>
      </c>
      <c r="D19" s="2" t="s">
        <v>1262</v>
      </c>
      <c r="E19" s="2" t="s">
        <v>38</v>
      </c>
      <c r="F19" s="2" t="s">
        <v>37</v>
      </c>
      <c r="G19" s="2" t="s">
        <v>45</v>
      </c>
      <c r="H19" s="57" t="str">
        <f>Table1[[#This Row],[Tabela]]&amp;Table1[[#This Row],[Campo]]</f>
        <v>ENERGY_CERTIFICATE_EST_INPUTPROPERTY_REFERENCE_CODE</v>
      </c>
      <c r="I19" s="2" t="s">
        <v>619</v>
      </c>
      <c r="J19" s="43">
        <f>VLOOKUP(Table1[[#This Row],[Status]],Auxiliar!$B$16:$C$24,2,0)</f>
        <v>7</v>
      </c>
      <c r="K19" s="2" t="s">
        <v>1263</v>
      </c>
      <c r="L19" s="29" t="s">
        <v>1250</v>
      </c>
      <c r="M19" s="21" t="s">
        <v>1259</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9"/>
      <c r="Y19" s="173"/>
      <c r="Z19" s="26"/>
      <c r="AA19" s="26"/>
      <c r="AB19" s="26"/>
      <c r="AC19" s="26"/>
      <c r="AD19" s="26"/>
    </row>
    <row r="20" spans="2:30" ht="17.7" customHeight="1" x14ac:dyDescent="0.45">
      <c r="B20" s="2" t="s">
        <v>26</v>
      </c>
      <c r="C20" s="2" t="s">
        <v>34</v>
      </c>
      <c r="D20" s="2" t="s">
        <v>1262</v>
      </c>
      <c r="E20" s="2" t="s">
        <v>38</v>
      </c>
      <c r="F20" s="2" t="s">
        <v>37</v>
      </c>
      <c r="G20" s="2" t="s">
        <v>46</v>
      </c>
      <c r="H20" s="57" t="str">
        <f>Table1[[#This Row],[Tabela]]&amp;Table1[[#This Row],[Campo]]</f>
        <v>ENERGY_CERTIFICATE_EST_INPUTDATA_EXTRACTION_DATE</v>
      </c>
      <c r="I20" s="2" t="s">
        <v>619</v>
      </c>
      <c r="J20" s="43">
        <f>VLOOKUP(Table1[[#This Row],[Status]],Auxiliar!$B$16:$C$24,2,0)</f>
        <v>7</v>
      </c>
      <c r="K20" s="2" t="s">
        <v>1255</v>
      </c>
      <c r="L20" s="29" t="s">
        <v>1250</v>
      </c>
      <c r="M20" s="21" t="s">
        <v>1259</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9"/>
      <c r="Y20" s="173"/>
      <c r="Z20" s="26"/>
      <c r="AA20" s="26"/>
      <c r="AB20" s="26"/>
      <c r="AC20" s="26"/>
      <c r="AD20" s="26"/>
    </row>
    <row r="21" spans="2:30" ht="17.7" customHeight="1" x14ac:dyDescent="0.45">
      <c r="B21" s="2" t="s">
        <v>26</v>
      </c>
      <c r="C21" s="2" t="s">
        <v>34</v>
      </c>
      <c r="D21" s="2" t="s">
        <v>1262</v>
      </c>
      <c r="E21" s="2" t="s">
        <v>38</v>
      </c>
      <c r="F21" s="2" t="s">
        <v>37</v>
      </c>
      <c r="G21" s="2" t="s">
        <v>46</v>
      </c>
      <c r="H21" s="57" t="str">
        <f>Table1[[#This Row],[Tabela]]&amp;Table1[[#This Row],[Campo]]</f>
        <v>ENERGY_CERTIFICATE_EST_INPUTDATA_EXTRACTION_DATE</v>
      </c>
      <c r="I21" s="2" t="s">
        <v>619</v>
      </c>
      <c r="J21" s="43">
        <f>VLOOKUP(Table1[[#This Row],[Status]],Auxiliar!$B$16:$C$24,2,0)</f>
        <v>7</v>
      </c>
      <c r="K21" s="2" t="s">
        <v>1263</v>
      </c>
      <c r="L21" s="29" t="s">
        <v>1250</v>
      </c>
      <c r="M21" s="21" t="s">
        <v>1259</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9"/>
      <c r="Y21" s="173"/>
      <c r="Z21" s="26"/>
      <c r="AA21" s="26"/>
      <c r="AB21" s="26"/>
      <c r="AC21" s="26"/>
      <c r="AD21" s="26"/>
    </row>
    <row r="22" spans="2:30" ht="17.7" customHeight="1" x14ac:dyDescent="0.45">
      <c r="B22" s="2" t="s">
        <v>26</v>
      </c>
      <c r="C22" s="2" t="s">
        <v>34</v>
      </c>
      <c r="D22" s="2" t="s">
        <v>1262</v>
      </c>
      <c r="E22" s="2" t="s">
        <v>38</v>
      </c>
      <c r="F22" s="2" t="s">
        <v>37</v>
      </c>
      <c r="G22" s="2" t="s">
        <v>47</v>
      </c>
      <c r="H22" s="57" t="str">
        <f>Table1[[#This Row],[Tabela]]&amp;Table1[[#This Row],[Campo]]</f>
        <v>ENERGY_CERTIFICATE_EST_INPUTEPC</v>
      </c>
      <c r="I22" s="2" t="s">
        <v>619</v>
      </c>
      <c r="J22" s="43">
        <f>VLOOKUP(Table1[[#This Row],[Status]],Auxiliar!$B$16:$C$24,2,0)</f>
        <v>7</v>
      </c>
      <c r="K22" s="2" t="s">
        <v>1255</v>
      </c>
      <c r="L22" s="29" t="s">
        <v>1250</v>
      </c>
      <c r="M22" s="21" t="s">
        <v>1259</v>
      </c>
      <c r="N22" s="48">
        <v>45485</v>
      </c>
      <c r="O22" s="21">
        <f>INDEX(Auxiliar!$D$5:$F$13,MATCH(Table1[[#This Row],[Tipologia_Testes]],Auxiliar!$B$5:$B$13,0),MATCH(Table1[[#This Row],[Complexidade]],Auxiliar!$D$4:$F$4,0))</f>
        <v>0.1</v>
      </c>
      <c r="P22" s="2" t="s">
        <v>1266</v>
      </c>
      <c r="Q22" s="2"/>
      <c r="R22" s="152">
        <v>45261</v>
      </c>
      <c r="S22" s="152"/>
      <c r="T22" s="152">
        <v>45510</v>
      </c>
      <c r="U22" s="152">
        <v>45624</v>
      </c>
      <c r="V22" s="152"/>
      <c r="W22" s="2">
        <f>VLOOKUP(Table1[[#This Row],[Status]],Auxiliar!$B$16:$D$24,3,0)*Table1[[#This Row],[Estimação (horas)]]</f>
        <v>2.5000000000000001E-2</v>
      </c>
      <c r="X22" s="169"/>
      <c r="Y22" s="173"/>
      <c r="Z22" s="26"/>
      <c r="AA22" s="26"/>
      <c r="AB22" s="26"/>
      <c r="AC22" s="26"/>
      <c r="AD22" s="26"/>
    </row>
    <row r="23" spans="2:30" ht="17.7" customHeight="1" x14ac:dyDescent="0.45">
      <c r="B23" s="2" t="s">
        <v>26</v>
      </c>
      <c r="C23" s="2" t="s">
        <v>34</v>
      </c>
      <c r="D23" s="2" t="s">
        <v>1262</v>
      </c>
      <c r="E23" s="2" t="s">
        <v>38</v>
      </c>
      <c r="F23" s="2" t="s">
        <v>37</v>
      </c>
      <c r="G23" s="2" t="s">
        <v>47</v>
      </c>
      <c r="H23" s="57" t="str">
        <f>Table1[[#This Row],[Tabela]]&amp;Table1[[#This Row],[Campo]]</f>
        <v>ENERGY_CERTIFICATE_EST_INPUTEPC</v>
      </c>
      <c r="I23" s="2" t="s">
        <v>619</v>
      </c>
      <c r="J23" s="43">
        <f>VLOOKUP(Table1[[#This Row],[Status]],Auxiliar!$B$16:$C$24,2,0)</f>
        <v>7</v>
      </c>
      <c r="K23" s="2" t="s">
        <v>1263</v>
      </c>
      <c r="L23" s="29" t="s">
        <v>1250</v>
      </c>
      <c r="M23" s="21" t="s">
        <v>1259</v>
      </c>
      <c r="N23" s="48">
        <v>45485</v>
      </c>
      <c r="O23" s="21">
        <f>INDEX(Auxiliar!$D$5:$F$13,MATCH(Table1[[#This Row],[Tipologia_Testes]],Auxiliar!$B$5:$B$13,0),MATCH(Table1[[#This Row],[Complexidade]],Auxiliar!$D$4:$F$4,0))</f>
        <v>0.5</v>
      </c>
      <c r="P23" s="2" t="s">
        <v>1266</v>
      </c>
      <c r="Q23" s="2"/>
      <c r="R23" s="152">
        <v>45261</v>
      </c>
      <c r="S23" s="152"/>
      <c r="T23" s="152">
        <v>45510</v>
      </c>
      <c r="U23" s="152">
        <v>45624</v>
      </c>
      <c r="V23" s="152"/>
      <c r="W23" s="2">
        <f>VLOOKUP(Table1[[#This Row],[Status]],Auxiliar!$B$16:$D$24,3,0)*Table1[[#This Row],[Estimação (horas)]]</f>
        <v>0.125</v>
      </c>
      <c r="X23" s="169"/>
      <c r="Y23" s="173"/>
      <c r="Z23" s="26"/>
      <c r="AA23" s="26"/>
      <c r="AB23" s="26"/>
      <c r="AC23" s="26"/>
      <c r="AD23" s="26"/>
    </row>
    <row r="24" spans="2:30" ht="17.7" customHeight="1" x14ac:dyDescent="0.25">
      <c r="B24" s="2" t="s">
        <v>26</v>
      </c>
      <c r="C24" s="2" t="s">
        <v>34</v>
      </c>
      <c r="D24" s="2" t="s">
        <v>1262</v>
      </c>
      <c r="E24" s="2" t="s">
        <v>38</v>
      </c>
      <c r="F24" s="2" t="s">
        <v>37</v>
      </c>
      <c r="G24" s="2" t="s">
        <v>48</v>
      </c>
      <c r="H24" s="57" t="str">
        <f>Table1[[#This Row],[Tabela]]&amp;Table1[[#This Row],[Campo]]</f>
        <v>ENERGY_CERTIFICATE_EST_INPUTDATA_PROVIDER</v>
      </c>
      <c r="I24" s="2" t="s">
        <v>619</v>
      </c>
      <c r="J24" s="43">
        <f>VLOOKUP(Table1[[#This Row],[Status]],Auxiliar!$B$16:$C$24,2,0)</f>
        <v>7</v>
      </c>
      <c r="K24" s="2" t="s">
        <v>1255</v>
      </c>
      <c r="L24" s="29" t="s">
        <v>1250</v>
      </c>
      <c r="M24" s="21" t="s">
        <v>1259</v>
      </c>
      <c r="N24" s="48">
        <v>45485</v>
      </c>
      <c r="O24" s="21">
        <f>INDEX(Auxiliar!$D$5:$F$13,MATCH(Table1[[#This Row],[Tipologia_Testes]],Auxiliar!$B$5:$B$13,0),MATCH(Table1[[#This Row],[Complexidade]],Auxiliar!$D$4:$F$4,0))</f>
        <v>0.1</v>
      </c>
      <c r="P24" s="49" t="s">
        <v>1267</v>
      </c>
      <c r="Q24" s="33"/>
      <c r="R24" s="152">
        <v>45261</v>
      </c>
      <c r="S24" s="152"/>
      <c r="T24" s="152">
        <v>45510</v>
      </c>
      <c r="U24" s="152">
        <v>45624</v>
      </c>
      <c r="V24" s="152"/>
      <c r="W24" s="2">
        <f>VLOOKUP(Table1[[#This Row],[Status]],Auxiliar!$B$16:$D$24,3,0)*Table1[[#This Row],[Estimação (horas)]]</f>
        <v>2.5000000000000001E-2</v>
      </c>
      <c r="X24" s="170"/>
      <c r="Y24" s="174"/>
      <c r="Z24" s="172"/>
      <c r="AA24" s="172"/>
      <c r="AB24" s="172"/>
      <c r="AC24" s="172"/>
      <c r="AD24" s="172"/>
    </row>
    <row r="25" spans="2:30" ht="17.7" customHeight="1" x14ac:dyDescent="0.25">
      <c r="B25" s="2" t="s">
        <v>26</v>
      </c>
      <c r="C25" s="2" t="s">
        <v>34</v>
      </c>
      <c r="D25" s="2" t="s">
        <v>1262</v>
      </c>
      <c r="E25" s="2" t="s">
        <v>38</v>
      </c>
      <c r="F25" s="2" t="s">
        <v>37</v>
      </c>
      <c r="G25" s="2" t="s">
        <v>48</v>
      </c>
      <c r="H25" s="57" t="str">
        <f>Table1[[#This Row],[Tabela]]&amp;Table1[[#This Row],[Campo]]</f>
        <v>ENERGY_CERTIFICATE_EST_INPUTDATA_PROVIDER</v>
      </c>
      <c r="I25" s="2" t="s">
        <v>619</v>
      </c>
      <c r="J25" s="43">
        <f>VLOOKUP(Table1[[#This Row],[Status]],Auxiliar!$B$16:$C$24,2,0)</f>
        <v>7</v>
      </c>
      <c r="K25" s="2" t="s">
        <v>1263</v>
      </c>
      <c r="L25" s="29" t="s">
        <v>1250</v>
      </c>
      <c r="M25" s="21" t="s">
        <v>1259</v>
      </c>
      <c r="N25" s="48">
        <v>45485</v>
      </c>
      <c r="O25" s="21">
        <f>INDEX(Auxiliar!$D$5:$F$13,MATCH(Table1[[#This Row],[Tipologia_Testes]],Auxiliar!$B$5:$B$13,0),MATCH(Table1[[#This Row],[Complexidade]],Auxiliar!$D$4:$F$4,0))</f>
        <v>0.5</v>
      </c>
      <c r="P25" s="49" t="s">
        <v>1267</v>
      </c>
      <c r="Q25" s="33"/>
      <c r="R25" s="152">
        <v>45261</v>
      </c>
      <c r="S25" s="152"/>
      <c r="T25" s="152">
        <v>45510</v>
      </c>
      <c r="U25" s="152">
        <v>45624</v>
      </c>
      <c r="V25" s="152"/>
      <c r="W25" s="2">
        <f>VLOOKUP(Table1[[#This Row],[Status]],Auxiliar!$B$16:$D$24,3,0)*Table1[[#This Row],[Estimação (horas)]]</f>
        <v>0.125</v>
      </c>
      <c r="X25" s="170"/>
      <c r="Y25" s="174"/>
      <c r="Z25" s="172"/>
      <c r="AA25" s="172"/>
      <c r="AB25" s="172"/>
      <c r="AC25" s="172"/>
      <c r="AD25" s="172"/>
    </row>
    <row r="26" spans="2:30" ht="17.7" customHeight="1" x14ac:dyDescent="0.45">
      <c r="B26" s="2" t="s">
        <v>26</v>
      </c>
      <c r="C26" s="2" t="s">
        <v>34</v>
      </c>
      <c r="D26" s="2" t="s">
        <v>1262</v>
      </c>
      <c r="E26" s="2" t="s">
        <v>38</v>
      </c>
      <c r="F26" s="2" t="s">
        <v>37</v>
      </c>
      <c r="G26" s="2" t="s">
        <v>49</v>
      </c>
      <c r="H26" s="57" t="str">
        <f>Table1[[#This Row],[Tabela]]&amp;Table1[[#This Row],[Campo]]</f>
        <v>ENERGY_CERTIFICATE_EST_INPUTACTUAL_VALUE_IND</v>
      </c>
      <c r="I26" s="2" t="s">
        <v>619</v>
      </c>
      <c r="J26" s="43">
        <f>VLOOKUP(Table1[[#This Row],[Status]],Auxiliar!$B$16:$C$24,2,0)</f>
        <v>7</v>
      </c>
      <c r="K26" s="2" t="s">
        <v>1255</v>
      </c>
      <c r="L26" s="29" t="s">
        <v>1250</v>
      </c>
      <c r="M26" s="21" t="s">
        <v>1259</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9"/>
      <c r="Y26" s="173"/>
      <c r="Z26" s="26"/>
      <c r="AA26" s="26"/>
      <c r="AB26" s="26"/>
      <c r="AC26" s="26"/>
      <c r="AD26" s="26"/>
    </row>
    <row r="27" spans="2:30" ht="17.7" customHeight="1" x14ac:dyDescent="0.45">
      <c r="B27" s="2" t="s">
        <v>26</v>
      </c>
      <c r="C27" s="2" t="s">
        <v>34</v>
      </c>
      <c r="D27" s="2" t="s">
        <v>1262</v>
      </c>
      <c r="E27" s="2" t="s">
        <v>38</v>
      </c>
      <c r="F27" s="2" t="s">
        <v>37</v>
      </c>
      <c r="G27" s="2" t="s">
        <v>49</v>
      </c>
      <c r="H27" s="57" t="str">
        <f>Table1[[#This Row],[Tabela]]&amp;Table1[[#This Row],[Campo]]</f>
        <v>ENERGY_CERTIFICATE_EST_INPUTACTUAL_VALUE_IND</v>
      </c>
      <c r="I27" s="2" t="s">
        <v>619</v>
      </c>
      <c r="J27" s="43">
        <f>VLOOKUP(Table1[[#This Row],[Status]],Auxiliar!$B$16:$C$24,2,0)</f>
        <v>7</v>
      </c>
      <c r="K27" s="2" t="s">
        <v>1263</v>
      </c>
      <c r="L27" s="29" t="s">
        <v>1250</v>
      </c>
      <c r="M27" s="21" t="s">
        <v>1259</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9"/>
      <c r="Y27" s="173"/>
      <c r="Z27" s="26"/>
      <c r="AA27" s="26"/>
      <c r="AB27" s="26"/>
      <c r="AC27" s="26"/>
      <c r="AD27" s="26"/>
    </row>
    <row r="28" spans="2:30" ht="17.7" customHeight="1" x14ac:dyDescent="0.45">
      <c r="B28" s="2" t="s">
        <v>26</v>
      </c>
      <c r="C28" s="2" t="s">
        <v>34</v>
      </c>
      <c r="D28" s="2" t="s">
        <v>1262</v>
      </c>
      <c r="E28" s="2" t="s">
        <v>38</v>
      </c>
      <c r="F28" s="2" t="s">
        <v>37</v>
      </c>
      <c r="G28" s="2" t="s">
        <v>50</v>
      </c>
      <c r="H28" s="57" t="str">
        <f>Table1[[#This Row],[Tabela]]&amp;Table1[[#This Row],[Campo]]</f>
        <v>ENERGY_CERTIFICATE_EST_INPUTQUALITY_SCORE</v>
      </c>
      <c r="I28" s="2" t="s">
        <v>619</v>
      </c>
      <c r="J28" s="43">
        <f>VLOOKUP(Table1[[#This Row],[Status]],Auxiliar!$B$16:$C$24,2,0)</f>
        <v>7</v>
      </c>
      <c r="K28" s="2" t="s">
        <v>1255</v>
      </c>
      <c r="L28" s="29" t="s">
        <v>1250</v>
      </c>
      <c r="M28" s="21" t="s">
        <v>1259</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9"/>
      <c r="Y28" s="173"/>
      <c r="Z28" s="26"/>
      <c r="AA28" s="26"/>
      <c r="AB28" s="26"/>
      <c r="AC28" s="26"/>
      <c r="AD28" s="26"/>
    </row>
    <row r="29" spans="2:30" ht="17.7" customHeight="1" x14ac:dyDescent="0.45">
      <c r="B29" s="2" t="s">
        <v>26</v>
      </c>
      <c r="C29" s="2" t="s">
        <v>34</v>
      </c>
      <c r="D29" s="2" t="s">
        <v>1262</v>
      </c>
      <c r="E29" s="2" t="s">
        <v>38</v>
      </c>
      <c r="F29" s="2" t="s">
        <v>37</v>
      </c>
      <c r="G29" s="2" t="s">
        <v>50</v>
      </c>
      <c r="H29" s="57" t="str">
        <f>Table1[[#This Row],[Tabela]]&amp;Table1[[#This Row],[Campo]]</f>
        <v>ENERGY_CERTIFICATE_EST_INPUTQUALITY_SCORE</v>
      </c>
      <c r="I29" s="2" t="s">
        <v>619</v>
      </c>
      <c r="J29" s="43">
        <f>VLOOKUP(Table1[[#This Row],[Status]],Auxiliar!$B$16:$C$24,2,0)</f>
        <v>7</v>
      </c>
      <c r="K29" s="2" t="s">
        <v>1263</v>
      </c>
      <c r="L29" s="29" t="s">
        <v>1250</v>
      </c>
      <c r="M29" s="21" t="s">
        <v>1259</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9"/>
      <c r="Y29" s="173"/>
      <c r="Z29" s="26"/>
      <c r="AA29" s="26"/>
      <c r="AB29" s="26"/>
      <c r="AC29" s="26"/>
      <c r="AD29" s="26"/>
    </row>
    <row r="30" spans="2:30" ht="17.7" customHeight="1" x14ac:dyDescent="0.45">
      <c r="B30" s="2" t="s">
        <v>26</v>
      </c>
      <c r="C30" s="2" t="s">
        <v>34</v>
      </c>
      <c r="D30" s="2" t="s">
        <v>1262</v>
      </c>
      <c r="E30" s="2" t="s">
        <v>38</v>
      </c>
      <c r="F30" s="2" t="s">
        <v>37</v>
      </c>
      <c r="G30" s="2" t="s">
        <v>51</v>
      </c>
      <c r="H30" s="57" t="str">
        <f>Table1[[#This Row],[Tabela]]&amp;Table1[[#This Row],[Campo]]</f>
        <v>ENERGY_CERTIFICATE_EST_INPUTENERGY_CONSUMPTION_VALUE_YEAR</v>
      </c>
      <c r="I30" s="2" t="s">
        <v>619</v>
      </c>
      <c r="J30" s="43">
        <f>VLOOKUP(Table1[[#This Row],[Status]],Auxiliar!$B$16:$C$24,2,0)</f>
        <v>7</v>
      </c>
      <c r="K30" s="2" t="s">
        <v>1255</v>
      </c>
      <c r="L30" s="29" t="s">
        <v>1250</v>
      </c>
      <c r="M30" s="21" t="s">
        <v>1259</v>
      </c>
      <c r="N30" s="48">
        <v>45485</v>
      </c>
      <c r="O30" s="21">
        <f>INDEX(Auxiliar!$D$5:$F$13,MATCH(Table1[[#This Row],[Tipologia_Testes]],Auxiliar!$B$5:$B$13,0),MATCH(Table1[[#This Row],[Complexidade]],Auxiliar!$D$4:$F$4,0))</f>
        <v>0.1</v>
      </c>
      <c r="P30" s="2" t="s">
        <v>1266</v>
      </c>
      <c r="Q30" s="2"/>
      <c r="R30" s="152">
        <v>45261</v>
      </c>
      <c r="S30" s="152"/>
      <c r="T30" s="152">
        <v>45510</v>
      </c>
      <c r="U30" s="152">
        <v>45624</v>
      </c>
      <c r="V30" s="152"/>
      <c r="W30" s="2">
        <f>VLOOKUP(Table1[[#This Row],[Status]],Auxiliar!$B$16:$D$24,3,0)*Table1[[#This Row],[Estimação (horas)]]</f>
        <v>2.5000000000000001E-2</v>
      </c>
      <c r="X30" s="169"/>
      <c r="Y30" s="173"/>
      <c r="Z30" s="26"/>
      <c r="AA30" s="26"/>
      <c r="AB30" s="26"/>
      <c r="AC30" s="26"/>
      <c r="AD30" s="26"/>
    </row>
    <row r="31" spans="2:30" ht="17.7" customHeight="1" x14ac:dyDescent="0.45">
      <c r="B31" s="2" t="s">
        <v>26</v>
      </c>
      <c r="C31" s="2" t="s">
        <v>34</v>
      </c>
      <c r="D31" s="2" t="s">
        <v>1262</v>
      </c>
      <c r="E31" s="2" t="s">
        <v>38</v>
      </c>
      <c r="F31" s="2" t="s">
        <v>37</v>
      </c>
      <c r="G31" s="2" t="s">
        <v>51</v>
      </c>
      <c r="H31" s="57" t="str">
        <f>Table1[[#This Row],[Tabela]]&amp;Table1[[#This Row],[Campo]]</f>
        <v>ENERGY_CERTIFICATE_EST_INPUTENERGY_CONSUMPTION_VALUE_YEAR</v>
      </c>
      <c r="I31" s="2" t="s">
        <v>619</v>
      </c>
      <c r="J31" s="43">
        <f>VLOOKUP(Table1[[#This Row],[Status]],Auxiliar!$B$16:$C$24,2,0)</f>
        <v>7</v>
      </c>
      <c r="K31" s="2" t="s">
        <v>1263</v>
      </c>
      <c r="L31" s="29" t="s">
        <v>1250</v>
      </c>
      <c r="M31" s="21" t="s">
        <v>1259</v>
      </c>
      <c r="N31" s="48">
        <v>45485</v>
      </c>
      <c r="O31" s="21">
        <f>INDEX(Auxiliar!$D$5:$F$13,MATCH(Table1[[#This Row],[Tipologia_Testes]],Auxiliar!$B$5:$B$13,0),MATCH(Table1[[#This Row],[Complexidade]],Auxiliar!$D$4:$F$4,0))</f>
        <v>0.5</v>
      </c>
      <c r="P31" s="2" t="s">
        <v>1266</v>
      </c>
      <c r="Q31" s="2"/>
      <c r="R31" s="152">
        <v>45261</v>
      </c>
      <c r="S31" s="152"/>
      <c r="T31" s="152">
        <v>45510</v>
      </c>
      <c r="U31" s="152">
        <v>45624</v>
      </c>
      <c r="V31" s="152"/>
      <c r="W31" s="2">
        <f>VLOOKUP(Table1[[#This Row],[Status]],Auxiliar!$B$16:$D$24,3,0)*Table1[[#This Row],[Estimação (horas)]]</f>
        <v>0.125</v>
      </c>
      <c r="X31" s="169"/>
      <c r="Y31" s="173"/>
      <c r="Z31" s="26"/>
      <c r="AA31" s="26"/>
      <c r="AB31" s="26"/>
      <c r="AC31" s="26"/>
      <c r="AD31" s="26"/>
    </row>
    <row r="32" spans="2:30" ht="17.7" customHeight="1" x14ac:dyDescent="0.45">
      <c r="B32" s="2" t="s">
        <v>26</v>
      </c>
      <c r="C32" s="2" t="s">
        <v>34</v>
      </c>
      <c r="D32" s="2" t="s">
        <v>1262</v>
      </c>
      <c r="E32" s="2" t="s">
        <v>38</v>
      </c>
      <c r="F32" s="2" t="s">
        <v>37</v>
      </c>
      <c r="G32" s="2" t="s">
        <v>52</v>
      </c>
      <c r="H32" s="57" t="str">
        <f>Table1[[#This Row],[Tabela]]&amp;Table1[[#This Row],[Campo]]</f>
        <v>ENERGY_CERTIFICATE_EST_INPUTCARBON_EMISSION_VALUE_YEAR</v>
      </c>
      <c r="I32" s="2" t="s">
        <v>619</v>
      </c>
      <c r="J32" s="43">
        <f>VLOOKUP(Table1[[#This Row],[Status]],Auxiliar!$B$16:$C$24,2,0)</f>
        <v>7</v>
      </c>
      <c r="K32" s="2" t="s">
        <v>1255</v>
      </c>
      <c r="L32" s="29" t="s">
        <v>1250</v>
      </c>
      <c r="M32" s="21" t="s">
        <v>1259</v>
      </c>
      <c r="N32" s="48">
        <v>45485</v>
      </c>
      <c r="O32" s="21">
        <f>INDEX(Auxiliar!$D$5:$F$13,MATCH(Table1[[#This Row],[Tipologia_Testes]],Auxiliar!$B$5:$B$13,0),MATCH(Table1[[#This Row],[Complexidade]],Auxiliar!$D$4:$F$4,0))</f>
        <v>0.1</v>
      </c>
      <c r="P32" s="2" t="s">
        <v>1266</v>
      </c>
      <c r="Q32" s="2"/>
      <c r="R32" s="152">
        <v>45261</v>
      </c>
      <c r="S32" s="152"/>
      <c r="T32" s="152">
        <v>45510</v>
      </c>
      <c r="U32" s="152">
        <v>45624</v>
      </c>
      <c r="V32" s="152"/>
      <c r="W32" s="2">
        <f>VLOOKUP(Table1[[#This Row],[Status]],Auxiliar!$B$16:$D$24,3,0)*Table1[[#This Row],[Estimação (horas)]]</f>
        <v>2.5000000000000001E-2</v>
      </c>
      <c r="X32" s="169"/>
      <c r="Y32" s="173"/>
      <c r="Z32" s="26"/>
      <c r="AA32" s="26"/>
      <c r="AB32" s="26"/>
      <c r="AC32" s="26"/>
      <c r="AD32" s="26"/>
    </row>
    <row r="33" spans="2:30" ht="17.7" customHeight="1" x14ac:dyDescent="0.45">
      <c r="B33" s="2" t="s">
        <v>26</v>
      </c>
      <c r="C33" s="2" t="s">
        <v>34</v>
      </c>
      <c r="D33" s="2" t="s">
        <v>1262</v>
      </c>
      <c r="E33" s="2" t="s">
        <v>38</v>
      </c>
      <c r="F33" s="2" t="s">
        <v>37</v>
      </c>
      <c r="G33" s="2" t="s">
        <v>52</v>
      </c>
      <c r="H33" s="57" t="str">
        <f>Table1[[#This Row],[Tabela]]&amp;Table1[[#This Row],[Campo]]</f>
        <v>ENERGY_CERTIFICATE_EST_INPUTCARBON_EMISSION_VALUE_YEAR</v>
      </c>
      <c r="I33" s="2" t="s">
        <v>619</v>
      </c>
      <c r="J33" s="43">
        <f>VLOOKUP(Table1[[#This Row],[Status]],Auxiliar!$B$16:$C$24,2,0)</f>
        <v>7</v>
      </c>
      <c r="K33" s="2" t="s">
        <v>1263</v>
      </c>
      <c r="L33" s="29" t="s">
        <v>1250</v>
      </c>
      <c r="M33" s="21" t="s">
        <v>1259</v>
      </c>
      <c r="N33" s="48">
        <v>45485</v>
      </c>
      <c r="O33" s="21">
        <f>INDEX(Auxiliar!$D$5:$F$13,MATCH(Table1[[#This Row],[Tipologia_Testes]],Auxiliar!$B$5:$B$13,0),MATCH(Table1[[#This Row],[Complexidade]],Auxiliar!$D$4:$F$4,0))</f>
        <v>0.5</v>
      </c>
      <c r="P33" s="2" t="s">
        <v>1266</v>
      </c>
      <c r="Q33" s="2"/>
      <c r="R33" s="152">
        <v>45261</v>
      </c>
      <c r="S33" s="152"/>
      <c r="T33" s="152">
        <v>45510</v>
      </c>
      <c r="U33" s="152">
        <v>45624</v>
      </c>
      <c r="V33" s="152"/>
      <c r="W33" s="2">
        <f>VLOOKUP(Table1[[#This Row],[Status]],Auxiliar!$B$16:$D$24,3,0)*Table1[[#This Row],[Estimação (horas)]]</f>
        <v>0.125</v>
      </c>
      <c r="X33" s="171"/>
      <c r="Y33" s="173"/>
      <c r="Z33" s="26"/>
      <c r="AA33" s="26"/>
      <c r="AB33" s="26"/>
      <c r="AC33" s="26"/>
      <c r="AD33" s="26"/>
    </row>
    <row r="34" spans="2:30" ht="87" customHeight="1" x14ac:dyDescent="0.25">
      <c r="B34" s="2" t="s">
        <v>26</v>
      </c>
      <c r="C34" s="2" t="s">
        <v>54</v>
      </c>
      <c r="D34" s="2" t="s">
        <v>95</v>
      </c>
      <c r="E34" s="2" t="s">
        <v>38</v>
      </c>
      <c r="F34" s="2" t="s">
        <v>94</v>
      </c>
      <c r="G34" s="2" t="s">
        <v>38</v>
      </c>
      <c r="H34" s="57" t="str">
        <f>Table1[[#This Row],[Tabela]]&amp;Table1[[#This Row],[Campo]]</f>
        <v>PROPERTYn.a.</v>
      </c>
      <c r="I34" s="2" t="s">
        <v>614</v>
      </c>
      <c r="J34" s="43">
        <f>VLOOKUP(Table1[[#This Row],[Status]],Auxiliar!$B$16:$C$24,2,0)</f>
        <v>1</v>
      </c>
      <c r="K34" s="2" t="s">
        <v>1249</v>
      </c>
      <c r="L34" s="29" t="s">
        <v>1250</v>
      </c>
      <c r="M34" s="21" t="s">
        <v>1251</v>
      </c>
      <c r="N34" s="48">
        <v>45505</v>
      </c>
      <c r="O34" s="21">
        <f>INDEX(Auxiliar!$D$5:$F$13,MATCH(Table1[[#This Row],[Tipologia_Testes]],Auxiliar!$B$5:$B$13,0),MATCH(Table1[[#This Row],[Complexidade]],Auxiliar!$D$4:$F$4,0))</f>
        <v>8</v>
      </c>
      <c r="P34" s="23" t="s">
        <v>1268</v>
      </c>
      <c r="Q34" s="2" t="s">
        <v>1269</v>
      </c>
      <c r="R34" s="152">
        <v>45261</v>
      </c>
      <c r="S34" s="152"/>
      <c r="T34" s="152"/>
      <c r="U34" s="152"/>
      <c r="V34" s="152"/>
      <c r="W34" s="2">
        <f>VLOOKUP(Table1[[#This Row],[Status]],Auxiliar!$B$16:$D$24,3,0)*Table1[[#This Row],[Estimação (horas)]]</f>
        <v>8</v>
      </c>
      <c r="X34" s="171"/>
      <c r="Y34" s="168"/>
    </row>
    <row r="35" spans="2:30" ht="52.2" customHeight="1" x14ac:dyDescent="0.25">
      <c r="B35" s="2" t="s">
        <v>26</v>
      </c>
      <c r="C35" s="2" t="s">
        <v>54</v>
      </c>
      <c r="D35" s="2" t="s">
        <v>95</v>
      </c>
      <c r="E35" s="2" t="s">
        <v>38</v>
      </c>
      <c r="F35" s="2" t="s">
        <v>94</v>
      </c>
      <c r="G35" s="2" t="s">
        <v>96</v>
      </c>
      <c r="H35" s="57" t="str">
        <f>Table1[[#This Row],[Tabela]]&amp;Table1[[#This Row],[Campo]]</f>
        <v>PROPERTYCONSTRUCTION_YEAR</v>
      </c>
      <c r="I35" s="2" t="s">
        <v>614</v>
      </c>
      <c r="J35" s="43">
        <f>VLOOKUP(Table1[[#This Row],[Status]],Auxiliar!$B$16:$C$24,2,0)</f>
        <v>1</v>
      </c>
      <c r="K35" s="2" t="s">
        <v>1252</v>
      </c>
      <c r="L35" s="29" t="s">
        <v>1270</v>
      </c>
      <c r="M35" s="21" t="s">
        <v>1260</v>
      </c>
      <c r="N35" s="48">
        <v>45505</v>
      </c>
      <c r="O35" s="21">
        <f>INDEX(Auxiliar!$D$5:$F$13,MATCH(Table1[[#This Row],[Tipologia_Testes]],Auxiliar!$B$5:$B$13,0),MATCH(Table1[[#This Row],[Complexidade]],Auxiliar!$D$4:$F$4,0))</f>
        <v>4</v>
      </c>
      <c r="P35" s="23" t="s">
        <v>1271</v>
      </c>
      <c r="Q35" s="2" t="s">
        <v>1269</v>
      </c>
      <c r="R35" s="152">
        <v>45425</v>
      </c>
      <c r="S35" s="152"/>
      <c r="T35" s="152"/>
      <c r="U35" s="152"/>
      <c r="V35" s="152"/>
      <c r="W35" s="2">
        <f>VLOOKUP(Table1[[#This Row],[Status]],Auxiliar!$B$16:$D$24,3,0)*Table1[[#This Row],[Estimação (horas)]]</f>
        <v>4</v>
      </c>
      <c r="X35" s="171"/>
      <c r="Y35" s="168"/>
    </row>
    <row r="36" spans="2:30" ht="17.7" customHeight="1" x14ac:dyDescent="0.25">
      <c r="B36" s="2" t="s">
        <v>26</v>
      </c>
      <c r="C36" s="2" t="s">
        <v>54</v>
      </c>
      <c r="D36" s="2" t="s">
        <v>95</v>
      </c>
      <c r="E36" s="2" t="s">
        <v>38</v>
      </c>
      <c r="F36" s="2" t="s">
        <v>94</v>
      </c>
      <c r="G36" s="2" t="s">
        <v>97</v>
      </c>
      <c r="H36" s="57" t="str">
        <f>Table1[[#This Row],[Tabela]]&amp;Table1[[#This Row],[Campo]]</f>
        <v>PROPERTYNET_FLOOR_AREA</v>
      </c>
      <c r="I36" s="3" t="s">
        <v>614</v>
      </c>
      <c r="J36" s="43">
        <f>VLOOKUP(Table1[[#This Row],[Status]],Auxiliar!$B$16:$C$24,2,0)</f>
        <v>1</v>
      </c>
      <c r="K36" s="2" t="s">
        <v>1252</v>
      </c>
      <c r="L36" s="29" t="s">
        <v>1250</v>
      </c>
      <c r="M36" s="21" t="s">
        <v>1260</v>
      </c>
      <c r="N36" s="48">
        <v>45505</v>
      </c>
      <c r="O36" s="21">
        <f>INDEX(Auxiliar!$D$5:$F$13,MATCH(Table1[[#This Row],[Tipologia_Testes]],Auxiliar!$B$5:$B$13,0),MATCH(Table1[[#This Row],[Complexidade]],Auxiliar!$D$4:$F$4,0))</f>
        <v>4</v>
      </c>
      <c r="P36" s="2"/>
      <c r="Q36" s="2" t="s">
        <v>1269</v>
      </c>
      <c r="R36" s="152">
        <v>45261</v>
      </c>
      <c r="S36" s="152"/>
      <c r="T36" s="152"/>
      <c r="U36" s="152"/>
      <c r="V36" s="152"/>
      <c r="W36" s="2">
        <f>VLOOKUP(Table1[[#This Row],[Status]],Auxiliar!$B$16:$D$24,3,0)*Table1[[#This Row],[Estimação (horas)]]</f>
        <v>4</v>
      </c>
      <c r="X36" s="171"/>
      <c r="Y36" s="168"/>
    </row>
    <row r="37" spans="2:30" ht="17.7" customHeight="1" x14ac:dyDescent="0.25">
      <c r="B37" s="2" t="s">
        <v>26</v>
      </c>
      <c r="C37" s="2" t="s">
        <v>54</v>
      </c>
      <c r="D37" s="2" t="s">
        <v>95</v>
      </c>
      <c r="E37" s="2" t="s">
        <v>38</v>
      </c>
      <c r="F37" s="2" t="s">
        <v>94</v>
      </c>
      <c r="G37" s="2" t="s">
        <v>97</v>
      </c>
      <c r="H37" s="57" t="str">
        <f>Table1[[#This Row],[Tabela]]&amp;Table1[[#This Row],[Campo]]</f>
        <v>PROPERTYNET_FLOOR_AREA</v>
      </c>
      <c r="I37" s="3" t="s">
        <v>614</v>
      </c>
      <c r="J37" s="43">
        <f>VLOOKUP(Table1[[#This Row],[Status]],Auxiliar!$B$16:$C$24,2,0)</f>
        <v>1</v>
      </c>
      <c r="K37" s="2" t="s">
        <v>1253</v>
      </c>
      <c r="L37" s="29" t="s">
        <v>1250</v>
      </c>
      <c r="M37" s="21" t="s">
        <v>1260</v>
      </c>
      <c r="N37" s="48">
        <v>45505</v>
      </c>
      <c r="O37" s="21">
        <f>INDEX(Auxiliar!$D$5:$F$13,MATCH(Table1[[#This Row],[Tipologia_Testes]],Auxiliar!$B$5:$B$13,0),MATCH(Table1[[#This Row],[Complexidade]],Auxiliar!$D$4:$F$4,0))</f>
        <v>4</v>
      </c>
      <c r="P37" s="2"/>
      <c r="Q37" s="2" t="s">
        <v>1269</v>
      </c>
      <c r="R37" s="152">
        <v>45261</v>
      </c>
      <c r="S37" s="152"/>
      <c r="T37" s="152"/>
      <c r="U37" s="152"/>
      <c r="V37" s="152"/>
      <c r="W37" s="2">
        <f>VLOOKUP(Table1[[#This Row],[Status]],Auxiliar!$B$16:$D$24,3,0)*Table1[[#This Row],[Estimação (horas)]]</f>
        <v>4</v>
      </c>
      <c r="X37" s="171"/>
      <c r="Y37" s="168"/>
    </row>
    <row r="38" spans="2:30" ht="17.7" customHeight="1" x14ac:dyDescent="0.25">
      <c r="B38" s="2" t="s">
        <v>26</v>
      </c>
      <c r="C38" s="2" t="s">
        <v>54</v>
      </c>
      <c r="D38" s="2" t="s">
        <v>95</v>
      </c>
      <c r="E38" s="2" t="s">
        <v>38</v>
      </c>
      <c r="F38" s="2" t="s">
        <v>94</v>
      </c>
      <c r="G38" s="2" t="s">
        <v>97</v>
      </c>
      <c r="H38" s="57" t="str">
        <f>Table1[[#This Row],[Tabela]]&amp;Table1[[#This Row],[Campo]]</f>
        <v>PROPERTYNET_FLOOR_AREA</v>
      </c>
      <c r="I38" s="3" t="s">
        <v>614</v>
      </c>
      <c r="J38" s="43">
        <f>VLOOKUP(Table1[[#This Row],[Status]],Auxiliar!$B$16:$C$24,2,0)</f>
        <v>1</v>
      </c>
      <c r="K38" s="2" t="s">
        <v>1255</v>
      </c>
      <c r="L38" s="29" t="s">
        <v>1250</v>
      </c>
      <c r="M38" s="21" t="s">
        <v>1260</v>
      </c>
      <c r="N38" s="48">
        <v>45505</v>
      </c>
      <c r="O38" s="21">
        <f>INDEX(Auxiliar!$D$5:$F$13,MATCH(Table1[[#This Row],[Tipologia_Testes]],Auxiliar!$B$5:$B$13,0),MATCH(Table1[[#This Row],[Complexidade]],Auxiliar!$D$4:$F$4,0))</f>
        <v>0.1</v>
      </c>
      <c r="P38" s="2"/>
      <c r="Q38" s="2" t="s">
        <v>1269</v>
      </c>
      <c r="R38" s="152">
        <v>45261</v>
      </c>
      <c r="S38" s="152"/>
      <c r="T38" s="152"/>
      <c r="U38" s="152"/>
      <c r="V38" s="152"/>
      <c r="W38" s="2">
        <f>VLOOKUP(Table1[[#This Row],[Status]],Auxiliar!$B$16:$D$24,3,0)*Table1[[#This Row],[Estimação (horas)]]</f>
        <v>0.1</v>
      </c>
      <c r="X38" s="171"/>
      <c r="Y38" s="168"/>
    </row>
    <row r="39" spans="2:30" ht="17.7" customHeight="1" x14ac:dyDescent="0.25">
      <c r="B39" s="2" t="s">
        <v>26</v>
      </c>
      <c r="C39" s="2" t="s">
        <v>54</v>
      </c>
      <c r="D39" s="2" t="s">
        <v>95</v>
      </c>
      <c r="E39" s="2" t="s">
        <v>38</v>
      </c>
      <c r="F39" s="2" t="s">
        <v>94</v>
      </c>
      <c r="G39" s="2" t="s">
        <v>41</v>
      </c>
      <c r="H39" s="57" t="str">
        <f>Table1[[#This Row],[Tabela]]&amp;Table1[[#This Row],[Campo]]</f>
        <v>PROPERTYPROPERTY_BANK_ID</v>
      </c>
      <c r="I39" s="3" t="s">
        <v>614</v>
      </c>
      <c r="J39" s="55">
        <f>VLOOKUP(Table1[[#This Row],[Status]],Auxiliar!$B$16:$C$24,2,0)</f>
        <v>1</v>
      </c>
      <c r="K39" s="2" t="s">
        <v>1252</v>
      </c>
      <c r="L39" s="29" t="s">
        <v>1258</v>
      </c>
      <c r="M39" s="21" t="s">
        <v>1259</v>
      </c>
      <c r="N39" s="48">
        <v>45485</v>
      </c>
      <c r="O39" s="21">
        <f>INDEX(Auxiliar!$D$5:$F$13,MATCH(Table1[[#This Row],[Tipologia_Testes]],Auxiliar!$B$5:$B$13,0),MATCH(Table1[[#This Row],[Complexidade]],Auxiliar!$D$4:$F$4,0))</f>
        <v>2</v>
      </c>
      <c r="P39" s="2" t="s">
        <v>1272</v>
      </c>
      <c r="Q39" s="2" t="s">
        <v>1269</v>
      </c>
      <c r="R39" s="152">
        <v>45261</v>
      </c>
      <c r="S39" s="152"/>
      <c r="T39" s="152"/>
      <c r="U39" s="152"/>
      <c r="V39" s="152"/>
      <c r="W39" s="2">
        <f>VLOOKUP(Table1[[#This Row],[Status]],Auxiliar!$B$16:$D$24,3,0)*Table1[[#This Row],[Estimação (horas)]]</f>
        <v>2</v>
      </c>
      <c r="X39" s="171"/>
      <c r="Y39" s="168"/>
    </row>
    <row r="40" spans="2:30" ht="17.7" customHeight="1" x14ac:dyDescent="0.25">
      <c r="B40" s="2" t="s">
        <v>26</v>
      </c>
      <c r="C40" s="2" t="s">
        <v>54</v>
      </c>
      <c r="D40" s="2" t="s">
        <v>95</v>
      </c>
      <c r="E40" s="2" t="s">
        <v>38</v>
      </c>
      <c r="F40" s="2" t="s">
        <v>94</v>
      </c>
      <c r="G40" s="2" t="s">
        <v>41</v>
      </c>
      <c r="H40" s="57" t="str">
        <f>Table1[[#This Row],[Tabela]]&amp;Table1[[#This Row],[Campo]]</f>
        <v>PROPERTYPROPERTY_BANK_ID</v>
      </c>
      <c r="I40" s="3" t="s">
        <v>614</v>
      </c>
      <c r="J40" s="55">
        <f>VLOOKUP(Table1[[#This Row],[Status]],Auxiliar!$B$16:$C$24,2,0)</f>
        <v>1</v>
      </c>
      <c r="K40" s="2" t="s">
        <v>1253</v>
      </c>
      <c r="L40" s="29" t="s">
        <v>1258</v>
      </c>
      <c r="M40" s="21" t="s">
        <v>1259</v>
      </c>
      <c r="N40" s="48">
        <v>45485</v>
      </c>
      <c r="O40" s="21">
        <f>INDEX(Auxiliar!$D$5:$F$13,MATCH(Table1[[#This Row],[Tipologia_Testes]],Auxiliar!$B$5:$B$13,0),MATCH(Table1[[#This Row],[Complexidade]],Auxiliar!$D$4:$F$4,0))</f>
        <v>2</v>
      </c>
      <c r="P40" s="2" t="s">
        <v>1272</v>
      </c>
      <c r="Q40" s="2" t="s">
        <v>1269</v>
      </c>
      <c r="R40" s="152">
        <v>45261</v>
      </c>
      <c r="S40" s="152"/>
      <c r="T40" s="152"/>
      <c r="U40" s="152"/>
      <c r="V40" s="152"/>
      <c r="W40" s="2">
        <f>VLOOKUP(Table1[[#This Row],[Status]],Auxiliar!$B$16:$D$24,3,0)*Table1[[#This Row],[Estimação (horas)]]</f>
        <v>2</v>
      </c>
      <c r="X40" s="171"/>
      <c r="Y40" s="168"/>
    </row>
    <row r="41" spans="2:30" ht="17.7" customHeight="1" x14ac:dyDescent="0.25">
      <c r="B41" s="2" t="s">
        <v>26</v>
      </c>
      <c r="C41" s="2" t="s">
        <v>54</v>
      </c>
      <c r="D41" s="2" t="s">
        <v>95</v>
      </c>
      <c r="E41" s="2" t="s">
        <v>38</v>
      </c>
      <c r="F41" s="2" t="s">
        <v>94</v>
      </c>
      <c r="G41" s="2" t="s">
        <v>41</v>
      </c>
      <c r="H41" s="57" t="str">
        <f>Table1[[#This Row],[Tabela]]&amp;Table1[[#This Row],[Campo]]</f>
        <v>PROPERTYPROPERTY_BANK_ID</v>
      </c>
      <c r="I41" s="3" t="s">
        <v>614</v>
      </c>
      <c r="J41" s="55">
        <f>VLOOKUP(Table1[[#This Row],[Status]],Auxiliar!$B$16:$C$24,2,0)</f>
        <v>1</v>
      </c>
      <c r="K41" s="2" t="s">
        <v>1255</v>
      </c>
      <c r="L41" s="29" t="s">
        <v>1258</v>
      </c>
      <c r="M41" s="21" t="s">
        <v>1259</v>
      </c>
      <c r="N41" s="48">
        <v>45485</v>
      </c>
      <c r="O41" s="21">
        <f>INDEX(Auxiliar!$D$5:$F$13,MATCH(Table1[[#This Row],[Tipologia_Testes]],Auxiliar!$B$5:$B$13,0),MATCH(Table1[[#This Row],[Complexidade]],Auxiliar!$D$4:$F$4,0))</f>
        <v>0.1</v>
      </c>
      <c r="P41" s="2" t="s">
        <v>1272</v>
      </c>
      <c r="Q41" s="2" t="s">
        <v>1269</v>
      </c>
      <c r="R41" s="152">
        <v>45261</v>
      </c>
      <c r="S41" s="152"/>
      <c r="T41" s="152"/>
      <c r="U41" s="152"/>
      <c r="V41" s="152"/>
      <c r="W41" s="2">
        <f>VLOOKUP(Table1[[#This Row],[Status]],Auxiliar!$B$16:$D$24,3,0)*Table1[[#This Row],[Estimação (horas)]]</f>
        <v>0.1</v>
      </c>
      <c r="X41" s="171"/>
      <c r="Y41" s="168"/>
    </row>
    <row r="42" spans="2:30" ht="17.7" customHeight="1" x14ac:dyDescent="0.25">
      <c r="B42" s="2" t="s">
        <v>26</v>
      </c>
      <c r="C42" s="2" t="s">
        <v>54</v>
      </c>
      <c r="D42" s="2" t="s">
        <v>95</v>
      </c>
      <c r="E42" s="2" t="s">
        <v>38</v>
      </c>
      <c r="F42" s="2" t="s">
        <v>94</v>
      </c>
      <c r="G42" s="2" t="s">
        <v>43</v>
      </c>
      <c r="H42" s="57" t="str">
        <f>Table1[[#This Row],[Tabela]]&amp;Table1[[#This Row],[Campo]]</f>
        <v>PROPERTYPROPERTY_BRANCH_CODE</v>
      </c>
      <c r="I42" s="3" t="s">
        <v>614</v>
      </c>
      <c r="J42" s="55">
        <f>VLOOKUP(Table1[[#This Row],[Status]],Auxiliar!$B$16:$C$24,2,0)</f>
        <v>1</v>
      </c>
      <c r="K42" s="2" t="s">
        <v>1252</v>
      </c>
      <c r="L42" s="29" t="s">
        <v>1258</v>
      </c>
      <c r="M42" s="21" t="s">
        <v>1259</v>
      </c>
      <c r="N42" s="48">
        <v>45485</v>
      </c>
      <c r="O42" s="21">
        <f>INDEX(Auxiliar!$D$5:$F$13,MATCH(Table1[[#This Row],[Tipologia_Testes]],Auxiliar!$B$5:$B$13,0),MATCH(Table1[[#This Row],[Complexidade]],Auxiliar!$D$4:$F$4,0))</f>
        <v>2</v>
      </c>
      <c r="P42" s="2" t="s">
        <v>1272</v>
      </c>
      <c r="Q42" s="2" t="s">
        <v>1269</v>
      </c>
      <c r="R42" s="152">
        <v>45261</v>
      </c>
      <c r="S42" s="152"/>
      <c r="T42" s="152"/>
      <c r="U42" s="152"/>
      <c r="V42" s="152"/>
      <c r="W42" s="2">
        <f>VLOOKUP(Table1[[#This Row],[Status]],Auxiliar!$B$16:$D$24,3,0)*Table1[[#This Row],[Estimação (horas)]]</f>
        <v>2</v>
      </c>
      <c r="X42" s="171"/>
      <c r="Y42" s="168"/>
    </row>
    <row r="43" spans="2:30" ht="17.7" customHeight="1" x14ac:dyDescent="0.45">
      <c r="B43" s="2" t="s">
        <v>26</v>
      </c>
      <c r="C43" s="2" t="s">
        <v>54</v>
      </c>
      <c r="D43" s="2" t="s">
        <v>95</v>
      </c>
      <c r="E43" s="2" t="s">
        <v>38</v>
      </c>
      <c r="F43" s="2" t="s">
        <v>94</v>
      </c>
      <c r="G43" s="2" t="s">
        <v>43</v>
      </c>
      <c r="H43" s="57" t="str">
        <f>Table1[[#This Row],[Tabela]]&amp;Table1[[#This Row],[Campo]]</f>
        <v>PROPERTYPROPERTY_BRANCH_CODE</v>
      </c>
      <c r="I43" s="3" t="s">
        <v>614</v>
      </c>
      <c r="J43" s="55">
        <f>VLOOKUP(Table1[[#This Row],[Status]],Auxiliar!$B$16:$C$24,2,0)</f>
        <v>1</v>
      </c>
      <c r="K43" s="2" t="s">
        <v>1253</v>
      </c>
      <c r="L43" s="29" t="s">
        <v>1258</v>
      </c>
      <c r="M43" s="21" t="s">
        <v>1259</v>
      </c>
      <c r="N43" s="48">
        <v>45485</v>
      </c>
      <c r="O43" s="21">
        <f>INDEX(Auxiliar!$D$5:$F$13,MATCH(Table1[[#This Row],[Tipologia_Testes]],Auxiliar!$B$5:$B$13,0),MATCH(Table1[[#This Row],[Complexidade]],Auxiliar!$D$4:$F$4,0))</f>
        <v>2</v>
      </c>
      <c r="P43" s="2" t="s">
        <v>1272</v>
      </c>
      <c r="Q43" s="2" t="s">
        <v>1269</v>
      </c>
      <c r="R43" s="152">
        <v>45261</v>
      </c>
      <c r="S43" s="152"/>
      <c r="T43" s="152"/>
      <c r="U43" s="152"/>
      <c r="V43" s="152"/>
      <c r="W43" s="2">
        <f>VLOOKUP(Table1[[#This Row],[Status]],Auxiliar!$B$16:$D$24,3,0)*Table1[[#This Row],[Estimação (horas)]]</f>
        <v>2</v>
      </c>
      <c r="X43" s="171"/>
      <c r="Y43" s="173"/>
      <c r="Z43" s="26"/>
      <c r="AA43" s="26"/>
    </row>
    <row r="44" spans="2:30" ht="17.7" customHeight="1" x14ac:dyDescent="0.25">
      <c r="B44" s="2" t="s">
        <v>26</v>
      </c>
      <c r="C44" s="2" t="s">
        <v>54</v>
      </c>
      <c r="D44" s="2" t="s">
        <v>95</v>
      </c>
      <c r="E44" s="2" t="s">
        <v>38</v>
      </c>
      <c r="F44" s="2" t="s">
        <v>94</v>
      </c>
      <c r="G44" s="2" t="s">
        <v>43</v>
      </c>
      <c r="H44" s="57" t="str">
        <f>Table1[[#This Row],[Tabela]]&amp;Table1[[#This Row],[Campo]]</f>
        <v>PROPERTYPROPERTY_BRANCH_CODE</v>
      </c>
      <c r="I44" s="3" t="s">
        <v>614</v>
      </c>
      <c r="J44" s="55">
        <f>VLOOKUP(Table1[[#This Row],[Status]],Auxiliar!$B$16:$C$24,2,0)</f>
        <v>1</v>
      </c>
      <c r="K44" s="2" t="s">
        <v>1255</v>
      </c>
      <c r="L44" s="29" t="s">
        <v>1258</v>
      </c>
      <c r="M44" s="21" t="s">
        <v>1259</v>
      </c>
      <c r="N44" s="48">
        <v>45485</v>
      </c>
      <c r="O44" s="21">
        <f>INDEX(Auxiliar!$D$5:$F$13,MATCH(Table1[[#This Row],[Tipologia_Testes]],Auxiliar!$B$5:$B$13,0),MATCH(Table1[[#This Row],[Complexidade]],Auxiliar!$D$4:$F$4,0))</f>
        <v>0.1</v>
      </c>
      <c r="P44" s="2" t="s">
        <v>1272</v>
      </c>
      <c r="Q44" s="2" t="s">
        <v>1269</v>
      </c>
      <c r="R44" s="152">
        <v>45261</v>
      </c>
      <c r="S44" s="152"/>
      <c r="T44" s="152"/>
      <c r="U44" s="152"/>
      <c r="V44" s="152"/>
      <c r="W44" s="2">
        <f>VLOOKUP(Table1[[#This Row],[Status]],Auxiliar!$B$16:$D$24,3,0)*Table1[[#This Row],[Estimação (horas)]]</f>
        <v>0.1</v>
      </c>
      <c r="X44" s="171"/>
      <c r="Y44" s="168"/>
    </row>
    <row r="45" spans="2:30" ht="17.7" customHeight="1" x14ac:dyDescent="0.25">
      <c r="B45" s="2" t="s">
        <v>26</v>
      </c>
      <c r="C45" s="2" t="s">
        <v>54</v>
      </c>
      <c r="D45" s="2" t="s">
        <v>95</v>
      </c>
      <c r="E45" s="2" t="s">
        <v>38</v>
      </c>
      <c r="F45" s="2" t="s">
        <v>94</v>
      </c>
      <c r="G45" s="2" t="s">
        <v>44</v>
      </c>
      <c r="H45" s="57" t="str">
        <f>Table1[[#This Row],[Tabela]]&amp;Table1[[#This Row],[Campo]]</f>
        <v>PROPERTYPROPERTY_CONTRACT_ID</v>
      </c>
      <c r="I45" s="3" t="s">
        <v>614</v>
      </c>
      <c r="J45" s="55">
        <f>VLOOKUP(Table1[[#This Row],[Status]],Auxiliar!$B$16:$C$24,2,0)</f>
        <v>1</v>
      </c>
      <c r="K45" s="2" t="s">
        <v>1252</v>
      </c>
      <c r="L45" s="29" t="s">
        <v>1258</v>
      </c>
      <c r="M45" s="21" t="s">
        <v>1259</v>
      </c>
      <c r="N45" s="48">
        <v>45485</v>
      </c>
      <c r="O45" s="21">
        <f>INDEX(Auxiliar!$D$5:$F$13,MATCH(Table1[[#This Row],[Tipologia_Testes]],Auxiliar!$B$5:$B$13,0),MATCH(Table1[[#This Row],[Complexidade]],Auxiliar!$D$4:$F$4,0))</f>
        <v>2</v>
      </c>
      <c r="P45" s="2" t="s">
        <v>1272</v>
      </c>
      <c r="Q45" s="2" t="s">
        <v>1269</v>
      </c>
      <c r="R45" s="152">
        <v>45261</v>
      </c>
      <c r="S45" s="152"/>
      <c r="T45" s="152"/>
      <c r="U45" s="152"/>
      <c r="V45" s="152"/>
      <c r="W45" s="2">
        <f>VLOOKUP(Table1[[#This Row],[Status]],Auxiliar!$B$16:$D$24,3,0)*Table1[[#This Row],[Estimação (horas)]]</f>
        <v>2</v>
      </c>
      <c r="X45" s="171"/>
      <c r="Y45" s="168"/>
    </row>
    <row r="46" spans="2:30" ht="17.7" customHeight="1" x14ac:dyDescent="0.25">
      <c r="B46" s="2" t="s">
        <v>26</v>
      </c>
      <c r="C46" s="2" t="s">
        <v>54</v>
      </c>
      <c r="D46" s="2" t="s">
        <v>95</v>
      </c>
      <c r="E46" s="2" t="s">
        <v>38</v>
      </c>
      <c r="F46" s="2" t="s">
        <v>94</v>
      </c>
      <c r="G46" s="2" t="s">
        <v>44</v>
      </c>
      <c r="H46" s="57" t="str">
        <f>Table1[[#This Row],[Tabela]]&amp;Table1[[#This Row],[Campo]]</f>
        <v>PROPERTYPROPERTY_CONTRACT_ID</v>
      </c>
      <c r="I46" s="3" t="s">
        <v>614</v>
      </c>
      <c r="J46" s="55">
        <f>VLOOKUP(Table1[[#This Row],[Status]],Auxiliar!$B$16:$C$24,2,0)</f>
        <v>1</v>
      </c>
      <c r="K46" s="2" t="s">
        <v>1253</v>
      </c>
      <c r="L46" s="29" t="s">
        <v>1258</v>
      </c>
      <c r="M46" s="21" t="s">
        <v>1259</v>
      </c>
      <c r="N46" s="48">
        <v>45485</v>
      </c>
      <c r="O46" s="21">
        <f>INDEX(Auxiliar!$D$5:$F$13,MATCH(Table1[[#This Row],[Tipologia_Testes]],Auxiliar!$B$5:$B$13,0),MATCH(Table1[[#This Row],[Complexidade]],Auxiliar!$D$4:$F$4,0))</f>
        <v>2</v>
      </c>
      <c r="P46" s="2" t="s">
        <v>1272</v>
      </c>
      <c r="Q46" s="2" t="s">
        <v>1269</v>
      </c>
      <c r="R46" s="152">
        <v>45261</v>
      </c>
      <c r="S46" s="152"/>
      <c r="T46" s="152"/>
      <c r="U46" s="152"/>
      <c r="V46" s="152"/>
      <c r="W46" s="2">
        <f>VLOOKUP(Table1[[#This Row],[Status]],Auxiliar!$B$16:$D$24,3,0)*Table1[[#This Row],[Estimação (horas)]]</f>
        <v>2</v>
      </c>
      <c r="X46" s="171"/>
      <c r="Y46" s="168"/>
    </row>
    <row r="47" spans="2:30" ht="17.7" customHeight="1" x14ac:dyDescent="0.25">
      <c r="B47" s="2" t="s">
        <v>26</v>
      </c>
      <c r="C47" s="2" t="s">
        <v>54</v>
      </c>
      <c r="D47" s="2" t="s">
        <v>95</v>
      </c>
      <c r="E47" s="2" t="s">
        <v>38</v>
      </c>
      <c r="F47" s="2" t="s">
        <v>94</v>
      </c>
      <c r="G47" s="2" t="s">
        <v>44</v>
      </c>
      <c r="H47" s="57" t="str">
        <f>Table1[[#This Row],[Tabela]]&amp;Table1[[#This Row],[Campo]]</f>
        <v>PROPERTYPROPERTY_CONTRACT_ID</v>
      </c>
      <c r="I47" s="3" t="s">
        <v>614</v>
      </c>
      <c r="J47" s="55">
        <f>VLOOKUP(Table1[[#This Row],[Status]],Auxiliar!$B$16:$C$24,2,0)</f>
        <v>1</v>
      </c>
      <c r="K47" s="2" t="s">
        <v>1255</v>
      </c>
      <c r="L47" s="29" t="s">
        <v>1258</v>
      </c>
      <c r="M47" s="21" t="s">
        <v>1259</v>
      </c>
      <c r="N47" s="48">
        <v>45485</v>
      </c>
      <c r="O47" s="21">
        <f>INDEX(Auxiliar!$D$5:$F$13,MATCH(Table1[[#This Row],[Tipologia_Testes]],Auxiliar!$B$5:$B$13,0),MATCH(Table1[[#This Row],[Complexidade]],Auxiliar!$D$4:$F$4,0))</f>
        <v>0.1</v>
      </c>
      <c r="P47" s="2" t="s">
        <v>1272</v>
      </c>
      <c r="Q47" s="2" t="s">
        <v>1269</v>
      </c>
      <c r="R47" s="152">
        <v>45261</v>
      </c>
      <c r="S47" s="152"/>
      <c r="T47" s="152"/>
      <c r="U47" s="152"/>
      <c r="V47" s="152"/>
      <c r="W47" s="2">
        <f>VLOOKUP(Table1[[#This Row],[Status]],Auxiliar!$B$16:$D$24,3,0)*Table1[[#This Row],[Estimação (horas)]]</f>
        <v>0.1</v>
      </c>
      <c r="X47" s="171"/>
      <c r="Y47" s="168"/>
    </row>
    <row r="48" spans="2:30" ht="17.7" customHeight="1" x14ac:dyDescent="0.25">
      <c r="B48" s="2" t="s">
        <v>26</v>
      </c>
      <c r="C48" s="2" t="s">
        <v>54</v>
      </c>
      <c r="D48" s="2" t="s">
        <v>95</v>
      </c>
      <c r="E48" s="2" t="s">
        <v>38</v>
      </c>
      <c r="F48" s="2" t="s">
        <v>94</v>
      </c>
      <c r="G48" s="2" t="s">
        <v>45</v>
      </c>
      <c r="H48" s="57" t="str">
        <f>Table1[[#This Row],[Tabela]]&amp;Table1[[#This Row],[Campo]]</f>
        <v>PROPERTYPROPERTY_REFERENCE_CODE</v>
      </c>
      <c r="I48" s="3" t="s">
        <v>614</v>
      </c>
      <c r="J48" s="55">
        <f>VLOOKUP(Table1[[#This Row],[Status]],Auxiliar!$B$16:$C$24,2,0)</f>
        <v>1</v>
      </c>
      <c r="K48" s="2" t="s">
        <v>1252</v>
      </c>
      <c r="L48" s="29" t="s">
        <v>1258</v>
      </c>
      <c r="M48" s="21" t="s">
        <v>1259</v>
      </c>
      <c r="N48" s="48">
        <v>45485</v>
      </c>
      <c r="O48" s="21">
        <f>INDEX(Auxiliar!$D$5:$F$13,MATCH(Table1[[#This Row],[Tipologia_Testes]],Auxiliar!$B$5:$B$13,0),MATCH(Table1[[#This Row],[Complexidade]],Auxiliar!$D$4:$F$4,0))</f>
        <v>2</v>
      </c>
      <c r="P48" s="2" t="s">
        <v>1272</v>
      </c>
      <c r="Q48" s="2" t="s">
        <v>1269</v>
      </c>
      <c r="R48" s="152">
        <v>45261</v>
      </c>
      <c r="S48" s="152"/>
      <c r="T48" s="152"/>
      <c r="U48" s="152"/>
      <c r="V48" s="152"/>
      <c r="W48" s="2">
        <f>VLOOKUP(Table1[[#This Row],[Status]],Auxiliar!$B$16:$D$24,3,0)*Table1[[#This Row],[Estimação (horas)]]</f>
        <v>2</v>
      </c>
      <c r="X48" s="171"/>
      <c r="Y48" s="168"/>
    </row>
    <row r="49" spans="2:25" ht="17.7" customHeight="1" x14ac:dyDescent="0.25">
      <c r="B49" s="2" t="s">
        <v>26</v>
      </c>
      <c r="C49" s="2" t="s">
        <v>54</v>
      </c>
      <c r="D49" s="2" t="s">
        <v>95</v>
      </c>
      <c r="E49" s="2" t="s">
        <v>38</v>
      </c>
      <c r="F49" s="2" t="s">
        <v>94</v>
      </c>
      <c r="G49" s="2" t="s">
        <v>45</v>
      </c>
      <c r="H49" s="57" t="str">
        <f>Table1[[#This Row],[Tabela]]&amp;Table1[[#This Row],[Campo]]</f>
        <v>PROPERTYPROPERTY_REFERENCE_CODE</v>
      </c>
      <c r="I49" s="3" t="s">
        <v>614</v>
      </c>
      <c r="J49" s="55">
        <f>VLOOKUP(Table1[[#This Row],[Status]],Auxiliar!$B$16:$C$24,2,0)</f>
        <v>1</v>
      </c>
      <c r="K49" s="2" t="s">
        <v>1253</v>
      </c>
      <c r="L49" s="29" t="s">
        <v>1258</v>
      </c>
      <c r="M49" s="21" t="s">
        <v>1259</v>
      </c>
      <c r="N49" s="48">
        <v>45485</v>
      </c>
      <c r="O49" s="21">
        <f>INDEX(Auxiliar!$D$5:$F$13,MATCH(Table1[[#This Row],[Tipologia_Testes]],Auxiliar!$B$5:$B$13,0),MATCH(Table1[[#This Row],[Complexidade]],Auxiliar!$D$4:$F$4,0))</f>
        <v>2</v>
      </c>
      <c r="P49" s="2" t="s">
        <v>1272</v>
      </c>
      <c r="Q49" s="2" t="s">
        <v>1269</v>
      </c>
      <c r="R49" s="152">
        <v>45261</v>
      </c>
      <c r="S49" s="152"/>
      <c r="T49" s="152"/>
      <c r="U49" s="152"/>
      <c r="V49" s="152"/>
      <c r="W49" s="2">
        <f>VLOOKUP(Table1[[#This Row],[Status]],Auxiliar!$B$16:$D$24,3,0)*Table1[[#This Row],[Estimação (horas)]]</f>
        <v>2</v>
      </c>
      <c r="X49" s="171"/>
      <c r="Y49" s="168"/>
    </row>
    <row r="50" spans="2:25" ht="17.7" customHeight="1" x14ac:dyDescent="0.25">
      <c r="B50" s="2" t="s">
        <v>26</v>
      </c>
      <c r="C50" s="2" t="s">
        <v>54</v>
      </c>
      <c r="D50" s="2" t="s">
        <v>95</v>
      </c>
      <c r="E50" s="2" t="s">
        <v>38</v>
      </c>
      <c r="F50" s="2" t="s">
        <v>94</v>
      </c>
      <c r="G50" s="2" t="s">
        <v>45</v>
      </c>
      <c r="H50" s="57" t="str">
        <f>Table1[[#This Row],[Tabela]]&amp;Table1[[#This Row],[Campo]]</f>
        <v>PROPERTYPROPERTY_REFERENCE_CODE</v>
      </c>
      <c r="I50" s="3" t="s">
        <v>614</v>
      </c>
      <c r="J50" s="55">
        <f>VLOOKUP(Table1[[#This Row],[Status]],Auxiliar!$B$16:$C$24,2,0)</f>
        <v>1</v>
      </c>
      <c r="K50" s="2" t="s">
        <v>1255</v>
      </c>
      <c r="L50" s="29" t="s">
        <v>1258</v>
      </c>
      <c r="M50" s="21" t="s">
        <v>1259</v>
      </c>
      <c r="N50" s="48">
        <v>45485</v>
      </c>
      <c r="O50" s="21">
        <f>INDEX(Auxiliar!$D$5:$F$13,MATCH(Table1[[#This Row],[Tipologia_Testes]],Auxiliar!$B$5:$B$13,0),MATCH(Table1[[#This Row],[Complexidade]],Auxiliar!$D$4:$F$4,0))</f>
        <v>0.1</v>
      </c>
      <c r="P50" s="2" t="s">
        <v>1272</v>
      </c>
      <c r="Q50" s="2" t="s">
        <v>1269</v>
      </c>
      <c r="R50" s="152">
        <v>45261</v>
      </c>
      <c r="S50" s="152"/>
      <c r="T50" s="152"/>
      <c r="U50" s="152"/>
      <c r="V50" s="152"/>
      <c r="W50" s="2">
        <f>VLOOKUP(Table1[[#This Row],[Status]],Auxiliar!$B$16:$D$24,3,0)*Table1[[#This Row],[Estimação (horas)]]</f>
        <v>0.1</v>
      </c>
      <c r="X50" s="171"/>
      <c r="Y50" s="168"/>
    </row>
    <row r="51" spans="2:25" ht="17.7" customHeight="1" x14ac:dyDescent="0.25">
      <c r="B51" s="2" t="s">
        <v>26</v>
      </c>
      <c r="C51" s="2" t="s">
        <v>54</v>
      </c>
      <c r="D51" s="2" t="s">
        <v>95</v>
      </c>
      <c r="E51" s="2" t="s">
        <v>38</v>
      </c>
      <c r="F51" s="2" t="s">
        <v>94</v>
      </c>
      <c r="G51" s="2" t="s">
        <v>98</v>
      </c>
      <c r="H51" s="57" t="str">
        <f>Table1[[#This Row],[Tabela]]&amp;Table1[[#This Row],[Campo]]</f>
        <v>PROPERTYCADASTRAL_REGISTER_CODE</v>
      </c>
      <c r="I51" s="3" t="s">
        <v>614</v>
      </c>
      <c r="J51" s="55">
        <f>VLOOKUP(Table1[[#This Row],[Status]],Auxiliar!$B$16:$C$24,2,0)</f>
        <v>1</v>
      </c>
      <c r="K51" s="2" t="s">
        <v>1252</v>
      </c>
      <c r="L51" s="29" t="s">
        <v>1258</v>
      </c>
      <c r="M51" s="21" t="s">
        <v>1259</v>
      </c>
      <c r="N51" s="48">
        <v>45505</v>
      </c>
      <c r="O51" s="21">
        <f>INDEX(Auxiliar!$D$5:$F$13,MATCH(Table1[[#This Row],[Tipologia_Testes]],Auxiliar!$B$5:$B$13,0),MATCH(Table1[[#This Row],[Complexidade]],Auxiliar!$D$4:$F$4,0))</f>
        <v>2</v>
      </c>
      <c r="P51" s="2"/>
      <c r="Q51" s="2" t="s">
        <v>1269</v>
      </c>
      <c r="R51" s="152">
        <v>45261</v>
      </c>
      <c r="S51" s="152"/>
      <c r="T51" s="152"/>
      <c r="U51" s="152"/>
      <c r="V51" s="152"/>
      <c r="W51" s="2">
        <f>VLOOKUP(Table1[[#This Row],[Status]],Auxiliar!$B$16:$D$24,3,0)*Table1[[#This Row],[Estimação (horas)]]</f>
        <v>2</v>
      </c>
      <c r="X51" s="171"/>
      <c r="Y51" s="168"/>
    </row>
    <row r="52" spans="2:25" ht="17.7" customHeight="1" x14ac:dyDescent="0.25">
      <c r="B52" s="2" t="s">
        <v>26</v>
      </c>
      <c r="C52" s="2" t="s">
        <v>54</v>
      </c>
      <c r="D52" s="2" t="s">
        <v>95</v>
      </c>
      <c r="E52" s="2" t="s">
        <v>38</v>
      </c>
      <c r="F52" s="2" t="s">
        <v>94</v>
      </c>
      <c r="G52" s="2" t="s">
        <v>98</v>
      </c>
      <c r="H52" s="57" t="str">
        <f>Table1[[#This Row],[Tabela]]&amp;Table1[[#This Row],[Campo]]</f>
        <v>PROPERTYCADASTRAL_REGISTER_CODE</v>
      </c>
      <c r="I52" s="3" t="s">
        <v>614</v>
      </c>
      <c r="J52" s="55">
        <f>VLOOKUP(Table1[[#This Row],[Status]],Auxiliar!$B$16:$C$24,2,0)</f>
        <v>1</v>
      </c>
      <c r="K52" s="2" t="s">
        <v>1253</v>
      </c>
      <c r="L52" s="29" t="s">
        <v>1258</v>
      </c>
      <c r="M52" s="21" t="s">
        <v>1259</v>
      </c>
      <c r="N52" s="48">
        <v>45505</v>
      </c>
      <c r="O52" s="21">
        <f>INDEX(Auxiliar!$D$5:$F$13,MATCH(Table1[[#This Row],[Tipologia_Testes]],Auxiliar!$B$5:$B$13,0),MATCH(Table1[[#This Row],[Complexidade]],Auxiliar!$D$4:$F$4,0))</f>
        <v>2</v>
      </c>
      <c r="P52" s="2"/>
      <c r="Q52" s="2" t="s">
        <v>1269</v>
      </c>
      <c r="R52" s="152">
        <v>45261</v>
      </c>
      <c r="S52" s="152"/>
      <c r="T52" s="152"/>
      <c r="U52" s="152"/>
      <c r="V52" s="152"/>
      <c r="W52" s="2">
        <f>VLOOKUP(Table1[[#This Row],[Status]],Auxiliar!$B$16:$D$24,3,0)*Table1[[#This Row],[Estimação (horas)]]</f>
        <v>2</v>
      </c>
      <c r="X52" s="171"/>
      <c r="Y52" s="168"/>
    </row>
    <row r="53" spans="2:25" ht="17.7" customHeight="1" x14ac:dyDescent="0.25">
      <c r="B53" s="2" t="s">
        <v>26</v>
      </c>
      <c r="C53" s="2" t="s">
        <v>54</v>
      </c>
      <c r="D53" s="2" t="s">
        <v>95</v>
      </c>
      <c r="E53" s="2" t="s">
        <v>38</v>
      </c>
      <c r="F53" s="2" t="s">
        <v>94</v>
      </c>
      <c r="G53" s="2" t="s">
        <v>98</v>
      </c>
      <c r="H53" s="57" t="str">
        <f>Table1[[#This Row],[Tabela]]&amp;Table1[[#This Row],[Campo]]</f>
        <v>PROPERTYCADASTRAL_REGISTER_CODE</v>
      </c>
      <c r="I53" s="3" t="s">
        <v>614</v>
      </c>
      <c r="J53" s="55">
        <f>VLOOKUP(Table1[[#This Row],[Status]],Auxiliar!$B$16:$C$24,2,0)</f>
        <v>1</v>
      </c>
      <c r="K53" s="2" t="s">
        <v>1255</v>
      </c>
      <c r="L53" s="29" t="s">
        <v>1258</v>
      </c>
      <c r="M53" s="21" t="s">
        <v>1259</v>
      </c>
      <c r="N53" s="48">
        <v>45505</v>
      </c>
      <c r="O53" s="21">
        <f>INDEX(Auxiliar!$D$5:$F$13,MATCH(Table1[[#This Row],[Tipologia_Testes]],Auxiliar!$B$5:$B$13,0),MATCH(Table1[[#This Row],[Complexidade]],Auxiliar!$D$4:$F$4,0))</f>
        <v>0.1</v>
      </c>
      <c r="P53" s="2"/>
      <c r="Q53" s="2" t="s">
        <v>1269</v>
      </c>
      <c r="R53" s="152">
        <v>45261</v>
      </c>
      <c r="S53" s="152"/>
      <c r="T53" s="152"/>
      <c r="U53" s="152"/>
      <c r="V53" s="152"/>
      <c r="W53" s="2">
        <f>VLOOKUP(Table1[[#This Row],[Status]],Auxiliar!$B$16:$D$24,3,0)*Table1[[#This Row],[Estimação (horas)]]</f>
        <v>0.1</v>
      </c>
      <c r="X53" s="171"/>
      <c r="Y53" s="168"/>
    </row>
    <row r="54" spans="2:25" ht="17.7" customHeight="1" x14ac:dyDescent="0.25">
      <c r="B54" s="2" t="s">
        <v>26</v>
      </c>
      <c r="C54" s="2" t="s">
        <v>54</v>
      </c>
      <c r="D54" s="2" t="s">
        <v>95</v>
      </c>
      <c r="E54" s="2" t="s">
        <v>38</v>
      </c>
      <c r="F54" s="2" t="s">
        <v>94</v>
      </c>
      <c r="G54" s="2" t="s">
        <v>99</v>
      </c>
      <c r="H54" s="57" t="str">
        <f>Table1[[#This Row],[Tabela]]&amp;Table1[[#This Row],[Campo]]</f>
        <v>PROPERTYAPPRAISAL_CODE</v>
      </c>
      <c r="I54" s="3" t="s">
        <v>614</v>
      </c>
      <c r="J54" s="55">
        <f>VLOOKUP(Table1[[#This Row],[Status]],Auxiliar!$B$16:$C$24,2,0)</f>
        <v>1</v>
      </c>
      <c r="K54" s="2" t="s">
        <v>1252</v>
      </c>
      <c r="L54" s="29" t="s">
        <v>1258</v>
      </c>
      <c r="M54" s="21" t="s">
        <v>1259</v>
      </c>
      <c r="N54" s="48">
        <v>45485</v>
      </c>
      <c r="O54" s="21">
        <f>INDEX(Auxiliar!$D$5:$F$13,MATCH(Table1[[#This Row],[Tipologia_Testes]],Auxiliar!$B$5:$B$13,0),MATCH(Table1[[#This Row],[Complexidade]],Auxiliar!$D$4:$F$4,0))</f>
        <v>2</v>
      </c>
      <c r="P54" s="2"/>
      <c r="Q54" s="2" t="s">
        <v>1269</v>
      </c>
      <c r="R54" s="152">
        <v>45261</v>
      </c>
      <c r="S54" s="152"/>
      <c r="T54" s="152"/>
      <c r="U54" s="152"/>
      <c r="V54" s="152"/>
      <c r="W54" s="2">
        <f>VLOOKUP(Table1[[#This Row],[Status]],Auxiliar!$B$16:$D$24,3,0)*Table1[[#This Row],[Estimação (horas)]]</f>
        <v>2</v>
      </c>
      <c r="X54" s="2"/>
    </row>
    <row r="55" spans="2:25" ht="17.7" customHeight="1" x14ac:dyDescent="0.25">
      <c r="B55" s="2" t="s">
        <v>26</v>
      </c>
      <c r="C55" s="2" t="s">
        <v>54</v>
      </c>
      <c r="D55" s="2" t="s">
        <v>95</v>
      </c>
      <c r="E55" s="2" t="s">
        <v>38</v>
      </c>
      <c r="F55" s="2" t="s">
        <v>94</v>
      </c>
      <c r="G55" s="2" t="s">
        <v>99</v>
      </c>
      <c r="H55" s="57" t="str">
        <f>Table1[[#This Row],[Tabela]]&amp;Table1[[#This Row],[Campo]]</f>
        <v>PROPERTYAPPRAISAL_CODE</v>
      </c>
      <c r="I55" s="3" t="s">
        <v>614</v>
      </c>
      <c r="J55" s="55">
        <f>VLOOKUP(Table1[[#This Row],[Status]],Auxiliar!$B$16:$C$24,2,0)</f>
        <v>1</v>
      </c>
      <c r="K55" s="2" t="s">
        <v>1253</v>
      </c>
      <c r="L55" s="29" t="s">
        <v>1258</v>
      </c>
      <c r="M55" s="21" t="s">
        <v>1259</v>
      </c>
      <c r="N55" s="48">
        <v>45485</v>
      </c>
      <c r="O55" s="21">
        <f>INDEX(Auxiliar!$D$5:$F$13,MATCH(Table1[[#This Row],[Tipologia_Testes]],Auxiliar!$B$5:$B$13,0),MATCH(Table1[[#This Row],[Complexidade]],Auxiliar!$D$4:$F$4,0))</f>
        <v>2</v>
      </c>
      <c r="P55" s="2"/>
      <c r="Q55" s="2" t="s">
        <v>1269</v>
      </c>
      <c r="R55" s="152">
        <v>45261</v>
      </c>
      <c r="S55" s="152"/>
      <c r="T55" s="152"/>
      <c r="U55" s="152"/>
      <c r="V55" s="152"/>
      <c r="W55" s="2">
        <f>VLOOKUP(Table1[[#This Row],[Status]],Auxiliar!$B$16:$D$24,3,0)*Table1[[#This Row],[Estimação (horas)]]</f>
        <v>2</v>
      </c>
      <c r="X55" s="2"/>
    </row>
    <row r="56" spans="2:25" ht="17.7" customHeight="1" x14ac:dyDescent="0.25">
      <c r="B56" s="2" t="s">
        <v>26</v>
      </c>
      <c r="C56" s="2" t="s">
        <v>54</v>
      </c>
      <c r="D56" s="2" t="s">
        <v>95</v>
      </c>
      <c r="E56" s="2" t="s">
        <v>38</v>
      </c>
      <c r="F56" s="2" t="s">
        <v>94</v>
      </c>
      <c r="G56" s="2" t="s">
        <v>99</v>
      </c>
      <c r="H56" s="57" t="str">
        <f>Table1[[#This Row],[Tabela]]&amp;Table1[[#This Row],[Campo]]</f>
        <v>PROPERTYAPPRAISAL_CODE</v>
      </c>
      <c r="I56" s="3" t="s">
        <v>614</v>
      </c>
      <c r="J56" s="55">
        <f>VLOOKUP(Table1[[#This Row],[Status]],Auxiliar!$B$16:$C$24,2,0)</f>
        <v>1</v>
      </c>
      <c r="K56" s="2" t="s">
        <v>1255</v>
      </c>
      <c r="L56" s="29" t="s">
        <v>1258</v>
      </c>
      <c r="M56" s="21" t="s">
        <v>1259</v>
      </c>
      <c r="N56" s="48">
        <v>45485</v>
      </c>
      <c r="O56" s="21">
        <f>INDEX(Auxiliar!$D$5:$F$13,MATCH(Table1[[#This Row],[Tipologia_Testes]],Auxiliar!$B$5:$B$13,0),MATCH(Table1[[#This Row],[Complexidade]],Auxiliar!$D$4:$F$4,0))</f>
        <v>0.1</v>
      </c>
      <c r="P56" s="2"/>
      <c r="Q56" s="2" t="s">
        <v>1269</v>
      </c>
      <c r="R56" s="152">
        <v>45261</v>
      </c>
      <c r="S56" s="152"/>
      <c r="T56" s="152"/>
      <c r="U56" s="152"/>
      <c r="V56" s="152"/>
      <c r="W56" s="2">
        <f>VLOOKUP(Table1[[#This Row],[Status]],Auxiliar!$B$16:$D$24,3,0)*Table1[[#This Row],[Estimação (horas)]]</f>
        <v>0.1</v>
      </c>
      <c r="X56" s="2"/>
    </row>
    <row r="57" spans="2:25" ht="34.950000000000003" customHeight="1" x14ac:dyDescent="0.25">
      <c r="B57" s="2" t="s">
        <v>26</v>
      </c>
      <c r="C57" s="2" t="s">
        <v>54</v>
      </c>
      <c r="D57" s="2" t="s">
        <v>95</v>
      </c>
      <c r="E57" s="2" t="s">
        <v>38</v>
      </c>
      <c r="F57" s="2" t="s">
        <v>94</v>
      </c>
      <c r="G57" s="2" t="s">
        <v>100</v>
      </c>
      <c r="H57" s="57" t="str">
        <f>Table1[[#This Row],[Tabela]]&amp;Table1[[#This Row],[Campo]]</f>
        <v>PROPERTYcod_bem</v>
      </c>
      <c r="I57" s="2" t="s">
        <v>613</v>
      </c>
      <c r="J57" s="43">
        <f>VLOOKUP(Table1[[#This Row],[Status]],Auxiliar!$B$16:$C$24,2,0)</f>
        <v>0</v>
      </c>
      <c r="K57" s="2" t="s">
        <v>1252</v>
      </c>
      <c r="L57" s="29" t="s">
        <v>1270</v>
      </c>
      <c r="M57" s="21" t="s">
        <v>1260</v>
      </c>
      <c r="N57" s="48">
        <v>45485</v>
      </c>
      <c r="O57" s="21">
        <f>INDEX(Auxiliar!$D$5:$F$13,MATCH(Table1[[#This Row],[Tipologia_Testes]],Auxiliar!$B$5:$B$13,0),MATCH(Table1[[#This Row],[Complexidade]],Auxiliar!$D$4:$F$4,0))</f>
        <v>4</v>
      </c>
      <c r="P57" s="23" t="s">
        <v>1273</v>
      </c>
      <c r="Q57" s="2" t="s">
        <v>1269</v>
      </c>
      <c r="R57" s="152">
        <v>45425</v>
      </c>
      <c r="S57" s="152"/>
      <c r="T57" s="152"/>
      <c r="U57" s="152"/>
      <c r="V57" s="152"/>
      <c r="W57" s="2">
        <f>VLOOKUP(Table1[[#This Row],[Status]],Auxiliar!$B$16:$D$24,3,0)*Table1[[#This Row],[Estimação (horas)]]</f>
        <v>0</v>
      </c>
      <c r="X57" s="2"/>
    </row>
    <row r="58" spans="2:25" ht="17.7" customHeight="1" x14ac:dyDescent="0.25">
      <c r="B58" s="2" t="s">
        <v>26</v>
      </c>
      <c r="C58" s="2" t="s">
        <v>54</v>
      </c>
      <c r="D58" s="2" t="s">
        <v>95</v>
      </c>
      <c r="E58" s="2" t="s">
        <v>38</v>
      </c>
      <c r="F58" s="2" t="s">
        <v>94</v>
      </c>
      <c r="G58" s="2" t="s">
        <v>101</v>
      </c>
      <c r="H58" s="57" t="str">
        <f>Table1[[#This Row],[Tabela]]&amp;Table1[[#This Row],[Campo]]</f>
        <v>PROPERTYDISTRICT_MUNICIP_PARISH_CODE</v>
      </c>
      <c r="I58" s="3" t="s">
        <v>614</v>
      </c>
      <c r="J58" s="55">
        <f>VLOOKUP(Table1[[#This Row],[Status]],Auxiliar!$B$16:$C$24,2,0)</f>
        <v>1</v>
      </c>
      <c r="K58" s="2" t="s">
        <v>1252</v>
      </c>
      <c r="L58" s="29" t="s">
        <v>1258</v>
      </c>
      <c r="M58" s="21" t="s">
        <v>1259</v>
      </c>
      <c r="N58" s="48">
        <v>45505</v>
      </c>
      <c r="O58" s="21">
        <f>INDEX(Auxiliar!$D$5:$F$13,MATCH(Table1[[#This Row],[Tipologia_Testes]],Auxiliar!$B$5:$B$13,0),MATCH(Table1[[#This Row],[Complexidade]],Auxiliar!$D$4:$F$4,0))</f>
        <v>2</v>
      </c>
      <c r="P58" s="2"/>
      <c r="Q58" s="2" t="s">
        <v>1269</v>
      </c>
      <c r="R58" s="152">
        <v>45261</v>
      </c>
      <c r="S58" s="152"/>
      <c r="T58" s="152"/>
      <c r="U58" s="152"/>
      <c r="V58" s="152"/>
      <c r="W58" s="2">
        <f>VLOOKUP(Table1[[#This Row],[Status]],Auxiliar!$B$16:$D$24,3,0)*Table1[[#This Row],[Estimação (horas)]]</f>
        <v>2</v>
      </c>
      <c r="X58" s="2"/>
    </row>
    <row r="59" spans="2:25" ht="17.7" customHeight="1" x14ac:dyDescent="0.25">
      <c r="B59" s="2" t="s">
        <v>26</v>
      </c>
      <c r="C59" s="2" t="s">
        <v>54</v>
      </c>
      <c r="D59" s="2" t="s">
        <v>95</v>
      </c>
      <c r="E59" s="2" t="s">
        <v>38</v>
      </c>
      <c r="F59" s="2" t="s">
        <v>94</v>
      </c>
      <c r="G59" s="2" t="s">
        <v>101</v>
      </c>
      <c r="H59" s="57" t="str">
        <f>Table1[[#This Row],[Tabela]]&amp;Table1[[#This Row],[Campo]]</f>
        <v>PROPERTYDISTRICT_MUNICIP_PARISH_CODE</v>
      </c>
      <c r="I59" s="3" t="s">
        <v>614</v>
      </c>
      <c r="J59" s="55">
        <f>VLOOKUP(Table1[[#This Row],[Status]],Auxiliar!$B$16:$C$24,2,0)</f>
        <v>1</v>
      </c>
      <c r="K59" s="2" t="s">
        <v>1253</v>
      </c>
      <c r="L59" s="29" t="s">
        <v>1258</v>
      </c>
      <c r="M59" s="21" t="s">
        <v>1259</v>
      </c>
      <c r="N59" s="48">
        <v>45505</v>
      </c>
      <c r="O59" s="21">
        <f>INDEX(Auxiliar!$D$5:$F$13,MATCH(Table1[[#This Row],[Tipologia_Testes]],Auxiliar!$B$5:$B$13,0),MATCH(Table1[[#This Row],[Complexidade]],Auxiliar!$D$4:$F$4,0))</f>
        <v>2</v>
      </c>
      <c r="P59" s="2"/>
      <c r="Q59" s="2" t="s">
        <v>1269</v>
      </c>
      <c r="R59" s="152">
        <v>45261</v>
      </c>
      <c r="S59" s="152"/>
      <c r="T59" s="152"/>
      <c r="U59" s="152"/>
      <c r="V59" s="152"/>
      <c r="W59" s="2">
        <f>VLOOKUP(Table1[[#This Row],[Status]],Auxiliar!$B$16:$D$24,3,0)*Table1[[#This Row],[Estimação (horas)]]</f>
        <v>2</v>
      </c>
      <c r="X59" s="2"/>
    </row>
    <row r="60" spans="2:25" ht="17.7" customHeight="1" x14ac:dyDescent="0.25">
      <c r="B60" s="2" t="s">
        <v>26</v>
      </c>
      <c r="C60" s="2" t="s">
        <v>54</v>
      </c>
      <c r="D60" s="2" t="s">
        <v>95</v>
      </c>
      <c r="E60" s="2" t="s">
        <v>38</v>
      </c>
      <c r="F60" s="2" t="s">
        <v>94</v>
      </c>
      <c r="G60" s="2" t="s">
        <v>101</v>
      </c>
      <c r="H60" s="57" t="str">
        <f>Table1[[#This Row],[Tabela]]&amp;Table1[[#This Row],[Campo]]</f>
        <v>PROPERTYDISTRICT_MUNICIP_PARISH_CODE</v>
      </c>
      <c r="I60" s="3" t="s">
        <v>614</v>
      </c>
      <c r="J60" s="55">
        <f>VLOOKUP(Table1[[#This Row],[Status]],Auxiliar!$B$16:$C$24,2,0)</f>
        <v>1</v>
      </c>
      <c r="K60" s="2" t="s">
        <v>1255</v>
      </c>
      <c r="L60" s="29" t="s">
        <v>1258</v>
      </c>
      <c r="M60" s="21" t="s">
        <v>1259</v>
      </c>
      <c r="N60" s="48">
        <v>45505</v>
      </c>
      <c r="O60" s="21">
        <f>INDEX(Auxiliar!$D$5:$F$13,MATCH(Table1[[#This Row],[Tipologia_Testes]],Auxiliar!$B$5:$B$13,0),MATCH(Table1[[#This Row],[Complexidade]],Auxiliar!$D$4:$F$4,0))</f>
        <v>0.1</v>
      </c>
      <c r="P60" s="2"/>
      <c r="Q60" s="2" t="s">
        <v>1269</v>
      </c>
      <c r="R60" s="152">
        <v>45261</v>
      </c>
      <c r="S60" s="152"/>
      <c r="T60" s="152"/>
      <c r="U60" s="152"/>
      <c r="V60" s="152"/>
      <c r="W60" s="2">
        <f>VLOOKUP(Table1[[#This Row],[Status]],Auxiliar!$B$16:$D$24,3,0)*Table1[[#This Row],[Estimação (horas)]]</f>
        <v>0.1</v>
      </c>
      <c r="X60" s="2"/>
    </row>
    <row r="61" spans="2:25" ht="17.7" customHeight="1" x14ac:dyDescent="0.25">
      <c r="B61" s="2" t="s">
        <v>26</v>
      </c>
      <c r="C61" s="2" t="s">
        <v>54</v>
      </c>
      <c r="D61" s="2" t="s">
        <v>95</v>
      </c>
      <c r="E61" s="2" t="s">
        <v>38</v>
      </c>
      <c r="F61" s="2" t="s">
        <v>94</v>
      </c>
      <c r="G61" s="2" t="s">
        <v>102</v>
      </c>
      <c r="H61" s="57" t="str">
        <f>Table1[[#This Row],[Tabela]]&amp;Table1[[#This Row],[Campo]]</f>
        <v>PROPERTYPROPERTY_PURPOSE_CODE</v>
      </c>
      <c r="I61" s="3" t="s">
        <v>614</v>
      </c>
      <c r="J61" s="55">
        <f>VLOOKUP(Table1[[#This Row],[Status]],Auxiliar!$B$16:$C$24,2,0)</f>
        <v>1</v>
      </c>
      <c r="K61" s="2" t="s">
        <v>1252</v>
      </c>
      <c r="L61" s="29" t="s">
        <v>1258</v>
      </c>
      <c r="M61" s="21" t="s">
        <v>1259</v>
      </c>
      <c r="N61" s="48">
        <v>45505</v>
      </c>
      <c r="O61" s="21">
        <f>INDEX(Auxiliar!$D$5:$F$13,MATCH(Table1[[#This Row],[Tipologia_Testes]],Auxiliar!$B$5:$B$13,0),MATCH(Table1[[#This Row],[Complexidade]],Auxiliar!$D$4:$F$4,0))</f>
        <v>2</v>
      </c>
      <c r="P61" s="2"/>
      <c r="Q61" s="2" t="s">
        <v>1269</v>
      </c>
      <c r="R61" s="152">
        <v>45261</v>
      </c>
      <c r="S61" s="152"/>
      <c r="T61" s="152"/>
      <c r="U61" s="152"/>
      <c r="V61" s="152"/>
      <c r="W61" s="2">
        <f>VLOOKUP(Table1[[#This Row],[Status]],Auxiliar!$B$16:$D$24,3,0)*Table1[[#This Row],[Estimação (horas)]]</f>
        <v>2</v>
      </c>
      <c r="X61" s="2"/>
    </row>
    <row r="62" spans="2:25" ht="17.7" customHeight="1" x14ac:dyDescent="0.25">
      <c r="B62" s="2" t="s">
        <v>26</v>
      </c>
      <c r="C62" s="2" t="s">
        <v>54</v>
      </c>
      <c r="D62" s="2" t="s">
        <v>95</v>
      </c>
      <c r="E62" s="2" t="s">
        <v>38</v>
      </c>
      <c r="F62" s="2" t="s">
        <v>94</v>
      </c>
      <c r="G62" s="2" t="s">
        <v>102</v>
      </c>
      <c r="H62" s="57" t="str">
        <f>Table1[[#This Row],[Tabela]]&amp;Table1[[#This Row],[Campo]]</f>
        <v>PROPERTYPROPERTY_PURPOSE_CODE</v>
      </c>
      <c r="I62" s="3" t="s">
        <v>614</v>
      </c>
      <c r="J62" s="55">
        <f>VLOOKUP(Table1[[#This Row],[Status]],Auxiliar!$B$16:$C$24,2,0)</f>
        <v>1</v>
      </c>
      <c r="K62" s="2" t="s">
        <v>1253</v>
      </c>
      <c r="L62" s="29" t="s">
        <v>1258</v>
      </c>
      <c r="M62" s="21" t="s">
        <v>1259</v>
      </c>
      <c r="N62" s="48">
        <v>45505</v>
      </c>
      <c r="O62" s="21">
        <f>INDEX(Auxiliar!$D$5:$F$13,MATCH(Table1[[#This Row],[Tipologia_Testes]],Auxiliar!$B$5:$B$13,0),MATCH(Table1[[#This Row],[Complexidade]],Auxiliar!$D$4:$F$4,0))</f>
        <v>2</v>
      </c>
      <c r="P62" s="2"/>
      <c r="Q62" s="2" t="s">
        <v>1269</v>
      </c>
      <c r="R62" s="152">
        <v>45261</v>
      </c>
      <c r="S62" s="152"/>
      <c r="T62" s="152"/>
      <c r="U62" s="152"/>
      <c r="V62" s="152"/>
      <c r="W62" s="2">
        <f>VLOOKUP(Table1[[#This Row],[Status]],Auxiliar!$B$16:$D$24,3,0)*Table1[[#This Row],[Estimação (horas)]]</f>
        <v>2</v>
      </c>
      <c r="X62" s="2"/>
    </row>
    <row r="63" spans="2:25" ht="17.7" customHeight="1" x14ac:dyDescent="0.25">
      <c r="B63" s="2" t="s">
        <v>26</v>
      </c>
      <c r="C63" s="2" t="s">
        <v>54</v>
      </c>
      <c r="D63" s="2" t="s">
        <v>95</v>
      </c>
      <c r="E63" s="2" t="s">
        <v>38</v>
      </c>
      <c r="F63" s="2" t="s">
        <v>94</v>
      </c>
      <c r="G63" s="2" t="s">
        <v>102</v>
      </c>
      <c r="H63" s="57" t="str">
        <f>Table1[[#This Row],[Tabela]]&amp;Table1[[#This Row],[Campo]]</f>
        <v>PROPERTYPROPERTY_PURPOSE_CODE</v>
      </c>
      <c r="I63" s="3" t="s">
        <v>614</v>
      </c>
      <c r="J63" s="55">
        <f>VLOOKUP(Table1[[#This Row],[Status]],Auxiliar!$B$16:$C$24,2,0)</f>
        <v>1</v>
      </c>
      <c r="K63" s="2" t="s">
        <v>1255</v>
      </c>
      <c r="L63" s="29" t="s">
        <v>1258</v>
      </c>
      <c r="M63" s="21" t="s">
        <v>1259</v>
      </c>
      <c r="N63" s="48">
        <v>45505</v>
      </c>
      <c r="O63" s="21">
        <f>INDEX(Auxiliar!$D$5:$F$13,MATCH(Table1[[#This Row],[Tipologia_Testes]],Auxiliar!$B$5:$B$13,0),MATCH(Table1[[#This Row],[Complexidade]],Auxiliar!$D$4:$F$4,0))</f>
        <v>0.1</v>
      </c>
      <c r="P63" s="2"/>
      <c r="Q63" s="2" t="s">
        <v>1269</v>
      </c>
      <c r="R63" s="152">
        <v>45261</v>
      </c>
      <c r="S63" s="152"/>
      <c r="T63" s="152"/>
      <c r="U63" s="152"/>
      <c r="V63" s="152"/>
      <c r="W63" s="2">
        <f>VLOOKUP(Table1[[#This Row],[Status]],Auxiliar!$B$16:$D$24,3,0)*Table1[[#This Row],[Estimação (horas)]]</f>
        <v>0.1</v>
      </c>
      <c r="X63" s="2"/>
    </row>
    <row r="64" spans="2:25" ht="17.7" customHeight="1" x14ac:dyDescent="0.25">
      <c r="B64" s="2" t="s">
        <v>26</v>
      </c>
      <c r="C64" s="2" t="s">
        <v>54</v>
      </c>
      <c r="D64" s="2" t="s">
        <v>95</v>
      </c>
      <c r="E64" s="2" t="s">
        <v>38</v>
      </c>
      <c r="F64" s="2" t="s">
        <v>94</v>
      </c>
      <c r="G64" s="2" t="s">
        <v>103</v>
      </c>
      <c r="H64" s="57" t="str">
        <f>Table1[[#This Row],[Tabela]]&amp;Table1[[#This Row],[Campo]]</f>
        <v>PROPERTYPROPERTY_LIFETIME_CODE</v>
      </c>
      <c r="I64" s="2" t="s">
        <v>614</v>
      </c>
      <c r="J64" s="43">
        <f>VLOOKUP(Table1[[#This Row],[Status]],Auxiliar!$B$16:$C$24,2,0)</f>
        <v>1</v>
      </c>
      <c r="K64" s="2" t="s">
        <v>1252</v>
      </c>
      <c r="L64" s="29" t="s">
        <v>1258</v>
      </c>
      <c r="M64" s="21" t="s">
        <v>1259</v>
      </c>
      <c r="N64" s="48">
        <v>45490</v>
      </c>
      <c r="O64" s="21">
        <f>INDEX(Auxiliar!$D$5:$F$13,MATCH(Table1[[#This Row],[Tipologia_Testes]],Auxiliar!$B$5:$B$13,0),MATCH(Table1[[#This Row],[Complexidade]],Auxiliar!$D$4:$F$4,0))</f>
        <v>2</v>
      </c>
      <c r="P64" s="2"/>
      <c r="Q64" s="2" t="s">
        <v>1269</v>
      </c>
      <c r="R64" s="152">
        <v>45261</v>
      </c>
      <c r="S64" s="152"/>
      <c r="T64" s="152"/>
      <c r="U64" s="152"/>
      <c r="V64" s="152"/>
      <c r="W64" s="2">
        <f>VLOOKUP(Table1[[#This Row],[Status]],Auxiliar!$B$16:$D$24,3,0)*Table1[[#This Row],[Estimação (horas)]]</f>
        <v>2</v>
      </c>
      <c r="X64" s="2"/>
    </row>
    <row r="65" spans="2:24" ht="17.7" customHeight="1" x14ac:dyDescent="0.25">
      <c r="B65" s="2" t="s">
        <v>26</v>
      </c>
      <c r="C65" s="2" t="s">
        <v>54</v>
      </c>
      <c r="D65" s="2" t="s">
        <v>95</v>
      </c>
      <c r="E65" s="2" t="s">
        <v>38</v>
      </c>
      <c r="F65" s="2" t="s">
        <v>94</v>
      </c>
      <c r="G65" s="2" t="s">
        <v>103</v>
      </c>
      <c r="H65" s="57" t="str">
        <f>Table1[[#This Row],[Tabela]]&amp;Table1[[#This Row],[Campo]]</f>
        <v>PROPERTYPROPERTY_LIFETIME_CODE</v>
      </c>
      <c r="I65" s="2" t="s">
        <v>614</v>
      </c>
      <c r="J65" s="43">
        <f>VLOOKUP(Table1[[#This Row],[Status]],Auxiliar!$B$16:$C$24,2,0)</f>
        <v>1</v>
      </c>
      <c r="K65" s="2" t="s">
        <v>1253</v>
      </c>
      <c r="L65" s="29" t="s">
        <v>1258</v>
      </c>
      <c r="M65" s="21" t="s">
        <v>1259</v>
      </c>
      <c r="N65" s="48">
        <v>45490</v>
      </c>
      <c r="O65" s="21">
        <f>INDEX(Auxiliar!$D$5:$F$13,MATCH(Table1[[#This Row],[Tipologia_Testes]],Auxiliar!$B$5:$B$13,0),MATCH(Table1[[#This Row],[Complexidade]],Auxiliar!$D$4:$F$4,0))</f>
        <v>2</v>
      </c>
      <c r="P65" s="2"/>
      <c r="Q65" s="2" t="s">
        <v>1269</v>
      </c>
      <c r="R65" s="152">
        <v>45261</v>
      </c>
      <c r="S65" s="152"/>
      <c r="T65" s="152"/>
      <c r="U65" s="152"/>
      <c r="V65" s="152"/>
      <c r="W65" s="2">
        <f>VLOOKUP(Table1[[#This Row],[Status]],Auxiliar!$B$16:$D$24,3,0)*Table1[[#This Row],[Estimação (horas)]]</f>
        <v>2</v>
      </c>
      <c r="X65" s="2"/>
    </row>
    <row r="66" spans="2:24" ht="17.7" customHeight="1" x14ac:dyDescent="0.25">
      <c r="B66" s="2" t="s">
        <v>26</v>
      </c>
      <c r="C66" s="2" t="s">
        <v>54</v>
      </c>
      <c r="D66" s="2" t="s">
        <v>95</v>
      </c>
      <c r="E66" s="2" t="s">
        <v>38</v>
      </c>
      <c r="F66" s="2" t="s">
        <v>94</v>
      </c>
      <c r="G66" s="2" t="s">
        <v>103</v>
      </c>
      <c r="H66" s="57" t="str">
        <f>Table1[[#This Row],[Tabela]]&amp;Table1[[#This Row],[Campo]]</f>
        <v>PROPERTYPROPERTY_LIFETIME_CODE</v>
      </c>
      <c r="I66" s="2" t="s">
        <v>614</v>
      </c>
      <c r="J66" s="43">
        <f>VLOOKUP(Table1[[#This Row],[Status]],Auxiliar!$B$16:$C$24,2,0)</f>
        <v>1</v>
      </c>
      <c r="K66" s="2" t="s">
        <v>1255</v>
      </c>
      <c r="L66" s="29" t="s">
        <v>1258</v>
      </c>
      <c r="M66" s="21" t="s">
        <v>1259</v>
      </c>
      <c r="N66" s="48">
        <v>45490</v>
      </c>
      <c r="O66" s="21">
        <f>INDEX(Auxiliar!$D$5:$F$13,MATCH(Table1[[#This Row],[Tipologia_Testes]],Auxiliar!$B$5:$B$13,0),MATCH(Table1[[#This Row],[Complexidade]],Auxiliar!$D$4:$F$4,0))</f>
        <v>0.1</v>
      </c>
      <c r="P66" s="2"/>
      <c r="Q66" s="2" t="s">
        <v>1269</v>
      </c>
      <c r="R66" s="152">
        <v>45261</v>
      </c>
      <c r="S66" s="152"/>
      <c r="T66" s="152"/>
      <c r="U66" s="152"/>
      <c r="V66" s="152"/>
      <c r="W66" s="2">
        <f>VLOOKUP(Table1[[#This Row],[Status]],Auxiliar!$B$16:$D$24,3,0)*Table1[[#This Row],[Estimação (horas)]]</f>
        <v>0.1</v>
      </c>
      <c r="X66" s="2"/>
    </row>
    <row r="67" spans="2:24" ht="17.7" customHeight="1" x14ac:dyDescent="0.25">
      <c r="B67" s="2" t="s">
        <v>26</v>
      </c>
      <c r="C67" s="2" t="s">
        <v>54</v>
      </c>
      <c r="D67" s="2" t="s">
        <v>95</v>
      </c>
      <c r="E67" s="2" t="s">
        <v>38</v>
      </c>
      <c r="F67" s="2" t="s">
        <v>94</v>
      </c>
      <c r="G67" s="2" t="s">
        <v>104</v>
      </c>
      <c r="H67" s="57" t="str">
        <f>Table1[[#This Row],[Tabela]]&amp;Table1[[#This Row],[Campo]]</f>
        <v>PROPERTYADDRESS_CODE</v>
      </c>
      <c r="I67" s="2" t="s">
        <v>614</v>
      </c>
      <c r="J67" s="43">
        <f>VLOOKUP(Table1[[#This Row],[Status]],Auxiliar!$B$16:$C$24,2,0)</f>
        <v>1</v>
      </c>
      <c r="K67" s="2" t="s">
        <v>1252</v>
      </c>
      <c r="L67" s="29" t="s">
        <v>1258</v>
      </c>
      <c r="M67" s="21" t="s">
        <v>1259</v>
      </c>
      <c r="N67" s="48">
        <v>45485</v>
      </c>
      <c r="O67" s="21">
        <f>INDEX(Auxiliar!$D$5:$F$13,MATCH(Table1[[#This Row],[Tipologia_Testes]],Auxiliar!$B$5:$B$13,0),MATCH(Table1[[#This Row],[Complexidade]],Auxiliar!$D$4:$F$4,0))</f>
        <v>2</v>
      </c>
      <c r="P67" s="2"/>
      <c r="Q67" s="2" t="s">
        <v>1269</v>
      </c>
      <c r="R67" s="152">
        <v>45261</v>
      </c>
      <c r="S67" s="152"/>
      <c r="T67" s="152"/>
      <c r="U67" s="152"/>
      <c r="V67" s="152"/>
      <c r="W67" s="2">
        <f>VLOOKUP(Table1[[#This Row],[Status]],Auxiliar!$B$16:$D$24,3,0)*Table1[[#This Row],[Estimação (horas)]]</f>
        <v>2</v>
      </c>
      <c r="X67" s="2"/>
    </row>
    <row r="68" spans="2:24" ht="17.7" customHeight="1" x14ac:dyDescent="0.25">
      <c r="B68" s="2" t="s">
        <v>26</v>
      </c>
      <c r="C68" s="2" t="s">
        <v>54</v>
      </c>
      <c r="D68" s="2" t="s">
        <v>95</v>
      </c>
      <c r="E68" s="2" t="s">
        <v>38</v>
      </c>
      <c r="F68" s="2" t="s">
        <v>94</v>
      </c>
      <c r="G68" s="2" t="s">
        <v>104</v>
      </c>
      <c r="H68" s="57" t="str">
        <f>Table1[[#This Row],[Tabela]]&amp;Table1[[#This Row],[Campo]]</f>
        <v>PROPERTYADDRESS_CODE</v>
      </c>
      <c r="I68" s="2" t="s">
        <v>614</v>
      </c>
      <c r="J68" s="43">
        <f>VLOOKUP(Table1[[#This Row],[Status]],Auxiliar!$B$16:$C$24,2,0)</f>
        <v>1</v>
      </c>
      <c r="K68" s="2" t="s">
        <v>1253</v>
      </c>
      <c r="L68" s="29" t="s">
        <v>1258</v>
      </c>
      <c r="M68" s="21" t="s">
        <v>1259</v>
      </c>
      <c r="N68" s="48">
        <v>45485</v>
      </c>
      <c r="O68" s="21">
        <f>INDEX(Auxiliar!$D$5:$F$13,MATCH(Table1[[#This Row],[Tipologia_Testes]],Auxiliar!$B$5:$B$13,0),MATCH(Table1[[#This Row],[Complexidade]],Auxiliar!$D$4:$F$4,0))</f>
        <v>2</v>
      </c>
      <c r="P68" s="2"/>
      <c r="Q68" s="2" t="s">
        <v>1269</v>
      </c>
      <c r="R68" s="152">
        <v>45261</v>
      </c>
      <c r="S68" s="152"/>
      <c r="T68" s="152"/>
      <c r="U68" s="152"/>
      <c r="V68" s="152"/>
      <c r="W68" s="2">
        <f>VLOOKUP(Table1[[#This Row],[Status]],Auxiliar!$B$16:$D$24,3,0)*Table1[[#This Row],[Estimação (horas)]]</f>
        <v>2</v>
      </c>
      <c r="X68" s="2"/>
    </row>
    <row r="69" spans="2:24" ht="17.7" customHeight="1" x14ac:dyDescent="0.25">
      <c r="B69" s="2" t="s">
        <v>26</v>
      </c>
      <c r="C69" s="2" t="s">
        <v>54</v>
      </c>
      <c r="D69" s="2" t="s">
        <v>95</v>
      </c>
      <c r="E69" s="2" t="s">
        <v>38</v>
      </c>
      <c r="F69" s="2" t="s">
        <v>94</v>
      </c>
      <c r="G69" s="2" t="s">
        <v>104</v>
      </c>
      <c r="H69" s="57" t="str">
        <f>Table1[[#This Row],[Tabela]]&amp;Table1[[#This Row],[Campo]]</f>
        <v>PROPERTYADDRESS_CODE</v>
      </c>
      <c r="I69" s="2" t="s">
        <v>614</v>
      </c>
      <c r="J69" s="43">
        <f>VLOOKUP(Table1[[#This Row],[Status]],Auxiliar!$B$16:$C$24,2,0)</f>
        <v>1</v>
      </c>
      <c r="K69" s="2" t="s">
        <v>1255</v>
      </c>
      <c r="L69" s="29" t="s">
        <v>1258</v>
      </c>
      <c r="M69" s="21" t="s">
        <v>1259</v>
      </c>
      <c r="N69" s="48">
        <v>45485</v>
      </c>
      <c r="O69" s="21">
        <f>INDEX(Auxiliar!$D$5:$F$13,MATCH(Table1[[#This Row],[Tipologia_Testes]],Auxiliar!$B$5:$B$13,0),MATCH(Table1[[#This Row],[Complexidade]],Auxiliar!$D$4:$F$4,0))</f>
        <v>0.1</v>
      </c>
      <c r="P69" s="2"/>
      <c r="Q69" s="2" t="s">
        <v>1269</v>
      </c>
      <c r="R69" s="152">
        <v>45261</v>
      </c>
      <c r="S69" s="152"/>
      <c r="T69" s="152"/>
      <c r="U69" s="152"/>
      <c r="V69" s="152"/>
      <c r="W69" s="2">
        <f>VLOOKUP(Table1[[#This Row],[Status]],Auxiliar!$B$16:$D$24,3,0)*Table1[[#This Row],[Estimação (horas)]]</f>
        <v>0.1</v>
      </c>
      <c r="X69" s="2"/>
    </row>
    <row r="70" spans="2:24" ht="17.7" customHeight="1" x14ac:dyDescent="0.25">
      <c r="B70" s="2" t="s">
        <v>26</v>
      </c>
      <c r="C70" s="2" t="s">
        <v>54</v>
      </c>
      <c r="D70" s="2" t="s">
        <v>95</v>
      </c>
      <c r="E70" s="2" t="s">
        <v>38</v>
      </c>
      <c r="F70" s="2" t="s">
        <v>94</v>
      </c>
      <c r="G70" s="2" t="s">
        <v>105</v>
      </c>
      <c r="H70" s="57" t="str">
        <f>Table1[[#This Row],[Tabela]]&amp;Table1[[#This Row],[Campo]]</f>
        <v>PROPERTYCOUNTRY_CODE</v>
      </c>
      <c r="I70" s="2" t="s">
        <v>614</v>
      </c>
      <c r="J70" s="43">
        <f>VLOOKUP(Table1[[#This Row],[Status]],Auxiliar!$B$16:$C$24,2,0)</f>
        <v>1</v>
      </c>
      <c r="K70" s="2" t="s">
        <v>1252</v>
      </c>
      <c r="L70" s="29" t="s">
        <v>1258</v>
      </c>
      <c r="M70" s="21" t="s">
        <v>1259</v>
      </c>
      <c r="N70" s="48">
        <v>45485</v>
      </c>
      <c r="O70" s="21">
        <f>INDEX(Auxiliar!$D$5:$F$13,MATCH(Table1[[#This Row],[Tipologia_Testes]],Auxiliar!$B$5:$B$13,0),MATCH(Table1[[#This Row],[Complexidade]],Auxiliar!$D$4:$F$4,0))</f>
        <v>2</v>
      </c>
      <c r="P70" s="2"/>
      <c r="Q70" s="2" t="s">
        <v>1269</v>
      </c>
      <c r="R70" s="152">
        <v>45261</v>
      </c>
      <c r="S70" s="152"/>
      <c r="T70" s="152"/>
      <c r="U70" s="152"/>
      <c r="V70" s="152"/>
      <c r="W70" s="2">
        <f>VLOOKUP(Table1[[#This Row],[Status]],Auxiliar!$B$16:$D$24,3,0)*Table1[[#This Row],[Estimação (horas)]]</f>
        <v>2</v>
      </c>
      <c r="X70" s="2"/>
    </row>
    <row r="71" spans="2:24" ht="17.7" customHeight="1" x14ac:dyDescent="0.25">
      <c r="B71" s="2" t="s">
        <v>26</v>
      </c>
      <c r="C71" s="2" t="s">
        <v>54</v>
      </c>
      <c r="D71" s="2" t="s">
        <v>95</v>
      </c>
      <c r="E71" s="2" t="s">
        <v>38</v>
      </c>
      <c r="F71" s="2" t="s">
        <v>94</v>
      </c>
      <c r="G71" s="2" t="s">
        <v>105</v>
      </c>
      <c r="H71" s="57" t="str">
        <f>Table1[[#This Row],[Tabela]]&amp;Table1[[#This Row],[Campo]]</f>
        <v>PROPERTYCOUNTRY_CODE</v>
      </c>
      <c r="I71" s="2" t="s">
        <v>614</v>
      </c>
      <c r="J71" s="43">
        <f>VLOOKUP(Table1[[#This Row],[Status]],Auxiliar!$B$16:$C$24,2,0)</f>
        <v>1</v>
      </c>
      <c r="K71" s="2" t="s">
        <v>1253</v>
      </c>
      <c r="L71" s="29" t="s">
        <v>1258</v>
      </c>
      <c r="M71" s="21" t="s">
        <v>1259</v>
      </c>
      <c r="N71" s="48">
        <v>45485</v>
      </c>
      <c r="O71" s="21">
        <f>INDEX(Auxiliar!$D$5:$F$13,MATCH(Table1[[#This Row],[Tipologia_Testes]],Auxiliar!$B$5:$B$13,0),MATCH(Table1[[#This Row],[Complexidade]],Auxiliar!$D$4:$F$4,0))</f>
        <v>2</v>
      </c>
      <c r="P71" s="2"/>
      <c r="Q71" s="2" t="s">
        <v>1269</v>
      </c>
      <c r="R71" s="152">
        <v>45261</v>
      </c>
      <c r="S71" s="152"/>
      <c r="T71" s="152"/>
      <c r="U71" s="152"/>
      <c r="V71" s="152"/>
      <c r="W71" s="2">
        <f>VLOOKUP(Table1[[#This Row],[Status]],Auxiliar!$B$16:$D$24,3,0)*Table1[[#This Row],[Estimação (horas)]]</f>
        <v>2</v>
      </c>
      <c r="X71" s="2"/>
    </row>
    <row r="72" spans="2:24" ht="17.7" customHeight="1" x14ac:dyDescent="0.25">
      <c r="B72" s="2" t="s">
        <v>26</v>
      </c>
      <c r="C72" s="2" t="s">
        <v>54</v>
      </c>
      <c r="D72" s="2" t="s">
        <v>95</v>
      </c>
      <c r="E72" s="2" t="s">
        <v>38</v>
      </c>
      <c r="F72" s="2" t="s">
        <v>94</v>
      </c>
      <c r="G72" s="2" t="s">
        <v>105</v>
      </c>
      <c r="H72" s="57" t="str">
        <f>Table1[[#This Row],[Tabela]]&amp;Table1[[#This Row],[Campo]]</f>
        <v>PROPERTYCOUNTRY_CODE</v>
      </c>
      <c r="I72" s="2" t="s">
        <v>614</v>
      </c>
      <c r="J72" s="43">
        <f>VLOOKUP(Table1[[#This Row],[Status]],Auxiliar!$B$16:$C$24,2,0)</f>
        <v>1</v>
      </c>
      <c r="K72" s="2" t="s">
        <v>1255</v>
      </c>
      <c r="L72" s="29" t="s">
        <v>1258</v>
      </c>
      <c r="M72" s="21" t="s">
        <v>1259</v>
      </c>
      <c r="N72" s="48">
        <v>45485</v>
      </c>
      <c r="O72" s="21">
        <f>INDEX(Auxiliar!$D$5:$F$13,MATCH(Table1[[#This Row],[Tipologia_Testes]],Auxiliar!$B$5:$B$13,0),MATCH(Table1[[#This Row],[Complexidade]],Auxiliar!$D$4:$F$4,0))</f>
        <v>0.1</v>
      </c>
      <c r="P72" s="2"/>
      <c r="Q72" s="2" t="s">
        <v>1269</v>
      </c>
      <c r="R72" s="152">
        <v>45261</v>
      </c>
      <c r="S72" s="152"/>
      <c r="T72" s="152"/>
      <c r="U72" s="152"/>
      <c r="V72" s="152"/>
      <c r="W72" s="2">
        <f>VLOOKUP(Table1[[#This Row],[Status]],Auxiliar!$B$16:$D$24,3,0)*Table1[[#This Row],[Estimação (horas)]]</f>
        <v>0.1</v>
      </c>
      <c r="X72" s="2"/>
    </row>
    <row r="73" spans="2:24" ht="17.7" customHeight="1" x14ac:dyDescent="0.25">
      <c r="B73" s="2" t="s">
        <v>26</v>
      </c>
      <c r="C73" s="2" t="s">
        <v>54</v>
      </c>
      <c r="D73" s="2" t="s">
        <v>95</v>
      </c>
      <c r="E73" s="2" t="s">
        <v>38</v>
      </c>
      <c r="F73" s="2" t="s">
        <v>94</v>
      </c>
      <c r="G73" s="2" t="s">
        <v>106</v>
      </c>
      <c r="H73" s="57" t="str">
        <f>Table1[[#This Row],[Tabela]]&amp;Table1[[#This Row],[Campo]]</f>
        <v>PROPERTYPOSTAL_CODE</v>
      </c>
      <c r="I73" s="3" t="s">
        <v>614</v>
      </c>
      <c r="J73" s="55">
        <f>VLOOKUP(Table1[[#This Row],[Status]],Auxiliar!$B$16:$C$24,2,0)</f>
        <v>1</v>
      </c>
      <c r="K73" s="2" t="s">
        <v>1252</v>
      </c>
      <c r="L73" s="29" t="s">
        <v>1258</v>
      </c>
      <c r="M73" s="21" t="s">
        <v>1259</v>
      </c>
      <c r="N73" s="48">
        <v>45505</v>
      </c>
      <c r="O73" s="21">
        <f>INDEX(Auxiliar!$D$5:$F$13,MATCH(Table1[[#This Row],[Tipologia_Testes]],Auxiliar!$B$5:$B$13,0),MATCH(Table1[[#This Row],[Complexidade]],Auxiliar!$D$4:$F$4,0))</f>
        <v>2</v>
      </c>
      <c r="P73" s="2"/>
      <c r="Q73" s="2" t="s">
        <v>1269</v>
      </c>
      <c r="R73" s="152">
        <v>45261</v>
      </c>
      <c r="S73" s="152"/>
      <c r="T73" s="152"/>
      <c r="U73" s="152"/>
      <c r="V73" s="152"/>
      <c r="W73" s="2">
        <f>VLOOKUP(Table1[[#This Row],[Status]],Auxiliar!$B$16:$D$24,3,0)*Table1[[#This Row],[Estimação (horas)]]</f>
        <v>2</v>
      </c>
      <c r="X73" s="2"/>
    </row>
    <row r="74" spans="2:24" ht="17.7" customHeight="1" x14ac:dyDescent="0.25">
      <c r="B74" s="2" t="s">
        <v>26</v>
      </c>
      <c r="C74" s="2" t="s">
        <v>54</v>
      </c>
      <c r="D74" s="2" t="s">
        <v>95</v>
      </c>
      <c r="E74" s="2" t="s">
        <v>38</v>
      </c>
      <c r="F74" s="2" t="s">
        <v>94</v>
      </c>
      <c r="G74" s="2" t="s">
        <v>106</v>
      </c>
      <c r="H74" s="57" t="str">
        <f>Table1[[#This Row],[Tabela]]&amp;Table1[[#This Row],[Campo]]</f>
        <v>PROPERTYPOSTAL_CODE</v>
      </c>
      <c r="I74" s="3" t="s">
        <v>614</v>
      </c>
      <c r="J74" s="55">
        <f>VLOOKUP(Table1[[#This Row],[Status]],Auxiliar!$B$16:$C$24,2,0)</f>
        <v>1</v>
      </c>
      <c r="K74" s="2" t="s">
        <v>1253</v>
      </c>
      <c r="L74" s="29" t="s">
        <v>1258</v>
      </c>
      <c r="M74" s="21" t="s">
        <v>1259</v>
      </c>
      <c r="N74" s="48">
        <v>45505</v>
      </c>
      <c r="O74" s="21">
        <f>INDEX(Auxiliar!$D$5:$F$13,MATCH(Table1[[#This Row],[Tipologia_Testes]],Auxiliar!$B$5:$B$13,0),MATCH(Table1[[#This Row],[Complexidade]],Auxiliar!$D$4:$F$4,0))</f>
        <v>2</v>
      </c>
      <c r="P74" s="2"/>
      <c r="Q74" s="2" t="s">
        <v>1269</v>
      </c>
      <c r="R74" s="152">
        <v>45261</v>
      </c>
      <c r="S74" s="152"/>
      <c r="T74" s="152"/>
      <c r="U74" s="152"/>
      <c r="V74" s="152"/>
      <c r="W74" s="2">
        <f>VLOOKUP(Table1[[#This Row],[Status]],Auxiliar!$B$16:$D$24,3,0)*Table1[[#This Row],[Estimação (horas)]]</f>
        <v>2</v>
      </c>
      <c r="X74" s="2"/>
    </row>
    <row r="75" spans="2:24" ht="17.7" customHeight="1" x14ac:dyDescent="0.25">
      <c r="B75" s="2" t="s">
        <v>26</v>
      </c>
      <c r="C75" s="2" t="s">
        <v>54</v>
      </c>
      <c r="D75" s="2" t="s">
        <v>95</v>
      </c>
      <c r="E75" s="2" t="s">
        <v>38</v>
      </c>
      <c r="F75" s="2" t="s">
        <v>94</v>
      </c>
      <c r="G75" s="2" t="s">
        <v>106</v>
      </c>
      <c r="H75" s="57" t="str">
        <f>Table1[[#This Row],[Tabela]]&amp;Table1[[#This Row],[Campo]]</f>
        <v>PROPERTYPOSTAL_CODE</v>
      </c>
      <c r="I75" s="3" t="s">
        <v>614</v>
      </c>
      <c r="J75" s="55">
        <f>VLOOKUP(Table1[[#This Row],[Status]],Auxiliar!$B$16:$C$24,2,0)</f>
        <v>1</v>
      </c>
      <c r="K75" s="2" t="s">
        <v>1255</v>
      </c>
      <c r="L75" s="29" t="s">
        <v>1258</v>
      </c>
      <c r="M75" s="21" t="s">
        <v>1259</v>
      </c>
      <c r="N75" s="48">
        <v>45505</v>
      </c>
      <c r="O75" s="21">
        <f>INDEX(Auxiliar!$D$5:$F$13,MATCH(Table1[[#This Row],[Tipologia_Testes]],Auxiliar!$B$5:$B$13,0),MATCH(Table1[[#This Row],[Complexidade]],Auxiliar!$D$4:$F$4,0))</f>
        <v>0.1</v>
      </c>
      <c r="P75" s="2"/>
      <c r="Q75" s="2" t="s">
        <v>1269</v>
      </c>
      <c r="R75" s="152">
        <v>45261</v>
      </c>
      <c r="S75" s="152"/>
      <c r="T75" s="152"/>
      <c r="U75" s="152"/>
      <c r="V75" s="152"/>
      <c r="W75" s="2">
        <f>VLOOKUP(Table1[[#This Row],[Status]],Auxiliar!$B$16:$D$24,3,0)*Table1[[#This Row],[Estimação (horas)]]</f>
        <v>0.1</v>
      </c>
      <c r="X75" s="2"/>
    </row>
    <row r="76" spans="2:24" ht="17.7" customHeight="1" x14ac:dyDescent="0.25">
      <c r="B76" s="2" t="s">
        <v>26</v>
      </c>
      <c r="C76" s="2" t="s">
        <v>54</v>
      </c>
      <c r="D76" s="2" t="s">
        <v>95</v>
      </c>
      <c r="E76" s="2" t="s">
        <v>38</v>
      </c>
      <c r="F76" s="2" t="s">
        <v>94</v>
      </c>
      <c r="G76" s="2" t="s">
        <v>107</v>
      </c>
      <c r="H76" s="57" t="str">
        <f>Table1[[#This Row],[Tabela]]&amp;Table1[[#This Row],[Campo]]</f>
        <v>PROPERTYPROPERTY_TYPE_CODE</v>
      </c>
      <c r="I76" s="3" t="s">
        <v>614</v>
      </c>
      <c r="J76" s="55">
        <f>VLOOKUP(Table1[[#This Row],[Status]],Auxiliar!$B$16:$C$24,2,0)</f>
        <v>1</v>
      </c>
      <c r="K76" s="2" t="s">
        <v>1252</v>
      </c>
      <c r="L76" s="29" t="s">
        <v>1258</v>
      </c>
      <c r="M76" s="21" t="s">
        <v>1259</v>
      </c>
      <c r="N76" s="48">
        <v>45505</v>
      </c>
      <c r="O76" s="21">
        <f>INDEX(Auxiliar!$D$5:$F$13,MATCH(Table1[[#This Row],[Tipologia_Testes]],Auxiliar!$B$5:$B$13,0),MATCH(Table1[[#This Row],[Complexidade]],Auxiliar!$D$4:$F$4,0))</f>
        <v>2</v>
      </c>
      <c r="P76" s="2"/>
      <c r="Q76" s="2" t="s">
        <v>1269</v>
      </c>
      <c r="R76" s="152">
        <v>45261</v>
      </c>
      <c r="S76" s="152"/>
      <c r="T76" s="152"/>
      <c r="U76" s="152"/>
      <c r="V76" s="152"/>
      <c r="W76" s="2">
        <f>VLOOKUP(Table1[[#This Row],[Status]],Auxiliar!$B$16:$D$24,3,0)*Table1[[#This Row],[Estimação (horas)]]</f>
        <v>2</v>
      </c>
      <c r="X76" s="2"/>
    </row>
    <row r="77" spans="2:24" ht="17.7" customHeight="1" x14ac:dyDescent="0.25">
      <c r="B77" s="2" t="s">
        <v>26</v>
      </c>
      <c r="C77" s="2" t="s">
        <v>54</v>
      </c>
      <c r="D77" s="2" t="s">
        <v>95</v>
      </c>
      <c r="E77" s="2" t="s">
        <v>38</v>
      </c>
      <c r="F77" s="2" t="s">
        <v>94</v>
      </c>
      <c r="G77" s="2" t="s">
        <v>107</v>
      </c>
      <c r="H77" s="57" t="str">
        <f>Table1[[#This Row],[Tabela]]&amp;Table1[[#This Row],[Campo]]</f>
        <v>PROPERTYPROPERTY_TYPE_CODE</v>
      </c>
      <c r="I77" s="3" t="s">
        <v>614</v>
      </c>
      <c r="J77" s="55">
        <f>VLOOKUP(Table1[[#This Row],[Status]],Auxiliar!$B$16:$C$24,2,0)</f>
        <v>1</v>
      </c>
      <c r="K77" s="2" t="s">
        <v>1253</v>
      </c>
      <c r="L77" s="29" t="s">
        <v>1258</v>
      </c>
      <c r="M77" s="21" t="s">
        <v>1259</v>
      </c>
      <c r="N77" s="48">
        <v>45505</v>
      </c>
      <c r="O77" s="21">
        <f>INDEX(Auxiliar!$D$5:$F$13,MATCH(Table1[[#This Row],[Tipologia_Testes]],Auxiliar!$B$5:$B$13,0),MATCH(Table1[[#This Row],[Complexidade]],Auxiliar!$D$4:$F$4,0))</f>
        <v>2</v>
      </c>
      <c r="P77" s="2"/>
      <c r="Q77" s="2" t="s">
        <v>1269</v>
      </c>
      <c r="R77" s="152">
        <v>45261</v>
      </c>
      <c r="S77" s="152"/>
      <c r="T77" s="152"/>
      <c r="U77" s="152"/>
      <c r="V77" s="152"/>
      <c r="W77" s="2">
        <f>VLOOKUP(Table1[[#This Row],[Status]],Auxiliar!$B$16:$D$24,3,0)*Table1[[#This Row],[Estimação (horas)]]</f>
        <v>2</v>
      </c>
      <c r="X77" s="2"/>
    </row>
    <row r="78" spans="2:24" ht="17.7" customHeight="1" x14ac:dyDescent="0.25">
      <c r="B78" s="2" t="s">
        <v>26</v>
      </c>
      <c r="C78" s="2" t="s">
        <v>54</v>
      </c>
      <c r="D78" s="2" t="s">
        <v>95</v>
      </c>
      <c r="E78" s="2" t="s">
        <v>38</v>
      </c>
      <c r="F78" s="2" t="s">
        <v>94</v>
      </c>
      <c r="G78" s="2" t="s">
        <v>107</v>
      </c>
      <c r="H78" s="57" t="str">
        <f>Table1[[#This Row],[Tabela]]&amp;Table1[[#This Row],[Campo]]</f>
        <v>PROPERTYPROPERTY_TYPE_CODE</v>
      </c>
      <c r="I78" s="3" t="s">
        <v>614</v>
      </c>
      <c r="J78" s="55">
        <f>VLOOKUP(Table1[[#This Row],[Status]],Auxiliar!$B$16:$C$24,2,0)</f>
        <v>1</v>
      </c>
      <c r="K78" s="2" t="s">
        <v>1255</v>
      </c>
      <c r="L78" s="29" t="s">
        <v>1258</v>
      </c>
      <c r="M78" s="21" t="s">
        <v>1259</v>
      </c>
      <c r="N78" s="48">
        <v>45505</v>
      </c>
      <c r="O78" s="21">
        <f>INDEX(Auxiliar!$D$5:$F$13,MATCH(Table1[[#This Row],[Tipologia_Testes]],Auxiliar!$B$5:$B$13,0),MATCH(Table1[[#This Row],[Complexidade]],Auxiliar!$D$4:$F$4,0))</f>
        <v>0.1</v>
      </c>
      <c r="P78" s="2"/>
      <c r="Q78" s="2" t="s">
        <v>1269</v>
      </c>
      <c r="R78" s="152">
        <v>45261</v>
      </c>
      <c r="S78" s="152"/>
      <c r="T78" s="152"/>
      <c r="U78" s="152"/>
      <c r="V78" s="152"/>
      <c r="W78" s="2">
        <f>VLOOKUP(Table1[[#This Row],[Status]],Auxiliar!$B$16:$D$24,3,0)*Table1[[#This Row],[Estimação (horas)]]</f>
        <v>0.1</v>
      </c>
      <c r="X78" s="2"/>
    </row>
    <row r="79" spans="2:24" ht="17.7" customHeight="1" x14ac:dyDescent="0.25">
      <c r="B79" s="2" t="s">
        <v>26</v>
      </c>
      <c r="C79" s="2" t="s">
        <v>54</v>
      </c>
      <c r="D79" s="2" t="s">
        <v>95</v>
      </c>
      <c r="E79" s="2" t="s">
        <v>38</v>
      </c>
      <c r="F79" s="2" t="s">
        <v>94</v>
      </c>
      <c r="G79" s="2" t="s">
        <v>108</v>
      </c>
      <c r="H79" s="57" t="str">
        <f>Table1[[#This Row],[Tabela]]&amp;Table1[[#This Row],[Campo]]</f>
        <v>PROPERTYLAST_APPRAISAL_DATE</v>
      </c>
      <c r="I79" s="3" t="s">
        <v>614</v>
      </c>
      <c r="J79" s="55">
        <f>VLOOKUP(Table1[[#This Row],[Status]],Auxiliar!$B$16:$C$24,2,0)</f>
        <v>1</v>
      </c>
      <c r="K79" s="2" t="s">
        <v>1252</v>
      </c>
      <c r="L79" s="29" t="s">
        <v>1258</v>
      </c>
      <c r="M79" s="21" t="s">
        <v>1259</v>
      </c>
      <c r="N79" s="48">
        <v>45485</v>
      </c>
      <c r="O79" s="21">
        <f>INDEX(Auxiliar!$D$5:$F$13,MATCH(Table1[[#This Row],[Tipologia_Testes]],Auxiliar!$B$5:$B$13,0),MATCH(Table1[[#This Row],[Complexidade]],Auxiliar!$D$4:$F$4,0))</f>
        <v>2</v>
      </c>
      <c r="P79" s="2"/>
      <c r="Q79" s="2" t="s">
        <v>1269</v>
      </c>
      <c r="R79" s="152">
        <v>45261</v>
      </c>
      <c r="S79" s="152"/>
      <c r="T79" s="152"/>
      <c r="U79" s="152"/>
      <c r="V79" s="152"/>
      <c r="W79" s="2">
        <f>VLOOKUP(Table1[[#This Row],[Status]],Auxiliar!$B$16:$D$24,3,0)*Table1[[#This Row],[Estimação (horas)]]</f>
        <v>2</v>
      </c>
      <c r="X79" s="2"/>
    </row>
    <row r="80" spans="2:24" ht="17.7" customHeight="1" x14ac:dyDescent="0.25">
      <c r="B80" s="2" t="s">
        <v>26</v>
      </c>
      <c r="C80" s="2" t="s">
        <v>54</v>
      </c>
      <c r="D80" s="2" t="s">
        <v>95</v>
      </c>
      <c r="E80" s="2" t="s">
        <v>38</v>
      </c>
      <c r="F80" s="2" t="s">
        <v>94</v>
      </c>
      <c r="G80" s="2" t="s">
        <v>108</v>
      </c>
      <c r="H80" s="57" t="str">
        <f>Table1[[#This Row],[Tabela]]&amp;Table1[[#This Row],[Campo]]</f>
        <v>PROPERTYLAST_APPRAISAL_DATE</v>
      </c>
      <c r="I80" s="3" t="s">
        <v>614</v>
      </c>
      <c r="J80" s="55">
        <f>VLOOKUP(Table1[[#This Row],[Status]],Auxiliar!$B$16:$C$24,2,0)</f>
        <v>1</v>
      </c>
      <c r="K80" s="2" t="s">
        <v>1253</v>
      </c>
      <c r="L80" s="29" t="s">
        <v>1258</v>
      </c>
      <c r="M80" s="21" t="s">
        <v>1259</v>
      </c>
      <c r="N80" s="48">
        <v>45485</v>
      </c>
      <c r="O80" s="21">
        <f>INDEX(Auxiliar!$D$5:$F$13,MATCH(Table1[[#This Row],[Tipologia_Testes]],Auxiliar!$B$5:$B$13,0),MATCH(Table1[[#This Row],[Complexidade]],Auxiliar!$D$4:$F$4,0))</f>
        <v>2</v>
      </c>
      <c r="P80" s="2"/>
      <c r="Q80" s="2" t="s">
        <v>1269</v>
      </c>
      <c r="R80" s="152">
        <v>45261</v>
      </c>
      <c r="S80" s="152"/>
      <c r="T80" s="152"/>
      <c r="U80" s="152"/>
      <c r="V80" s="152"/>
      <c r="W80" s="2">
        <f>VLOOKUP(Table1[[#This Row],[Status]],Auxiliar!$B$16:$D$24,3,0)*Table1[[#This Row],[Estimação (horas)]]</f>
        <v>2</v>
      </c>
      <c r="X80" s="2"/>
    </row>
    <row r="81" spans="2:24" ht="17.7" customHeight="1" x14ac:dyDescent="0.25">
      <c r="B81" s="2" t="s">
        <v>26</v>
      </c>
      <c r="C81" s="2" t="s">
        <v>54</v>
      </c>
      <c r="D81" s="2" t="s">
        <v>95</v>
      </c>
      <c r="E81" s="2" t="s">
        <v>38</v>
      </c>
      <c r="F81" s="2" t="s">
        <v>94</v>
      </c>
      <c r="G81" s="2" t="s">
        <v>108</v>
      </c>
      <c r="H81" s="57" t="str">
        <f>Table1[[#This Row],[Tabela]]&amp;Table1[[#This Row],[Campo]]</f>
        <v>PROPERTYLAST_APPRAISAL_DATE</v>
      </c>
      <c r="I81" s="3" t="s">
        <v>614</v>
      </c>
      <c r="J81" s="55">
        <f>VLOOKUP(Table1[[#This Row],[Status]],Auxiliar!$B$16:$C$24,2,0)</f>
        <v>1</v>
      </c>
      <c r="K81" s="2" t="s">
        <v>1255</v>
      </c>
      <c r="L81" s="29" t="s">
        <v>1258</v>
      </c>
      <c r="M81" s="21" t="s">
        <v>1259</v>
      </c>
      <c r="N81" s="48">
        <v>45485</v>
      </c>
      <c r="O81" s="21">
        <f>INDEX(Auxiliar!$D$5:$F$13,MATCH(Table1[[#This Row],[Tipologia_Testes]],Auxiliar!$B$5:$B$13,0),MATCH(Table1[[#This Row],[Complexidade]],Auxiliar!$D$4:$F$4,0))</f>
        <v>0.1</v>
      </c>
      <c r="P81" s="2"/>
      <c r="Q81" s="2" t="s">
        <v>1269</v>
      </c>
      <c r="R81" s="152">
        <v>45261</v>
      </c>
      <c r="S81" s="152"/>
      <c r="T81" s="152"/>
      <c r="U81" s="152"/>
      <c r="V81" s="152"/>
      <c r="W81" s="2">
        <f>VLOOKUP(Table1[[#This Row],[Status]],Auxiliar!$B$16:$D$24,3,0)*Table1[[#This Row],[Estimação (horas)]]</f>
        <v>0.1</v>
      </c>
      <c r="X81" s="2"/>
    </row>
    <row r="82" spans="2:24" ht="17.7" customHeight="1" x14ac:dyDescent="0.25">
      <c r="B82" s="2" t="s">
        <v>26</v>
      </c>
      <c r="C82" s="2" t="s">
        <v>54</v>
      </c>
      <c r="D82" s="2" t="s">
        <v>95</v>
      </c>
      <c r="E82" s="2" t="s">
        <v>38</v>
      </c>
      <c r="F82" s="2" t="s">
        <v>94</v>
      </c>
      <c r="G82" s="2" t="s">
        <v>109</v>
      </c>
      <c r="H82" s="57" t="str">
        <f>Table1[[#This Row],[Tabela]]&amp;Table1[[#This Row],[Campo]]</f>
        <v>PROPERTYUSAGE_PERMIT_START_DATE</v>
      </c>
      <c r="I82" s="3" t="s">
        <v>614</v>
      </c>
      <c r="J82" s="43">
        <f>VLOOKUP(Table1[[#This Row],[Status]],Auxiliar!$B$16:$C$24,2,0)</f>
        <v>1</v>
      </c>
      <c r="K82" s="2" t="s">
        <v>1252</v>
      </c>
      <c r="L82" s="29" t="s">
        <v>1258</v>
      </c>
      <c r="M82" s="21" t="s">
        <v>1259</v>
      </c>
      <c r="N82" s="48">
        <v>45490</v>
      </c>
      <c r="O82" s="21">
        <f>INDEX(Auxiliar!$D$5:$F$13,MATCH(Table1[[#This Row],[Tipologia_Testes]],Auxiliar!$B$5:$B$13,0),MATCH(Table1[[#This Row],[Complexidade]],Auxiliar!$D$4:$F$4,0))</f>
        <v>2</v>
      </c>
      <c r="P82" s="2"/>
      <c r="Q82" s="2" t="s">
        <v>1269</v>
      </c>
      <c r="R82" s="152">
        <v>45261</v>
      </c>
      <c r="S82" s="152"/>
      <c r="T82" s="152"/>
      <c r="U82" s="152"/>
      <c r="V82" s="152"/>
      <c r="W82" s="2">
        <f>VLOOKUP(Table1[[#This Row],[Status]],Auxiliar!$B$16:$D$24,3,0)*Table1[[#This Row],[Estimação (horas)]]</f>
        <v>2</v>
      </c>
      <c r="X82" s="2"/>
    </row>
    <row r="83" spans="2:24" ht="17.7" customHeight="1" x14ac:dyDescent="0.25">
      <c r="B83" s="2" t="s">
        <v>26</v>
      </c>
      <c r="C83" s="2" t="s">
        <v>54</v>
      </c>
      <c r="D83" s="2" t="s">
        <v>95</v>
      </c>
      <c r="E83" s="2" t="s">
        <v>38</v>
      </c>
      <c r="F83" s="2" t="s">
        <v>94</v>
      </c>
      <c r="G83" s="2" t="s">
        <v>109</v>
      </c>
      <c r="H83" s="57" t="str">
        <f>Table1[[#This Row],[Tabela]]&amp;Table1[[#This Row],[Campo]]</f>
        <v>PROPERTYUSAGE_PERMIT_START_DATE</v>
      </c>
      <c r="I83" s="3" t="s">
        <v>614</v>
      </c>
      <c r="J83" s="43">
        <f>VLOOKUP(Table1[[#This Row],[Status]],Auxiliar!$B$16:$C$24,2,0)</f>
        <v>1</v>
      </c>
      <c r="K83" s="2" t="s">
        <v>1253</v>
      </c>
      <c r="L83" s="29" t="s">
        <v>1258</v>
      </c>
      <c r="M83" s="21" t="s">
        <v>1259</v>
      </c>
      <c r="N83" s="48">
        <v>45490</v>
      </c>
      <c r="O83" s="21">
        <f>INDEX(Auxiliar!$D$5:$F$13,MATCH(Table1[[#This Row],[Tipologia_Testes]],Auxiliar!$B$5:$B$13,0),MATCH(Table1[[#This Row],[Complexidade]],Auxiliar!$D$4:$F$4,0))</f>
        <v>2</v>
      </c>
      <c r="P83" s="2"/>
      <c r="Q83" s="2" t="s">
        <v>1269</v>
      </c>
      <c r="R83" s="152">
        <v>45261</v>
      </c>
      <c r="S83" s="152"/>
      <c r="T83" s="152"/>
      <c r="U83" s="152"/>
      <c r="V83" s="152"/>
      <c r="W83" s="2">
        <f>VLOOKUP(Table1[[#This Row],[Status]],Auxiliar!$B$16:$D$24,3,0)*Table1[[#This Row],[Estimação (horas)]]</f>
        <v>2</v>
      </c>
      <c r="X83" s="2"/>
    </row>
    <row r="84" spans="2:24" ht="17.7" customHeight="1" x14ac:dyDescent="0.25">
      <c r="B84" s="2" t="s">
        <v>26</v>
      </c>
      <c r="C84" s="2" t="s">
        <v>54</v>
      </c>
      <c r="D84" s="2" t="s">
        <v>95</v>
      </c>
      <c r="E84" s="2" t="s">
        <v>38</v>
      </c>
      <c r="F84" s="2" t="s">
        <v>94</v>
      </c>
      <c r="G84" s="2" t="s">
        <v>109</v>
      </c>
      <c r="H84" s="57" t="str">
        <f>Table1[[#This Row],[Tabela]]&amp;Table1[[#This Row],[Campo]]</f>
        <v>PROPERTYUSAGE_PERMIT_START_DATE</v>
      </c>
      <c r="I84" s="3" t="s">
        <v>614</v>
      </c>
      <c r="J84" s="43">
        <f>VLOOKUP(Table1[[#This Row],[Status]],Auxiliar!$B$16:$C$24,2,0)</f>
        <v>1</v>
      </c>
      <c r="K84" s="2" t="s">
        <v>1255</v>
      </c>
      <c r="L84" s="29" t="s">
        <v>1258</v>
      </c>
      <c r="M84" s="21" t="s">
        <v>1259</v>
      </c>
      <c r="N84" s="48">
        <v>45490</v>
      </c>
      <c r="O84" s="21">
        <f>INDEX(Auxiliar!$D$5:$F$13,MATCH(Table1[[#This Row],[Tipologia_Testes]],Auxiliar!$B$5:$B$13,0),MATCH(Table1[[#This Row],[Complexidade]],Auxiliar!$D$4:$F$4,0))</f>
        <v>0.1</v>
      </c>
      <c r="P84" s="2"/>
      <c r="Q84" s="2" t="s">
        <v>1269</v>
      </c>
      <c r="R84" s="152">
        <v>45261</v>
      </c>
      <c r="S84" s="152"/>
      <c r="T84" s="152"/>
      <c r="U84" s="152"/>
      <c r="V84" s="152"/>
      <c r="W84" s="2">
        <f>VLOOKUP(Table1[[#This Row],[Status]],Auxiliar!$B$16:$D$24,3,0)*Table1[[#This Row],[Estimação (horas)]]</f>
        <v>0.1</v>
      </c>
      <c r="X84" s="2"/>
    </row>
    <row r="85" spans="2:24" ht="17.7" customHeight="1" x14ac:dyDescent="0.25">
      <c r="B85" s="2" t="s">
        <v>26</v>
      </c>
      <c r="C85" s="2" t="s">
        <v>54</v>
      </c>
      <c r="D85" s="2" t="s">
        <v>95</v>
      </c>
      <c r="E85" s="2" t="s">
        <v>38</v>
      </c>
      <c r="F85" s="2" t="s">
        <v>94</v>
      </c>
      <c r="G85" s="2" t="s">
        <v>110</v>
      </c>
      <c r="H85" s="57" t="str">
        <f>Table1[[#This Row],[Tabela]]&amp;Table1[[#This Row],[Campo]]</f>
        <v>PROPERTYCONSERVATORY_REG_FILE_ID</v>
      </c>
      <c r="I85" s="3" t="s">
        <v>614</v>
      </c>
      <c r="J85" s="55">
        <f>VLOOKUP(Table1[[#This Row],[Status]],Auxiliar!$B$16:$C$24,2,0)</f>
        <v>1</v>
      </c>
      <c r="K85" s="2" t="s">
        <v>1252</v>
      </c>
      <c r="L85" s="29" t="s">
        <v>1258</v>
      </c>
      <c r="M85" s="21" t="s">
        <v>1259</v>
      </c>
      <c r="N85" s="48">
        <v>45485</v>
      </c>
      <c r="O85" s="21">
        <f>INDEX(Auxiliar!$D$5:$F$13,MATCH(Table1[[#This Row],[Tipologia_Testes]],Auxiliar!$B$5:$B$13,0),MATCH(Table1[[#This Row],[Complexidade]],Auxiliar!$D$4:$F$4,0))</f>
        <v>2</v>
      </c>
      <c r="P85" s="2"/>
      <c r="Q85" s="2" t="s">
        <v>1269</v>
      </c>
      <c r="R85" s="152">
        <v>45261</v>
      </c>
      <c r="S85" s="152"/>
      <c r="T85" s="152"/>
      <c r="U85" s="152"/>
      <c r="V85" s="152"/>
      <c r="W85" s="2">
        <f>VLOOKUP(Table1[[#This Row],[Status]],Auxiliar!$B$16:$D$24,3,0)*Table1[[#This Row],[Estimação (horas)]]</f>
        <v>2</v>
      </c>
      <c r="X85" s="2"/>
    </row>
    <row r="86" spans="2:24" ht="17.7" customHeight="1" x14ac:dyDescent="0.25">
      <c r="B86" s="2" t="s">
        <v>26</v>
      </c>
      <c r="C86" s="2" t="s">
        <v>54</v>
      </c>
      <c r="D86" s="2" t="s">
        <v>95</v>
      </c>
      <c r="E86" s="2" t="s">
        <v>38</v>
      </c>
      <c r="F86" s="2" t="s">
        <v>94</v>
      </c>
      <c r="G86" s="2" t="s">
        <v>110</v>
      </c>
      <c r="H86" s="57" t="str">
        <f>Table1[[#This Row],[Tabela]]&amp;Table1[[#This Row],[Campo]]</f>
        <v>PROPERTYCONSERVATORY_REG_FILE_ID</v>
      </c>
      <c r="I86" s="3" t="s">
        <v>614</v>
      </c>
      <c r="J86" s="55">
        <f>VLOOKUP(Table1[[#This Row],[Status]],Auxiliar!$B$16:$C$24,2,0)</f>
        <v>1</v>
      </c>
      <c r="K86" s="2" t="s">
        <v>1253</v>
      </c>
      <c r="L86" s="29" t="s">
        <v>1258</v>
      </c>
      <c r="M86" s="21" t="s">
        <v>1259</v>
      </c>
      <c r="N86" s="48">
        <v>45485</v>
      </c>
      <c r="O86" s="21">
        <f>INDEX(Auxiliar!$D$5:$F$13,MATCH(Table1[[#This Row],[Tipologia_Testes]],Auxiliar!$B$5:$B$13,0),MATCH(Table1[[#This Row],[Complexidade]],Auxiliar!$D$4:$F$4,0))</f>
        <v>2</v>
      </c>
      <c r="P86" s="2"/>
      <c r="Q86" s="2" t="s">
        <v>1269</v>
      </c>
      <c r="R86" s="152">
        <v>45261</v>
      </c>
      <c r="S86" s="152"/>
      <c r="T86" s="152"/>
      <c r="U86" s="152"/>
      <c r="V86" s="152"/>
      <c r="W86" s="2">
        <f>VLOOKUP(Table1[[#This Row],[Status]],Auxiliar!$B$16:$D$24,3,0)*Table1[[#This Row],[Estimação (horas)]]</f>
        <v>2</v>
      </c>
      <c r="X86" s="2"/>
    </row>
    <row r="87" spans="2:24" ht="17.7" customHeight="1" x14ac:dyDescent="0.25">
      <c r="B87" s="2" t="s">
        <v>26</v>
      </c>
      <c r="C87" s="2" t="s">
        <v>54</v>
      </c>
      <c r="D87" s="2" t="s">
        <v>95</v>
      </c>
      <c r="E87" s="2" t="s">
        <v>38</v>
      </c>
      <c r="F87" s="2" t="s">
        <v>94</v>
      </c>
      <c r="G87" s="2" t="s">
        <v>110</v>
      </c>
      <c r="H87" s="57" t="str">
        <f>Table1[[#This Row],[Tabela]]&amp;Table1[[#This Row],[Campo]]</f>
        <v>PROPERTYCONSERVATORY_REG_FILE_ID</v>
      </c>
      <c r="I87" s="3" t="s">
        <v>614</v>
      </c>
      <c r="J87" s="55">
        <f>VLOOKUP(Table1[[#This Row],[Status]],Auxiliar!$B$16:$C$24,2,0)</f>
        <v>1</v>
      </c>
      <c r="K87" s="2" t="s">
        <v>1255</v>
      </c>
      <c r="L87" s="29" t="s">
        <v>1258</v>
      </c>
      <c r="M87" s="21" t="s">
        <v>1259</v>
      </c>
      <c r="N87" s="48">
        <v>45485</v>
      </c>
      <c r="O87" s="21">
        <f>INDEX(Auxiliar!$D$5:$F$13,MATCH(Table1[[#This Row],[Tipologia_Testes]],Auxiliar!$B$5:$B$13,0),MATCH(Table1[[#This Row],[Complexidade]],Auxiliar!$D$4:$F$4,0))</f>
        <v>0.1</v>
      </c>
      <c r="P87" s="2"/>
      <c r="Q87" s="2" t="s">
        <v>1269</v>
      </c>
      <c r="R87" s="152">
        <v>45261</v>
      </c>
      <c r="S87" s="152"/>
      <c r="T87" s="152"/>
      <c r="U87" s="152"/>
      <c r="V87" s="152"/>
      <c r="W87" s="2">
        <f>VLOOKUP(Table1[[#This Row],[Status]],Auxiliar!$B$16:$D$24,3,0)*Table1[[#This Row],[Estimação (horas)]]</f>
        <v>0.1</v>
      </c>
      <c r="X87" s="2"/>
    </row>
    <row r="88" spans="2:24" ht="17.7" customHeight="1" x14ac:dyDescent="0.25">
      <c r="B88" s="2" t="s">
        <v>26</v>
      </c>
      <c r="C88" s="2" t="s">
        <v>54</v>
      </c>
      <c r="D88" s="2" t="s">
        <v>95</v>
      </c>
      <c r="E88" s="2" t="s">
        <v>38</v>
      </c>
      <c r="F88" s="2" t="s">
        <v>94</v>
      </c>
      <c r="G88" s="2" t="s">
        <v>111</v>
      </c>
      <c r="H88" s="57" t="str">
        <f>Table1[[#This Row],[Tabela]]&amp;Table1[[#This Row],[Campo]]</f>
        <v>PROPERTYFLOOR_NUMBER</v>
      </c>
      <c r="I88" s="3" t="s">
        <v>614</v>
      </c>
      <c r="J88" s="43">
        <f>VLOOKUP(Table1[[#This Row],[Status]],Auxiliar!$B$16:$C$24,2,0)</f>
        <v>1</v>
      </c>
      <c r="K88" s="2" t="s">
        <v>1252</v>
      </c>
      <c r="L88" s="29" t="s">
        <v>1258</v>
      </c>
      <c r="M88" s="21" t="s">
        <v>1259</v>
      </c>
      <c r="N88" s="48">
        <v>45490</v>
      </c>
      <c r="O88" s="21">
        <f>INDEX(Auxiliar!$D$5:$F$13,MATCH(Table1[[#This Row],[Tipologia_Testes]],Auxiliar!$B$5:$B$13,0),MATCH(Table1[[#This Row],[Complexidade]],Auxiliar!$D$4:$F$4,0))</f>
        <v>2</v>
      </c>
      <c r="P88" s="2"/>
      <c r="Q88" s="2" t="s">
        <v>1269</v>
      </c>
      <c r="R88" s="152">
        <v>45261</v>
      </c>
      <c r="S88" s="152"/>
      <c r="T88" s="152"/>
      <c r="U88" s="152"/>
      <c r="V88" s="152"/>
      <c r="W88" s="2">
        <f>VLOOKUP(Table1[[#This Row],[Status]],Auxiliar!$B$16:$D$24,3,0)*Table1[[#This Row],[Estimação (horas)]]</f>
        <v>2</v>
      </c>
      <c r="X88" s="2"/>
    </row>
    <row r="89" spans="2:24" ht="17.7" customHeight="1" x14ac:dyDescent="0.25">
      <c r="B89" s="2" t="s">
        <v>26</v>
      </c>
      <c r="C89" s="2" t="s">
        <v>54</v>
      </c>
      <c r="D89" s="2" t="s">
        <v>95</v>
      </c>
      <c r="E89" s="2" t="s">
        <v>38</v>
      </c>
      <c r="F89" s="2" t="s">
        <v>94</v>
      </c>
      <c r="G89" s="2" t="s">
        <v>111</v>
      </c>
      <c r="H89" s="57" t="str">
        <f>Table1[[#This Row],[Tabela]]&amp;Table1[[#This Row],[Campo]]</f>
        <v>PROPERTYFLOOR_NUMBER</v>
      </c>
      <c r="I89" s="3" t="s">
        <v>614</v>
      </c>
      <c r="J89" s="43">
        <f>VLOOKUP(Table1[[#This Row],[Status]],Auxiliar!$B$16:$C$24,2,0)</f>
        <v>1</v>
      </c>
      <c r="K89" s="2" t="s">
        <v>1253</v>
      </c>
      <c r="L89" s="29" t="s">
        <v>1258</v>
      </c>
      <c r="M89" s="21" t="s">
        <v>1259</v>
      </c>
      <c r="N89" s="48">
        <v>45490</v>
      </c>
      <c r="O89" s="21">
        <f>INDEX(Auxiliar!$D$5:$F$13,MATCH(Table1[[#This Row],[Tipologia_Testes]],Auxiliar!$B$5:$B$13,0),MATCH(Table1[[#This Row],[Complexidade]],Auxiliar!$D$4:$F$4,0))</f>
        <v>2</v>
      </c>
      <c r="P89" s="2"/>
      <c r="Q89" s="2" t="s">
        <v>1269</v>
      </c>
      <c r="R89" s="152">
        <v>45261</v>
      </c>
      <c r="S89" s="152"/>
      <c r="T89" s="152"/>
      <c r="U89" s="152"/>
      <c r="V89" s="152"/>
      <c r="W89" s="2">
        <f>VLOOKUP(Table1[[#This Row],[Status]],Auxiliar!$B$16:$D$24,3,0)*Table1[[#This Row],[Estimação (horas)]]</f>
        <v>2</v>
      </c>
      <c r="X89" s="2"/>
    </row>
    <row r="90" spans="2:24" ht="17.7" customHeight="1" x14ac:dyDescent="0.25">
      <c r="B90" s="2" t="s">
        <v>26</v>
      </c>
      <c r="C90" s="2" t="s">
        <v>54</v>
      </c>
      <c r="D90" s="2" t="s">
        <v>95</v>
      </c>
      <c r="E90" s="2" t="s">
        <v>38</v>
      </c>
      <c r="F90" s="2" t="s">
        <v>94</v>
      </c>
      <c r="G90" s="2" t="s">
        <v>111</v>
      </c>
      <c r="H90" s="57" t="str">
        <f>Table1[[#This Row],[Tabela]]&amp;Table1[[#This Row],[Campo]]</f>
        <v>PROPERTYFLOOR_NUMBER</v>
      </c>
      <c r="I90" s="3" t="s">
        <v>614</v>
      </c>
      <c r="J90" s="43">
        <f>VLOOKUP(Table1[[#This Row],[Status]],Auxiliar!$B$16:$C$24,2,0)</f>
        <v>1</v>
      </c>
      <c r="K90" s="2" t="s">
        <v>1255</v>
      </c>
      <c r="L90" s="29" t="s">
        <v>1258</v>
      </c>
      <c r="M90" s="21" t="s">
        <v>1259</v>
      </c>
      <c r="N90" s="48">
        <v>45490</v>
      </c>
      <c r="O90" s="21">
        <f>INDEX(Auxiliar!$D$5:$F$13,MATCH(Table1[[#This Row],[Tipologia_Testes]],Auxiliar!$B$5:$B$13,0),MATCH(Table1[[#This Row],[Complexidade]],Auxiliar!$D$4:$F$4,0))</f>
        <v>0.1</v>
      </c>
      <c r="P90" s="2"/>
      <c r="Q90" s="2" t="s">
        <v>1269</v>
      </c>
      <c r="R90" s="152">
        <v>45261</v>
      </c>
      <c r="S90" s="152"/>
      <c r="T90" s="152"/>
      <c r="U90" s="152"/>
      <c r="V90" s="152"/>
      <c r="W90" s="2">
        <f>VLOOKUP(Table1[[#This Row],[Status]],Auxiliar!$B$16:$D$24,3,0)*Table1[[#This Row],[Estimação (horas)]]</f>
        <v>0.1</v>
      </c>
      <c r="X90" s="2"/>
    </row>
    <row r="91" spans="2:24" ht="17.7" customHeight="1" x14ac:dyDescent="0.25">
      <c r="B91" s="2" t="s">
        <v>26</v>
      </c>
      <c r="C91" s="2" t="s">
        <v>54</v>
      </c>
      <c r="D91" s="2" t="s">
        <v>95</v>
      </c>
      <c r="E91" s="2" t="s">
        <v>38</v>
      </c>
      <c r="F91" s="2" t="s">
        <v>94</v>
      </c>
      <c r="G91" s="2" t="s">
        <v>112</v>
      </c>
      <c r="H91" s="57" t="str">
        <f>Table1[[#This Row],[Tabela]]&amp;Table1[[#This Row],[Campo]]</f>
        <v>PROPERTYLOCALITY</v>
      </c>
      <c r="I91" s="3" t="s">
        <v>614</v>
      </c>
      <c r="J91" s="43">
        <f>VLOOKUP(Table1[[#This Row],[Status]],Auxiliar!$B$16:$C$24,2,0)</f>
        <v>1</v>
      </c>
      <c r="K91" s="2" t="s">
        <v>1252</v>
      </c>
      <c r="L91" s="29" t="s">
        <v>1258</v>
      </c>
      <c r="M91" s="21" t="s">
        <v>1259</v>
      </c>
      <c r="N91" s="48">
        <v>45490</v>
      </c>
      <c r="O91" s="21">
        <f>INDEX(Auxiliar!$D$5:$F$13,MATCH(Table1[[#This Row],[Tipologia_Testes]],Auxiliar!$B$5:$B$13,0),MATCH(Table1[[#This Row],[Complexidade]],Auxiliar!$D$4:$F$4,0))</f>
        <v>2</v>
      </c>
      <c r="P91" s="2"/>
      <c r="Q91" s="2" t="s">
        <v>1269</v>
      </c>
      <c r="R91" s="152">
        <v>45261</v>
      </c>
      <c r="S91" s="152"/>
      <c r="T91" s="152"/>
      <c r="U91" s="152"/>
      <c r="V91" s="152"/>
      <c r="W91" s="2">
        <f>VLOOKUP(Table1[[#This Row],[Status]],Auxiliar!$B$16:$D$24,3,0)*Table1[[#This Row],[Estimação (horas)]]</f>
        <v>2</v>
      </c>
      <c r="X91" s="2"/>
    </row>
    <row r="92" spans="2:24" ht="17.7" customHeight="1" x14ac:dyDescent="0.25">
      <c r="B92" s="2" t="s">
        <v>26</v>
      </c>
      <c r="C92" s="2" t="s">
        <v>54</v>
      </c>
      <c r="D92" s="2" t="s">
        <v>95</v>
      </c>
      <c r="E92" s="2" t="s">
        <v>38</v>
      </c>
      <c r="F92" s="2" t="s">
        <v>94</v>
      </c>
      <c r="G92" s="2" t="s">
        <v>112</v>
      </c>
      <c r="H92" s="57" t="str">
        <f>Table1[[#This Row],[Tabela]]&amp;Table1[[#This Row],[Campo]]</f>
        <v>PROPERTYLOCALITY</v>
      </c>
      <c r="I92" s="3" t="s">
        <v>614</v>
      </c>
      <c r="J92" s="43">
        <f>VLOOKUP(Table1[[#This Row],[Status]],Auxiliar!$B$16:$C$24,2,0)</f>
        <v>1</v>
      </c>
      <c r="K92" s="2" t="s">
        <v>1253</v>
      </c>
      <c r="L92" s="29" t="s">
        <v>1258</v>
      </c>
      <c r="M92" s="21" t="s">
        <v>1259</v>
      </c>
      <c r="N92" s="48">
        <v>45490</v>
      </c>
      <c r="O92" s="21">
        <f>INDEX(Auxiliar!$D$5:$F$13,MATCH(Table1[[#This Row],[Tipologia_Testes]],Auxiliar!$B$5:$B$13,0),MATCH(Table1[[#This Row],[Complexidade]],Auxiliar!$D$4:$F$4,0))</f>
        <v>2</v>
      </c>
      <c r="P92" s="2"/>
      <c r="Q92" s="2" t="s">
        <v>1269</v>
      </c>
      <c r="R92" s="152">
        <v>45261</v>
      </c>
      <c r="S92" s="152"/>
      <c r="T92" s="152"/>
      <c r="U92" s="152"/>
      <c r="V92" s="152"/>
      <c r="W92" s="2">
        <f>VLOOKUP(Table1[[#This Row],[Status]],Auxiliar!$B$16:$D$24,3,0)*Table1[[#This Row],[Estimação (horas)]]</f>
        <v>2</v>
      </c>
      <c r="X92" s="2"/>
    </row>
    <row r="93" spans="2:24" ht="17.7" customHeight="1" x14ac:dyDescent="0.25">
      <c r="B93" s="2" t="s">
        <v>26</v>
      </c>
      <c r="C93" s="2" t="s">
        <v>54</v>
      </c>
      <c r="D93" s="2" t="s">
        <v>95</v>
      </c>
      <c r="E93" s="2" t="s">
        <v>38</v>
      </c>
      <c r="F93" s="2" t="s">
        <v>94</v>
      </c>
      <c r="G93" s="2" t="s">
        <v>112</v>
      </c>
      <c r="H93" s="57" t="str">
        <f>Table1[[#This Row],[Tabela]]&amp;Table1[[#This Row],[Campo]]</f>
        <v>PROPERTYLOCALITY</v>
      </c>
      <c r="I93" s="3" t="s">
        <v>614</v>
      </c>
      <c r="J93" s="43">
        <f>VLOOKUP(Table1[[#This Row],[Status]],Auxiliar!$B$16:$C$24,2,0)</f>
        <v>1</v>
      </c>
      <c r="K93" s="2" t="s">
        <v>1255</v>
      </c>
      <c r="L93" s="29" t="s">
        <v>1258</v>
      </c>
      <c r="M93" s="21" t="s">
        <v>1259</v>
      </c>
      <c r="N93" s="48">
        <v>45490</v>
      </c>
      <c r="O93" s="21">
        <f>INDEX(Auxiliar!$D$5:$F$13,MATCH(Table1[[#This Row],[Tipologia_Testes]],Auxiliar!$B$5:$B$13,0),MATCH(Table1[[#This Row],[Complexidade]],Auxiliar!$D$4:$F$4,0))</f>
        <v>0.1</v>
      </c>
      <c r="P93" s="2"/>
      <c r="Q93" s="2" t="s">
        <v>1269</v>
      </c>
      <c r="R93" s="152">
        <v>45261</v>
      </c>
      <c r="S93" s="152"/>
      <c r="T93" s="152"/>
      <c r="U93" s="152"/>
      <c r="V93" s="152"/>
      <c r="W93" s="2">
        <f>VLOOKUP(Table1[[#This Row],[Status]],Auxiliar!$B$16:$D$24,3,0)*Table1[[#This Row],[Estimação (horas)]]</f>
        <v>0.1</v>
      </c>
      <c r="X93" s="2"/>
    </row>
    <row r="94" spans="2:24" ht="17.7" customHeight="1" x14ac:dyDescent="0.25">
      <c r="B94" s="2" t="s">
        <v>26</v>
      </c>
      <c r="C94" s="2" t="s">
        <v>54</v>
      </c>
      <c r="D94" s="2" t="s">
        <v>95</v>
      </c>
      <c r="E94" s="2" t="s">
        <v>38</v>
      </c>
      <c r="F94" s="2" t="s">
        <v>94</v>
      </c>
      <c r="G94" s="2" t="s">
        <v>113</v>
      </c>
      <c r="H94" s="57" t="str">
        <f>Table1[[#This Row],[Tabela]]&amp;Table1[[#This Row],[Campo]]</f>
        <v>PROPERTYPROPERTY_LOT</v>
      </c>
      <c r="I94" s="3" t="s">
        <v>614</v>
      </c>
      <c r="J94" s="43">
        <f>VLOOKUP(Table1[[#This Row],[Status]],Auxiliar!$B$16:$C$24,2,0)</f>
        <v>1</v>
      </c>
      <c r="K94" s="2" t="s">
        <v>1252</v>
      </c>
      <c r="L94" s="29" t="s">
        <v>1258</v>
      </c>
      <c r="M94" s="21" t="s">
        <v>1259</v>
      </c>
      <c r="N94" s="48">
        <v>45490</v>
      </c>
      <c r="O94" s="21">
        <f>INDEX(Auxiliar!$D$5:$F$13,MATCH(Table1[[#This Row],[Tipologia_Testes]],Auxiliar!$B$5:$B$13,0),MATCH(Table1[[#This Row],[Complexidade]],Auxiliar!$D$4:$F$4,0))</f>
        <v>2</v>
      </c>
      <c r="P94" s="2"/>
      <c r="Q94" s="2" t="s">
        <v>1269</v>
      </c>
      <c r="R94" s="152">
        <v>45261</v>
      </c>
      <c r="S94" s="152"/>
      <c r="T94" s="152"/>
      <c r="U94" s="152"/>
      <c r="V94" s="152"/>
      <c r="W94" s="2">
        <f>VLOOKUP(Table1[[#This Row],[Status]],Auxiliar!$B$16:$D$24,3,0)*Table1[[#This Row],[Estimação (horas)]]</f>
        <v>2</v>
      </c>
      <c r="X94" s="2"/>
    </row>
    <row r="95" spans="2:24" ht="17.7" customHeight="1" x14ac:dyDescent="0.25">
      <c r="B95" s="2" t="s">
        <v>26</v>
      </c>
      <c r="C95" s="2" t="s">
        <v>54</v>
      </c>
      <c r="D95" s="2" t="s">
        <v>95</v>
      </c>
      <c r="E95" s="2" t="s">
        <v>38</v>
      </c>
      <c r="F95" s="2" t="s">
        <v>94</v>
      </c>
      <c r="G95" s="2" t="s">
        <v>113</v>
      </c>
      <c r="H95" s="57" t="str">
        <f>Table1[[#This Row],[Tabela]]&amp;Table1[[#This Row],[Campo]]</f>
        <v>PROPERTYPROPERTY_LOT</v>
      </c>
      <c r="I95" s="3" t="s">
        <v>614</v>
      </c>
      <c r="J95" s="43">
        <f>VLOOKUP(Table1[[#This Row],[Status]],Auxiliar!$B$16:$C$24,2,0)</f>
        <v>1</v>
      </c>
      <c r="K95" s="2" t="s">
        <v>1253</v>
      </c>
      <c r="L95" s="29" t="s">
        <v>1258</v>
      </c>
      <c r="M95" s="21" t="s">
        <v>1259</v>
      </c>
      <c r="N95" s="48">
        <v>45490</v>
      </c>
      <c r="O95" s="21">
        <f>INDEX(Auxiliar!$D$5:$F$13,MATCH(Table1[[#This Row],[Tipologia_Testes]],Auxiliar!$B$5:$B$13,0),MATCH(Table1[[#This Row],[Complexidade]],Auxiliar!$D$4:$F$4,0))</f>
        <v>2</v>
      </c>
      <c r="P95" s="2"/>
      <c r="Q95" s="2" t="s">
        <v>1269</v>
      </c>
      <c r="R95" s="152">
        <v>45261</v>
      </c>
      <c r="S95" s="152"/>
      <c r="T95" s="152"/>
      <c r="U95" s="152"/>
      <c r="V95" s="152"/>
      <c r="W95" s="2">
        <f>VLOOKUP(Table1[[#This Row],[Status]],Auxiliar!$B$16:$D$24,3,0)*Table1[[#This Row],[Estimação (horas)]]</f>
        <v>2</v>
      </c>
      <c r="X95" s="2"/>
    </row>
    <row r="96" spans="2:24" ht="17.7" customHeight="1" x14ac:dyDescent="0.25">
      <c r="B96" s="2" t="s">
        <v>26</v>
      </c>
      <c r="C96" s="2" t="s">
        <v>54</v>
      </c>
      <c r="D96" s="2" t="s">
        <v>95</v>
      </c>
      <c r="E96" s="2" t="s">
        <v>38</v>
      </c>
      <c r="F96" s="2" t="s">
        <v>94</v>
      </c>
      <c r="G96" s="2" t="s">
        <v>113</v>
      </c>
      <c r="H96" s="57" t="str">
        <f>Table1[[#This Row],[Tabela]]&amp;Table1[[#This Row],[Campo]]</f>
        <v>PROPERTYPROPERTY_LOT</v>
      </c>
      <c r="I96" s="3" t="s">
        <v>614</v>
      </c>
      <c r="J96" s="43">
        <f>VLOOKUP(Table1[[#This Row],[Status]],Auxiliar!$B$16:$C$24,2,0)</f>
        <v>1</v>
      </c>
      <c r="K96" s="2" t="s">
        <v>1255</v>
      </c>
      <c r="L96" s="29" t="s">
        <v>1258</v>
      </c>
      <c r="M96" s="21" t="s">
        <v>1259</v>
      </c>
      <c r="N96" s="48">
        <v>45490</v>
      </c>
      <c r="O96" s="21">
        <f>INDEX(Auxiliar!$D$5:$F$13,MATCH(Table1[[#This Row],[Tipologia_Testes]],Auxiliar!$B$5:$B$13,0),MATCH(Table1[[#This Row],[Complexidade]],Auxiliar!$D$4:$F$4,0))</f>
        <v>0.1</v>
      </c>
      <c r="P96" s="2"/>
      <c r="Q96" s="2" t="s">
        <v>1269</v>
      </c>
      <c r="R96" s="152">
        <v>45261</v>
      </c>
      <c r="S96" s="152"/>
      <c r="T96" s="152"/>
      <c r="U96" s="152"/>
      <c r="V96" s="152"/>
      <c r="W96" s="2">
        <f>VLOOKUP(Table1[[#This Row],[Status]],Auxiliar!$B$16:$D$24,3,0)*Table1[[#This Row],[Estimação (horas)]]</f>
        <v>0.1</v>
      </c>
      <c r="X96" s="2"/>
    </row>
    <row r="97" spans="2:24" ht="17.7" customHeight="1" x14ac:dyDescent="0.25">
      <c r="B97" s="2" t="s">
        <v>26</v>
      </c>
      <c r="C97" s="2" t="s">
        <v>54</v>
      </c>
      <c r="D97" s="2" t="s">
        <v>95</v>
      </c>
      <c r="E97" s="2" t="s">
        <v>38</v>
      </c>
      <c r="F97" s="2" t="s">
        <v>94</v>
      </c>
      <c r="G97" s="2" t="s">
        <v>114</v>
      </c>
      <c r="H97" s="57" t="str">
        <f>Table1[[#This Row],[Tabela]]&amp;Table1[[#This Row],[Campo]]</f>
        <v>PROPERTYLAST_APPRAISAL_AMOUNT</v>
      </c>
      <c r="I97" s="3" t="s">
        <v>614</v>
      </c>
      <c r="J97" s="55">
        <f>VLOOKUP(Table1[[#This Row],[Status]],Auxiliar!$B$16:$C$24,2,0)</f>
        <v>1</v>
      </c>
      <c r="K97" s="2" t="s">
        <v>1252</v>
      </c>
      <c r="L97" s="29" t="s">
        <v>1258</v>
      </c>
      <c r="M97" s="21" t="s">
        <v>1259</v>
      </c>
      <c r="N97" s="48">
        <v>45485</v>
      </c>
      <c r="O97" s="21">
        <f>INDEX(Auxiliar!$D$5:$F$13,MATCH(Table1[[#This Row],[Tipologia_Testes]],Auxiliar!$B$5:$B$13,0),MATCH(Table1[[#This Row],[Complexidade]],Auxiliar!$D$4:$F$4,0))</f>
        <v>2</v>
      </c>
      <c r="P97" s="2"/>
      <c r="Q97" s="2" t="s">
        <v>1269</v>
      </c>
      <c r="R97" s="152">
        <v>45261</v>
      </c>
      <c r="S97" s="152"/>
      <c r="T97" s="152"/>
      <c r="U97" s="152"/>
      <c r="V97" s="152"/>
      <c r="W97" s="2">
        <f>VLOOKUP(Table1[[#This Row],[Status]],Auxiliar!$B$16:$D$24,3,0)*Table1[[#This Row],[Estimação (horas)]]</f>
        <v>2</v>
      </c>
      <c r="X97" s="2"/>
    </row>
    <row r="98" spans="2:24" ht="17.7" customHeight="1" x14ac:dyDescent="0.25">
      <c r="B98" s="2" t="s">
        <v>26</v>
      </c>
      <c r="C98" s="2" t="s">
        <v>54</v>
      </c>
      <c r="D98" s="2" t="s">
        <v>95</v>
      </c>
      <c r="E98" s="2" t="s">
        <v>38</v>
      </c>
      <c r="F98" s="2" t="s">
        <v>94</v>
      </c>
      <c r="G98" s="2" t="s">
        <v>114</v>
      </c>
      <c r="H98" s="57" t="str">
        <f>Table1[[#This Row],[Tabela]]&amp;Table1[[#This Row],[Campo]]</f>
        <v>PROPERTYLAST_APPRAISAL_AMOUNT</v>
      </c>
      <c r="I98" s="3" t="s">
        <v>614</v>
      </c>
      <c r="J98" s="55">
        <f>VLOOKUP(Table1[[#This Row],[Status]],Auxiliar!$B$16:$C$24,2,0)</f>
        <v>1</v>
      </c>
      <c r="K98" s="2" t="s">
        <v>1253</v>
      </c>
      <c r="L98" s="29" t="s">
        <v>1258</v>
      </c>
      <c r="M98" s="21" t="s">
        <v>1259</v>
      </c>
      <c r="N98" s="48">
        <v>45485</v>
      </c>
      <c r="O98" s="21">
        <f>INDEX(Auxiliar!$D$5:$F$13,MATCH(Table1[[#This Row],[Tipologia_Testes]],Auxiliar!$B$5:$B$13,0),MATCH(Table1[[#This Row],[Complexidade]],Auxiliar!$D$4:$F$4,0))</f>
        <v>2</v>
      </c>
      <c r="P98" s="2"/>
      <c r="Q98" s="2" t="s">
        <v>1269</v>
      </c>
      <c r="R98" s="152">
        <v>45261</v>
      </c>
      <c r="S98" s="152"/>
      <c r="T98" s="152"/>
      <c r="U98" s="152"/>
      <c r="V98" s="152"/>
      <c r="W98" s="2">
        <f>VLOOKUP(Table1[[#This Row],[Status]],Auxiliar!$B$16:$D$24,3,0)*Table1[[#This Row],[Estimação (horas)]]</f>
        <v>2</v>
      </c>
      <c r="X98" s="2"/>
    </row>
    <row r="99" spans="2:24" ht="17.7" customHeight="1" x14ac:dyDescent="0.25">
      <c r="B99" s="2" t="s">
        <v>26</v>
      </c>
      <c r="C99" s="2" t="s">
        <v>54</v>
      </c>
      <c r="D99" s="2" t="s">
        <v>95</v>
      </c>
      <c r="E99" s="2" t="s">
        <v>38</v>
      </c>
      <c r="F99" s="2" t="s">
        <v>94</v>
      </c>
      <c r="G99" s="2" t="s">
        <v>114</v>
      </c>
      <c r="H99" s="57" t="str">
        <f>Table1[[#This Row],[Tabela]]&amp;Table1[[#This Row],[Campo]]</f>
        <v>PROPERTYLAST_APPRAISAL_AMOUNT</v>
      </c>
      <c r="I99" s="3" t="s">
        <v>614</v>
      </c>
      <c r="J99" s="55">
        <f>VLOOKUP(Table1[[#This Row],[Status]],Auxiliar!$B$16:$C$24,2,0)</f>
        <v>1</v>
      </c>
      <c r="K99" s="2" t="s">
        <v>1255</v>
      </c>
      <c r="L99" s="29" t="s">
        <v>1258</v>
      </c>
      <c r="M99" s="21" t="s">
        <v>1259</v>
      </c>
      <c r="N99" s="48">
        <v>45485</v>
      </c>
      <c r="O99" s="21">
        <f>INDEX(Auxiliar!$D$5:$F$13,MATCH(Table1[[#This Row],[Tipologia_Testes]],Auxiliar!$B$5:$B$13,0),MATCH(Table1[[#This Row],[Complexidade]],Auxiliar!$D$4:$F$4,0))</f>
        <v>0.1</v>
      </c>
      <c r="P99" s="2"/>
      <c r="Q99" s="2" t="s">
        <v>1269</v>
      </c>
      <c r="R99" s="152">
        <v>45261</v>
      </c>
      <c r="S99" s="152"/>
      <c r="T99" s="152"/>
      <c r="U99" s="152"/>
      <c r="V99" s="152"/>
      <c r="W99" s="2">
        <f>VLOOKUP(Table1[[#This Row],[Status]],Auxiliar!$B$16:$D$24,3,0)*Table1[[#This Row],[Estimação (horas)]]</f>
        <v>0.1</v>
      </c>
      <c r="X99" s="2"/>
    </row>
    <row r="100" spans="2:24" ht="17.7" customHeight="1" x14ac:dyDescent="0.25">
      <c r="B100" s="2" t="s">
        <v>26</v>
      </c>
      <c r="C100" s="2" t="s">
        <v>54</v>
      </c>
      <c r="D100" s="2" t="s">
        <v>95</v>
      </c>
      <c r="E100" s="2" t="s">
        <v>38</v>
      </c>
      <c r="F100" s="2" t="s">
        <v>94</v>
      </c>
      <c r="G100" s="2" t="s">
        <v>115</v>
      </c>
      <c r="H100" s="57" t="str">
        <f>Table1[[#This Row],[Tabela]]&amp;Table1[[#This Row],[Campo]]</f>
        <v>PROPERTYNET_APPRAISAL_AMOUNT</v>
      </c>
      <c r="I100" s="3" t="s">
        <v>614</v>
      </c>
      <c r="J100" s="55">
        <f>VLOOKUP(Table1[[#This Row],[Status]],Auxiliar!$B$16:$C$24,2,0)</f>
        <v>1</v>
      </c>
      <c r="K100" s="2" t="s">
        <v>1252</v>
      </c>
      <c r="L100" s="29" t="s">
        <v>1258</v>
      </c>
      <c r="M100" s="21" t="s">
        <v>1259</v>
      </c>
      <c r="N100" s="48">
        <v>45485</v>
      </c>
      <c r="O100" s="21">
        <f>INDEX(Auxiliar!$D$5:$F$13,MATCH(Table1[[#This Row],[Tipologia_Testes]],Auxiliar!$B$5:$B$13,0),MATCH(Table1[[#This Row],[Complexidade]],Auxiliar!$D$4:$F$4,0))</f>
        <v>2</v>
      </c>
      <c r="P100" s="2"/>
      <c r="Q100" s="2" t="s">
        <v>1269</v>
      </c>
      <c r="R100" s="152">
        <v>45261</v>
      </c>
      <c r="S100" s="152"/>
      <c r="T100" s="152"/>
      <c r="U100" s="152"/>
      <c r="V100" s="152"/>
      <c r="W100" s="2">
        <f>VLOOKUP(Table1[[#This Row],[Status]],Auxiliar!$B$16:$D$24,3,0)*Table1[[#This Row],[Estimação (horas)]]</f>
        <v>2</v>
      </c>
      <c r="X100" s="2"/>
    </row>
    <row r="101" spans="2:24" ht="17.7" customHeight="1" x14ac:dyDescent="0.25">
      <c r="B101" s="2" t="s">
        <v>26</v>
      </c>
      <c r="C101" s="2" t="s">
        <v>54</v>
      </c>
      <c r="D101" s="2" t="s">
        <v>95</v>
      </c>
      <c r="E101" s="2" t="s">
        <v>38</v>
      </c>
      <c r="F101" s="2" t="s">
        <v>94</v>
      </c>
      <c r="G101" s="2" t="s">
        <v>115</v>
      </c>
      <c r="H101" s="57" t="str">
        <f>Table1[[#This Row],[Tabela]]&amp;Table1[[#This Row],[Campo]]</f>
        <v>PROPERTYNET_APPRAISAL_AMOUNT</v>
      </c>
      <c r="I101" s="3" t="s">
        <v>614</v>
      </c>
      <c r="J101" s="55">
        <f>VLOOKUP(Table1[[#This Row],[Status]],Auxiliar!$B$16:$C$24,2,0)</f>
        <v>1</v>
      </c>
      <c r="K101" s="2" t="s">
        <v>1253</v>
      </c>
      <c r="L101" s="29" t="s">
        <v>1258</v>
      </c>
      <c r="M101" s="21" t="s">
        <v>1259</v>
      </c>
      <c r="N101" s="48">
        <v>45485</v>
      </c>
      <c r="O101" s="21">
        <f>INDEX(Auxiliar!$D$5:$F$13,MATCH(Table1[[#This Row],[Tipologia_Testes]],Auxiliar!$B$5:$B$13,0),MATCH(Table1[[#This Row],[Complexidade]],Auxiliar!$D$4:$F$4,0))</f>
        <v>2</v>
      </c>
      <c r="P101" s="2"/>
      <c r="Q101" s="2" t="s">
        <v>1269</v>
      </c>
      <c r="R101" s="152">
        <v>45261</v>
      </c>
      <c r="S101" s="152"/>
      <c r="T101" s="152"/>
      <c r="U101" s="152"/>
      <c r="V101" s="152"/>
      <c r="W101" s="2">
        <f>VLOOKUP(Table1[[#This Row],[Status]],Auxiliar!$B$16:$D$24,3,0)*Table1[[#This Row],[Estimação (horas)]]</f>
        <v>2</v>
      </c>
      <c r="X101" s="2"/>
    </row>
    <row r="102" spans="2:24" ht="17.7" customHeight="1" x14ac:dyDescent="0.25">
      <c r="B102" s="2" t="s">
        <v>26</v>
      </c>
      <c r="C102" s="2" t="s">
        <v>54</v>
      </c>
      <c r="D102" s="2" t="s">
        <v>95</v>
      </c>
      <c r="E102" s="2" t="s">
        <v>38</v>
      </c>
      <c r="F102" s="2" t="s">
        <v>94</v>
      </c>
      <c r="G102" s="2" t="s">
        <v>115</v>
      </c>
      <c r="H102" s="57" t="str">
        <f>Table1[[#This Row],[Tabela]]&amp;Table1[[#This Row],[Campo]]</f>
        <v>PROPERTYNET_APPRAISAL_AMOUNT</v>
      </c>
      <c r="I102" s="3" t="s">
        <v>614</v>
      </c>
      <c r="J102" s="55">
        <f>VLOOKUP(Table1[[#This Row],[Status]],Auxiliar!$B$16:$C$24,2,0)</f>
        <v>1</v>
      </c>
      <c r="K102" s="2" t="s">
        <v>1255</v>
      </c>
      <c r="L102" s="29" t="s">
        <v>1258</v>
      </c>
      <c r="M102" s="21" t="s">
        <v>1259</v>
      </c>
      <c r="N102" s="48">
        <v>45485</v>
      </c>
      <c r="O102" s="21">
        <f>INDEX(Auxiliar!$D$5:$F$13,MATCH(Table1[[#This Row],[Tipologia_Testes]],Auxiliar!$B$5:$B$13,0),MATCH(Table1[[#This Row],[Complexidade]],Auxiliar!$D$4:$F$4,0))</f>
        <v>0.1</v>
      </c>
      <c r="P102" s="2"/>
      <c r="Q102" s="2" t="s">
        <v>1269</v>
      </c>
      <c r="R102" s="152">
        <v>45261</v>
      </c>
      <c r="S102" s="152"/>
      <c r="T102" s="152"/>
      <c r="U102" s="152"/>
      <c r="V102" s="152"/>
      <c r="W102" s="2">
        <f>VLOOKUP(Table1[[#This Row],[Status]],Auxiliar!$B$16:$D$24,3,0)*Table1[[#This Row],[Estimação (horas)]]</f>
        <v>0.1</v>
      </c>
      <c r="X102" s="2"/>
    </row>
    <row r="103" spans="2:24" ht="17.7" customHeight="1" x14ac:dyDescent="0.25">
      <c r="B103" s="2" t="s">
        <v>26</v>
      </c>
      <c r="C103" s="2" t="s">
        <v>54</v>
      </c>
      <c r="D103" s="2" t="s">
        <v>95</v>
      </c>
      <c r="E103" s="2" t="s">
        <v>38</v>
      </c>
      <c r="F103" s="2" t="s">
        <v>94</v>
      </c>
      <c r="G103" s="2" t="s">
        <v>116</v>
      </c>
      <c r="H103" s="57" t="str">
        <f>Table1[[#This Row],[Tabela]]&amp;Table1[[#This Row],[Campo]]</f>
        <v>PROPERTYCOLLATERAL_FAST_SALE_AMOUNT</v>
      </c>
      <c r="I103" s="3" t="s">
        <v>614</v>
      </c>
      <c r="J103" s="55">
        <f>VLOOKUP(Table1[[#This Row],[Status]],Auxiliar!$B$16:$C$24,2,0)</f>
        <v>1</v>
      </c>
      <c r="K103" s="2" t="s">
        <v>1252</v>
      </c>
      <c r="L103" s="29" t="s">
        <v>1258</v>
      </c>
      <c r="M103" s="21" t="s">
        <v>1259</v>
      </c>
      <c r="N103" s="48">
        <v>45485</v>
      </c>
      <c r="O103" s="21">
        <f>INDEX(Auxiliar!$D$5:$F$13,MATCH(Table1[[#This Row],[Tipologia_Testes]],Auxiliar!$B$5:$B$13,0),MATCH(Table1[[#This Row],[Complexidade]],Auxiliar!$D$4:$F$4,0))</f>
        <v>2</v>
      </c>
      <c r="P103" s="2"/>
      <c r="Q103" s="2" t="s">
        <v>1269</v>
      </c>
      <c r="R103" s="152">
        <v>45261</v>
      </c>
      <c r="S103" s="152"/>
      <c r="T103" s="152"/>
      <c r="U103" s="152"/>
      <c r="V103" s="152"/>
      <c r="W103" s="2">
        <f>VLOOKUP(Table1[[#This Row],[Status]],Auxiliar!$B$16:$D$24,3,0)*Table1[[#This Row],[Estimação (horas)]]</f>
        <v>2</v>
      </c>
      <c r="X103" s="2"/>
    </row>
    <row r="104" spans="2:24" ht="17.7" customHeight="1" x14ac:dyDescent="0.25">
      <c r="B104" s="2" t="s">
        <v>26</v>
      </c>
      <c r="C104" s="2" t="s">
        <v>54</v>
      </c>
      <c r="D104" s="2" t="s">
        <v>95</v>
      </c>
      <c r="E104" s="2" t="s">
        <v>38</v>
      </c>
      <c r="F104" s="2" t="s">
        <v>94</v>
      </c>
      <c r="G104" s="2" t="s">
        <v>116</v>
      </c>
      <c r="H104" s="57" t="str">
        <f>Table1[[#This Row],[Tabela]]&amp;Table1[[#This Row],[Campo]]</f>
        <v>PROPERTYCOLLATERAL_FAST_SALE_AMOUNT</v>
      </c>
      <c r="I104" s="3" t="s">
        <v>614</v>
      </c>
      <c r="J104" s="55">
        <f>VLOOKUP(Table1[[#This Row],[Status]],Auxiliar!$B$16:$C$24,2,0)</f>
        <v>1</v>
      </c>
      <c r="K104" s="2" t="s">
        <v>1253</v>
      </c>
      <c r="L104" s="29" t="s">
        <v>1258</v>
      </c>
      <c r="M104" s="21" t="s">
        <v>1259</v>
      </c>
      <c r="N104" s="48">
        <v>45485</v>
      </c>
      <c r="O104" s="21">
        <f>INDEX(Auxiliar!$D$5:$F$13,MATCH(Table1[[#This Row],[Tipologia_Testes]],Auxiliar!$B$5:$B$13,0),MATCH(Table1[[#This Row],[Complexidade]],Auxiliar!$D$4:$F$4,0))</f>
        <v>2</v>
      </c>
      <c r="P104" s="2"/>
      <c r="Q104" s="2" t="s">
        <v>1269</v>
      </c>
      <c r="R104" s="152">
        <v>45261</v>
      </c>
      <c r="S104" s="152"/>
      <c r="T104" s="152"/>
      <c r="U104" s="152"/>
      <c r="V104" s="152"/>
      <c r="W104" s="2">
        <f>VLOOKUP(Table1[[#This Row],[Status]],Auxiliar!$B$16:$D$24,3,0)*Table1[[#This Row],[Estimação (horas)]]</f>
        <v>2</v>
      </c>
      <c r="X104" s="2"/>
    </row>
    <row r="105" spans="2:24" ht="17.7" customHeight="1" x14ac:dyDescent="0.25">
      <c r="B105" s="2" t="s">
        <v>26</v>
      </c>
      <c r="C105" s="2" t="s">
        <v>54</v>
      </c>
      <c r="D105" s="2" t="s">
        <v>95</v>
      </c>
      <c r="E105" s="2" t="s">
        <v>38</v>
      </c>
      <c r="F105" s="2" t="s">
        <v>94</v>
      </c>
      <c r="G105" s="2" t="s">
        <v>116</v>
      </c>
      <c r="H105" s="57" t="str">
        <f>Table1[[#This Row],[Tabela]]&amp;Table1[[#This Row],[Campo]]</f>
        <v>PROPERTYCOLLATERAL_FAST_SALE_AMOUNT</v>
      </c>
      <c r="I105" s="3" t="s">
        <v>614</v>
      </c>
      <c r="J105" s="55">
        <f>VLOOKUP(Table1[[#This Row],[Status]],Auxiliar!$B$16:$C$24,2,0)</f>
        <v>1</v>
      </c>
      <c r="K105" s="2" t="s">
        <v>1255</v>
      </c>
      <c r="L105" s="29" t="s">
        <v>1258</v>
      </c>
      <c r="M105" s="21" t="s">
        <v>1259</v>
      </c>
      <c r="N105" s="48">
        <v>45485</v>
      </c>
      <c r="O105" s="21">
        <f>INDEX(Auxiliar!$D$5:$F$13,MATCH(Table1[[#This Row],[Tipologia_Testes]],Auxiliar!$B$5:$B$13,0),MATCH(Table1[[#This Row],[Complexidade]],Auxiliar!$D$4:$F$4,0))</f>
        <v>0.1</v>
      </c>
      <c r="P105" s="2"/>
      <c r="Q105" s="2" t="s">
        <v>1269</v>
      </c>
      <c r="R105" s="152">
        <v>45261</v>
      </c>
      <c r="S105" s="152"/>
      <c r="T105" s="152"/>
      <c r="U105" s="152"/>
      <c r="V105" s="152"/>
      <c r="W105" s="2">
        <f>VLOOKUP(Table1[[#This Row],[Status]],Auxiliar!$B$16:$D$24,3,0)*Table1[[#This Row],[Estimação (horas)]]</f>
        <v>0.1</v>
      </c>
      <c r="X105" s="2"/>
    </row>
    <row r="106" spans="2:24" ht="17.7" customHeight="1" x14ac:dyDescent="0.25">
      <c r="B106" s="2" t="s">
        <v>26</v>
      </c>
      <c r="C106" s="2" t="s">
        <v>54</v>
      </c>
      <c r="D106" s="2" t="s">
        <v>95</v>
      </c>
      <c r="E106" s="2" t="s">
        <v>38</v>
      </c>
      <c r="F106" s="2" t="s">
        <v>94</v>
      </c>
      <c r="G106" s="2" t="s">
        <v>117</v>
      </c>
      <c r="H106" s="57" t="str">
        <f>Table1[[#This Row],[Tabela]]&amp;Table1[[#This Row],[Campo]]</f>
        <v>PROPERTYADDRESS</v>
      </c>
      <c r="I106" s="3" t="s">
        <v>614</v>
      </c>
      <c r="J106" s="55">
        <f>VLOOKUP(Table1[[#This Row],[Status]],Auxiliar!$B$16:$C$24,2,0)</f>
        <v>1</v>
      </c>
      <c r="K106" s="2" t="s">
        <v>1252</v>
      </c>
      <c r="L106" s="29" t="s">
        <v>1258</v>
      </c>
      <c r="M106" s="21" t="s">
        <v>1259</v>
      </c>
      <c r="N106" s="48">
        <v>45485</v>
      </c>
      <c r="O106" s="21">
        <f>INDEX(Auxiliar!$D$5:$F$13,MATCH(Table1[[#This Row],[Tipologia_Testes]],Auxiliar!$B$5:$B$13,0),MATCH(Table1[[#This Row],[Complexidade]],Auxiliar!$D$4:$F$4,0))</f>
        <v>2</v>
      </c>
      <c r="P106" s="2"/>
      <c r="Q106" s="2" t="s">
        <v>1269</v>
      </c>
      <c r="R106" s="152">
        <v>45261</v>
      </c>
      <c r="S106" s="152"/>
      <c r="T106" s="152"/>
      <c r="U106" s="152"/>
      <c r="V106" s="152"/>
      <c r="W106" s="2">
        <f>VLOOKUP(Table1[[#This Row],[Status]],Auxiliar!$B$16:$D$24,3,0)*Table1[[#This Row],[Estimação (horas)]]</f>
        <v>2</v>
      </c>
      <c r="X106" s="2"/>
    </row>
    <row r="107" spans="2:24" ht="17.7" customHeight="1" x14ac:dyDescent="0.25">
      <c r="B107" s="2" t="s">
        <v>26</v>
      </c>
      <c r="C107" s="2" t="s">
        <v>54</v>
      </c>
      <c r="D107" s="2" t="s">
        <v>95</v>
      </c>
      <c r="E107" s="2" t="s">
        <v>38</v>
      </c>
      <c r="F107" s="2" t="s">
        <v>94</v>
      </c>
      <c r="G107" s="2" t="s">
        <v>117</v>
      </c>
      <c r="H107" s="57" t="str">
        <f>Table1[[#This Row],[Tabela]]&amp;Table1[[#This Row],[Campo]]</f>
        <v>PROPERTYADDRESS</v>
      </c>
      <c r="I107" s="3" t="s">
        <v>614</v>
      </c>
      <c r="J107" s="55">
        <f>VLOOKUP(Table1[[#This Row],[Status]],Auxiliar!$B$16:$C$24,2,0)</f>
        <v>1</v>
      </c>
      <c r="K107" s="2" t="s">
        <v>1253</v>
      </c>
      <c r="L107" s="29" t="s">
        <v>1258</v>
      </c>
      <c r="M107" s="21" t="s">
        <v>1259</v>
      </c>
      <c r="N107" s="48">
        <v>45485</v>
      </c>
      <c r="O107" s="21">
        <f>INDEX(Auxiliar!$D$5:$F$13,MATCH(Table1[[#This Row],[Tipologia_Testes]],Auxiliar!$B$5:$B$13,0),MATCH(Table1[[#This Row],[Complexidade]],Auxiliar!$D$4:$F$4,0))</f>
        <v>2</v>
      </c>
      <c r="P107" s="2"/>
      <c r="Q107" s="2" t="s">
        <v>1269</v>
      </c>
      <c r="R107" s="152">
        <v>45261</v>
      </c>
      <c r="S107" s="152"/>
      <c r="T107" s="152"/>
      <c r="U107" s="152"/>
      <c r="V107" s="152"/>
      <c r="W107" s="2">
        <f>VLOOKUP(Table1[[#This Row],[Status]],Auxiliar!$B$16:$D$24,3,0)*Table1[[#This Row],[Estimação (horas)]]</f>
        <v>2</v>
      </c>
      <c r="X107" s="2"/>
    </row>
    <row r="108" spans="2:24" ht="17.7" customHeight="1" x14ac:dyDescent="0.25">
      <c r="B108" s="2" t="s">
        <v>26</v>
      </c>
      <c r="C108" s="2" t="s">
        <v>54</v>
      </c>
      <c r="D108" s="2" t="s">
        <v>95</v>
      </c>
      <c r="E108" s="2" t="s">
        <v>38</v>
      </c>
      <c r="F108" s="2" t="s">
        <v>94</v>
      </c>
      <c r="G108" s="2" t="s">
        <v>117</v>
      </c>
      <c r="H108" s="57" t="str">
        <f>Table1[[#This Row],[Tabela]]&amp;Table1[[#This Row],[Campo]]</f>
        <v>PROPERTYADDRESS</v>
      </c>
      <c r="I108" s="3" t="s">
        <v>614</v>
      </c>
      <c r="J108" s="55">
        <f>VLOOKUP(Table1[[#This Row],[Status]],Auxiliar!$B$16:$C$24,2,0)</f>
        <v>1</v>
      </c>
      <c r="K108" s="2" t="s">
        <v>1255</v>
      </c>
      <c r="L108" s="29" t="s">
        <v>1258</v>
      </c>
      <c r="M108" s="21" t="s">
        <v>1259</v>
      </c>
      <c r="N108" s="48">
        <v>45485</v>
      </c>
      <c r="O108" s="21">
        <f>INDEX(Auxiliar!$D$5:$F$13,MATCH(Table1[[#This Row],[Tipologia_Testes]],Auxiliar!$B$5:$B$13,0),MATCH(Table1[[#This Row],[Complexidade]],Auxiliar!$D$4:$F$4,0))</f>
        <v>0.1</v>
      </c>
      <c r="P108" s="2"/>
      <c r="Q108" s="2" t="s">
        <v>1269</v>
      </c>
      <c r="R108" s="152">
        <v>45261</v>
      </c>
      <c r="S108" s="152"/>
      <c r="T108" s="152"/>
      <c r="U108" s="152"/>
      <c r="V108" s="152"/>
      <c r="W108" s="2">
        <f>VLOOKUP(Table1[[#This Row],[Status]],Auxiliar!$B$16:$D$24,3,0)*Table1[[#This Row],[Estimação (horas)]]</f>
        <v>0.1</v>
      </c>
      <c r="X108" s="2"/>
    </row>
    <row r="109" spans="2:24" ht="17.7" customHeight="1" x14ac:dyDescent="0.25">
      <c r="B109" s="2" t="s">
        <v>26</v>
      </c>
      <c r="C109" s="2" t="s">
        <v>54</v>
      </c>
      <c r="D109" s="2" t="s">
        <v>95</v>
      </c>
      <c r="E109" s="2" t="s">
        <v>38</v>
      </c>
      <c r="F109" s="2" t="s">
        <v>94</v>
      </c>
      <c r="G109" s="2" t="s">
        <v>118</v>
      </c>
      <c r="H109" s="57" t="str">
        <f>Table1[[#This Row],[Tabela]]&amp;Table1[[#This Row],[Campo]]</f>
        <v>PROPERTYPROPERTY_NUMBER</v>
      </c>
      <c r="I109" s="3" t="s">
        <v>614</v>
      </c>
      <c r="J109" s="43">
        <f>VLOOKUP(Table1[[#This Row],[Status]],Auxiliar!$B$16:$C$24,2,0)</f>
        <v>1</v>
      </c>
      <c r="K109" s="2" t="s">
        <v>1252</v>
      </c>
      <c r="L109" s="29" t="s">
        <v>1258</v>
      </c>
      <c r="M109" s="21" t="s">
        <v>1259</v>
      </c>
      <c r="N109" s="48">
        <v>45490</v>
      </c>
      <c r="O109" s="21">
        <f>INDEX(Auxiliar!$D$5:$F$13,MATCH(Table1[[#This Row],[Tipologia_Testes]],Auxiliar!$B$5:$B$13,0),MATCH(Table1[[#This Row],[Complexidade]],Auxiliar!$D$4:$F$4,0))</f>
        <v>2</v>
      </c>
      <c r="P109" s="2"/>
      <c r="Q109" s="2" t="s">
        <v>1269</v>
      </c>
      <c r="R109" s="152">
        <v>45261</v>
      </c>
      <c r="S109" s="152"/>
      <c r="T109" s="152"/>
      <c r="U109" s="152"/>
      <c r="V109" s="152"/>
      <c r="W109" s="2">
        <f>VLOOKUP(Table1[[#This Row],[Status]],Auxiliar!$B$16:$D$24,3,0)*Table1[[#This Row],[Estimação (horas)]]</f>
        <v>2</v>
      </c>
      <c r="X109" s="2"/>
    </row>
    <row r="110" spans="2:24" ht="17.7" customHeight="1" x14ac:dyDescent="0.25">
      <c r="B110" s="2" t="s">
        <v>26</v>
      </c>
      <c r="C110" s="2" t="s">
        <v>54</v>
      </c>
      <c r="D110" s="2" t="s">
        <v>95</v>
      </c>
      <c r="E110" s="2" t="s">
        <v>38</v>
      </c>
      <c r="F110" s="2" t="s">
        <v>94</v>
      </c>
      <c r="G110" s="2" t="s">
        <v>118</v>
      </c>
      <c r="H110" s="57" t="str">
        <f>Table1[[#This Row],[Tabela]]&amp;Table1[[#This Row],[Campo]]</f>
        <v>PROPERTYPROPERTY_NUMBER</v>
      </c>
      <c r="I110" s="3" t="s">
        <v>614</v>
      </c>
      <c r="J110" s="43">
        <f>VLOOKUP(Table1[[#This Row],[Status]],Auxiliar!$B$16:$C$24,2,0)</f>
        <v>1</v>
      </c>
      <c r="K110" s="2" t="s">
        <v>1253</v>
      </c>
      <c r="L110" s="29" t="s">
        <v>1258</v>
      </c>
      <c r="M110" s="21" t="s">
        <v>1259</v>
      </c>
      <c r="N110" s="48">
        <v>45490</v>
      </c>
      <c r="O110" s="21">
        <f>INDEX(Auxiliar!$D$5:$F$13,MATCH(Table1[[#This Row],[Tipologia_Testes]],Auxiliar!$B$5:$B$13,0),MATCH(Table1[[#This Row],[Complexidade]],Auxiliar!$D$4:$F$4,0))</f>
        <v>2</v>
      </c>
      <c r="P110" s="2"/>
      <c r="Q110" s="2" t="s">
        <v>1269</v>
      </c>
      <c r="R110" s="152">
        <v>45261</v>
      </c>
      <c r="S110" s="152"/>
      <c r="T110" s="152"/>
      <c r="U110" s="152"/>
      <c r="V110" s="152"/>
      <c r="W110" s="2">
        <f>VLOOKUP(Table1[[#This Row],[Status]],Auxiliar!$B$16:$D$24,3,0)*Table1[[#This Row],[Estimação (horas)]]</f>
        <v>2</v>
      </c>
      <c r="X110" s="2"/>
    </row>
    <row r="111" spans="2:24" ht="17.7" customHeight="1" x14ac:dyDescent="0.25">
      <c r="B111" s="2" t="s">
        <v>26</v>
      </c>
      <c r="C111" s="2" t="s">
        <v>54</v>
      </c>
      <c r="D111" s="2" t="s">
        <v>95</v>
      </c>
      <c r="E111" s="2" t="s">
        <v>38</v>
      </c>
      <c r="F111" s="2" t="s">
        <v>94</v>
      </c>
      <c r="G111" s="2" t="s">
        <v>118</v>
      </c>
      <c r="H111" s="57" t="str">
        <f>Table1[[#This Row],[Tabela]]&amp;Table1[[#This Row],[Campo]]</f>
        <v>PROPERTYPROPERTY_NUMBER</v>
      </c>
      <c r="I111" s="3" t="s">
        <v>614</v>
      </c>
      <c r="J111" s="43">
        <f>VLOOKUP(Table1[[#This Row],[Status]],Auxiliar!$B$16:$C$24,2,0)</f>
        <v>1</v>
      </c>
      <c r="K111" s="2" t="s">
        <v>1255</v>
      </c>
      <c r="L111" s="29" t="s">
        <v>1258</v>
      </c>
      <c r="M111" s="21" t="s">
        <v>1259</v>
      </c>
      <c r="N111" s="48">
        <v>45490</v>
      </c>
      <c r="O111" s="21">
        <f>INDEX(Auxiliar!$D$5:$F$13,MATCH(Table1[[#This Row],[Tipologia_Testes]],Auxiliar!$B$5:$B$13,0),MATCH(Table1[[#This Row],[Complexidade]],Auxiliar!$D$4:$F$4,0))</f>
        <v>0.1</v>
      </c>
      <c r="P111" s="2"/>
      <c r="Q111" s="2" t="s">
        <v>1269</v>
      </c>
      <c r="R111" s="152">
        <v>45261</v>
      </c>
      <c r="S111" s="152"/>
      <c r="T111" s="152"/>
      <c r="U111" s="152"/>
      <c r="V111" s="152"/>
      <c r="W111" s="2">
        <f>VLOOKUP(Table1[[#This Row],[Status]],Auxiliar!$B$16:$D$24,3,0)*Table1[[#This Row],[Estimação (horas)]]</f>
        <v>0.1</v>
      </c>
      <c r="X111" s="2"/>
    </row>
    <row r="112" spans="2:24" ht="17.7" customHeight="1" x14ac:dyDescent="0.25">
      <c r="B112" s="2" t="s">
        <v>26</v>
      </c>
      <c r="C112" s="2" t="s">
        <v>54</v>
      </c>
      <c r="D112" s="2" t="s">
        <v>95</v>
      </c>
      <c r="E112" s="2" t="s">
        <v>38</v>
      </c>
      <c r="F112" s="2" t="s">
        <v>94</v>
      </c>
      <c r="G112" s="2" t="s">
        <v>72</v>
      </c>
      <c r="H112" s="57" t="str">
        <f>Table1[[#This Row],[Tabela]]&amp;Table1[[#This Row],[Campo]]</f>
        <v>PROPERTYorigem</v>
      </c>
      <c r="I112" s="2" t="s">
        <v>613</v>
      </c>
      <c r="J112" s="55">
        <f>VLOOKUP(Table1[[#This Row],[Status]],Auxiliar!$B$16:$C$24,2,0)</f>
        <v>0</v>
      </c>
      <c r="K112" s="2" t="s">
        <v>1252</v>
      </c>
      <c r="L112" s="29" t="s">
        <v>1258</v>
      </c>
      <c r="M112" s="21" t="s">
        <v>1259</v>
      </c>
      <c r="N112" s="48">
        <v>45512</v>
      </c>
      <c r="O112" s="21">
        <f>INDEX(Auxiliar!$D$5:$F$13,MATCH(Table1[[#This Row],[Tipologia_Testes]],Auxiliar!$B$5:$B$13,0),MATCH(Table1[[#This Row],[Complexidade]],Auxiliar!$D$4:$F$4,0))</f>
        <v>2</v>
      </c>
      <c r="P112" s="2"/>
      <c r="Q112" s="2" t="s">
        <v>1269</v>
      </c>
      <c r="R112" s="152">
        <v>45261</v>
      </c>
      <c r="S112" s="152"/>
      <c r="T112" s="152"/>
      <c r="U112" s="152"/>
      <c r="V112" s="152"/>
      <c r="W112" s="2">
        <f>VLOOKUP(Table1[[#This Row],[Status]],Auxiliar!$B$16:$D$24,3,0)*Table1[[#This Row],[Estimação (horas)]]</f>
        <v>0</v>
      </c>
      <c r="X112" s="2"/>
    </row>
    <row r="113" spans="2:24" ht="17.7" customHeight="1" x14ac:dyDescent="0.25">
      <c r="B113" s="2" t="s">
        <v>26</v>
      </c>
      <c r="C113" s="2" t="s">
        <v>54</v>
      </c>
      <c r="D113" s="2" t="s">
        <v>95</v>
      </c>
      <c r="E113" s="2" t="s">
        <v>38</v>
      </c>
      <c r="F113" s="2" t="s">
        <v>94</v>
      </c>
      <c r="G113" s="2" t="s">
        <v>72</v>
      </c>
      <c r="H113" s="57" t="str">
        <f>Table1[[#This Row],[Tabela]]&amp;Table1[[#This Row],[Campo]]</f>
        <v>PROPERTYorigem</v>
      </c>
      <c r="I113" s="2" t="s">
        <v>613</v>
      </c>
      <c r="J113" s="55">
        <f>VLOOKUP(Table1[[#This Row],[Status]],Auxiliar!$B$16:$C$24,2,0)</f>
        <v>0</v>
      </c>
      <c r="K113" s="2" t="s">
        <v>1253</v>
      </c>
      <c r="L113" s="29" t="s">
        <v>1258</v>
      </c>
      <c r="M113" s="21" t="s">
        <v>1259</v>
      </c>
      <c r="N113" s="48">
        <v>45512</v>
      </c>
      <c r="O113" s="21">
        <f>INDEX(Auxiliar!$D$5:$F$13,MATCH(Table1[[#This Row],[Tipologia_Testes]],Auxiliar!$B$5:$B$13,0),MATCH(Table1[[#This Row],[Complexidade]],Auxiliar!$D$4:$F$4,0))</f>
        <v>2</v>
      </c>
      <c r="P113" s="2"/>
      <c r="Q113" s="2" t="s">
        <v>1269</v>
      </c>
      <c r="R113" s="152">
        <v>45261</v>
      </c>
      <c r="S113" s="152"/>
      <c r="T113" s="152"/>
      <c r="U113" s="152"/>
      <c r="V113" s="152"/>
      <c r="W113" s="2">
        <f>VLOOKUP(Table1[[#This Row],[Status]],Auxiliar!$B$16:$D$24,3,0)*Table1[[#This Row],[Estimação (horas)]]</f>
        <v>0</v>
      </c>
      <c r="X113" s="2"/>
    </row>
    <row r="114" spans="2:24" ht="17.7" customHeight="1" x14ac:dyDescent="0.25">
      <c r="B114" s="2" t="s">
        <v>26</v>
      </c>
      <c r="C114" s="2" t="s">
        <v>54</v>
      </c>
      <c r="D114" s="2" t="s">
        <v>95</v>
      </c>
      <c r="E114" s="2" t="s">
        <v>38</v>
      </c>
      <c r="F114" s="2" t="s">
        <v>94</v>
      </c>
      <c r="G114" s="2" t="s">
        <v>72</v>
      </c>
      <c r="H114" s="57" t="str">
        <f>Table1[[#This Row],[Tabela]]&amp;Table1[[#This Row],[Campo]]</f>
        <v>PROPERTYorigem</v>
      </c>
      <c r="I114" s="2" t="s">
        <v>613</v>
      </c>
      <c r="J114" s="55">
        <f>VLOOKUP(Table1[[#This Row],[Status]],Auxiliar!$B$16:$C$24,2,0)</f>
        <v>0</v>
      </c>
      <c r="K114" s="2" t="s">
        <v>1255</v>
      </c>
      <c r="L114" s="29" t="s">
        <v>1258</v>
      </c>
      <c r="M114" s="21" t="s">
        <v>1259</v>
      </c>
      <c r="N114" s="48">
        <v>45512</v>
      </c>
      <c r="O114" s="21">
        <f>INDEX(Auxiliar!$D$5:$F$13,MATCH(Table1[[#This Row],[Tipologia_Testes]],Auxiliar!$B$5:$B$13,0),MATCH(Table1[[#This Row],[Complexidade]],Auxiliar!$D$4:$F$4,0))</f>
        <v>0.1</v>
      </c>
      <c r="P114" s="2"/>
      <c r="Q114" s="2" t="s">
        <v>1269</v>
      </c>
      <c r="R114" s="152">
        <v>45261</v>
      </c>
      <c r="S114" s="152"/>
      <c r="T114" s="152"/>
      <c r="U114" s="152"/>
      <c r="V114" s="152"/>
      <c r="W114" s="2">
        <f>VLOOKUP(Table1[[#This Row],[Status]],Auxiliar!$B$16:$D$24,3,0)*Table1[[#This Row],[Estimação (horas)]]</f>
        <v>0</v>
      </c>
      <c r="X114" s="2"/>
    </row>
    <row r="115" spans="2:24" ht="17.7" customHeight="1" x14ac:dyDescent="0.25">
      <c r="B115" s="2" t="s">
        <v>26</v>
      </c>
      <c r="C115" s="2" t="s">
        <v>54</v>
      </c>
      <c r="D115" s="2" t="s">
        <v>95</v>
      </c>
      <c r="E115" s="2" t="s">
        <v>38</v>
      </c>
      <c r="F115" s="2" t="s">
        <v>94</v>
      </c>
      <c r="G115" s="2" t="s">
        <v>120</v>
      </c>
      <c r="H115" s="57" t="str">
        <f>Table1[[#This Row],[Tabela]]&amp;Table1[[#This Row],[Campo]]</f>
        <v>PROPERTYCURRENT_CONSTRUCTION_PCT</v>
      </c>
      <c r="I115" s="116" t="s">
        <v>614</v>
      </c>
      <c r="J115" s="43">
        <f>VLOOKUP(Table1[[#This Row],[Status]],Auxiliar!$B$16:$C$24,2,0)</f>
        <v>1</v>
      </c>
      <c r="K115" s="2" t="s">
        <v>1252</v>
      </c>
      <c r="L115" s="29" t="s">
        <v>1250</v>
      </c>
      <c r="M115" s="21" t="s">
        <v>1260</v>
      </c>
      <c r="N115" s="48">
        <v>45505</v>
      </c>
      <c r="O115" s="21">
        <f>INDEX(Auxiliar!$D$5:$F$13,MATCH(Table1[[#This Row],[Tipologia_Testes]],Auxiliar!$B$5:$B$13,0),MATCH(Table1[[#This Row],[Complexidade]],Auxiliar!$D$4:$F$4,0))</f>
        <v>4</v>
      </c>
      <c r="P115" s="2" t="s">
        <v>1261</v>
      </c>
      <c r="Q115" s="2" t="s">
        <v>1269</v>
      </c>
      <c r="R115" s="152">
        <v>45261</v>
      </c>
      <c r="S115" s="152"/>
      <c r="T115" s="152">
        <v>45491</v>
      </c>
      <c r="U115" s="152">
        <v>45495</v>
      </c>
      <c r="V115" s="152">
        <v>45495</v>
      </c>
      <c r="W115" s="2">
        <f>VLOOKUP(Table1[[#This Row],[Status]],Auxiliar!$B$16:$D$24,3,0)*Table1[[#This Row],[Estimação (horas)]]</f>
        <v>4</v>
      </c>
      <c r="X115" s="2"/>
    </row>
    <row r="116" spans="2:24" ht="17.7" customHeight="1" x14ac:dyDescent="0.25">
      <c r="B116" s="2" t="s">
        <v>26</v>
      </c>
      <c r="C116" s="2" t="s">
        <v>54</v>
      </c>
      <c r="D116" s="2" t="s">
        <v>95</v>
      </c>
      <c r="E116" s="2" t="s">
        <v>38</v>
      </c>
      <c r="F116" s="2" t="s">
        <v>94</v>
      </c>
      <c r="G116" s="2" t="s">
        <v>120</v>
      </c>
      <c r="H116" s="57" t="str">
        <f>Table1[[#This Row],[Tabela]]&amp;Table1[[#This Row],[Campo]]</f>
        <v>PROPERTYCURRENT_CONSTRUCTION_PCT</v>
      </c>
      <c r="I116" s="116" t="s">
        <v>614</v>
      </c>
      <c r="J116" s="43">
        <f>VLOOKUP(Table1[[#This Row],[Status]],Auxiliar!$B$16:$C$24,2,0)</f>
        <v>1</v>
      </c>
      <c r="K116" s="2" t="s">
        <v>1253</v>
      </c>
      <c r="L116" s="29" t="s">
        <v>1250</v>
      </c>
      <c r="M116" s="21" t="s">
        <v>1260</v>
      </c>
      <c r="N116" s="48">
        <v>45505</v>
      </c>
      <c r="O116" s="21">
        <f>INDEX(Auxiliar!$D$5:$F$13,MATCH(Table1[[#This Row],[Tipologia_Testes]],Auxiliar!$B$5:$B$13,0),MATCH(Table1[[#This Row],[Complexidade]],Auxiliar!$D$4:$F$4,0))</f>
        <v>4</v>
      </c>
      <c r="P116" s="2" t="s">
        <v>1261</v>
      </c>
      <c r="Q116" s="2" t="s">
        <v>1269</v>
      </c>
      <c r="R116" s="152">
        <v>45261</v>
      </c>
      <c r="S116" s="152"/>
      <c r="T116" s="152">
        <v>45491</v>
      </c>
      <c r="U116" s="152">
        <v>45495</v>
      </c>
      <c r="V116" s="152">
        <v>45495</v>
      </c>
      <c r="W116" s="2">
        <f>VLOOKUP(Table1[[#This Row],[Status]],Auxiliar!$B$16:$D$24,3,0)*Table1[[#This Row],[Estimação (horas)]]</f>
        <v>4</v>
      </c>
      <c r="X116" s="2"/>
    </row>
    <row r="117" spans="2:24" ht="17.7" customHeight="1" x14ac:dyDescent="0.25">
      <c r="B117" s="2" t="s">
        <v>26</v>
      </c>
      <c r="C117" s="2" t="s">
        <v>54</v>
      </c>
      <c r="D117" s="2" t="s">
        <v>95</v>
      </c>
      <c r="E117" s="2" t="s">
        <v>38</v>
      </c>
      <c r="F117" s="2" t="s">
        <v>94</v>
      </c>
      <c r="G117" s="2" t="s">
        <v>120</v>
      </c>
      <c r="H117" s="57" t="str">
        <f>Table1[[#This Row],[Tabela]]&amp;Table1[[#This Row],[Campo]]</f>
        <v>PROPERTYCURRENT_CONSTRUCTION_PCT</v>
      </c>
      <c r="I117" s="116" t="s">
        <v>614</v>
      </c>
      <c r="J117" s="43">
        <f>VLOOKUP(Table1[[#This Row],[Status]],Auxiliar!$B$16:$C$24,2,0)</f>
        <v>1</v>
      </c>
      <c r="K117" s="2" t="s">
        <v>1255</v>
      </c>
      <c r="L117" s="29" t="s">
        <v>1250</v>
      </c>
      <c r="M117" s="21" t="s">
        <v>1260</v>
      </c>
      <c r="N117" s="48">
        <v>45505</v>
      </c>
      <c r="O117" s="21">
        <f>INDEX(Auxiliar!$D$5:$F$13,MATCH(Table1[[#This Row],[Tipologia_Testes]],Auxiliar!$B$5:$B$13,0),MATCH(Table1[[#This Row],[Complexidade]],Auxiliar!$D$4:$F$4,0))</f>
        <v>0.1</v>
      </c>
      <c r="P117" s="2" t="s">
        <v>1261</v>
      </c>
      <c r="Q117" s="2" t="s">
        <v>1269</v>
      </c>
      <c r="R117" s="152">
        <v>45261</v>
      </c>
      <c r="S117" s="152"/>
      <c r="T117" s="152">
        <v>45491</v>
      </c>
      <c r="U117" s="152">
        <v>45495</v>
      </c>
      <c r="V117" s="152">
        <v>45495</v>
      </c>
      <c r="W117" s="2">
        <f>VLOOKUP(Table1[[#This Row],[Status]],Auxiliar!$B$16:$D$24,3,0)*Table1[[#This Row],[Estimação (horas)]]</f>
        <v>0.1</v>
      </c>
      <c r="X117" s="2"/>
    </row>
    <row r="118" spans="2:24" ht="17.7" customHeight="1" x14ac:dyDescent="0.25">
      <c r="B118" s="2" t="s">
        <v>26</v>
      </c>
      <c r="C118" s="2" t="s">
        <v>54</v>
      </c>
      <c r="D118" s="2" t="s">
        <v>95</v>
      </c>
      <c r="E118" s="2" t="s">
        <v>38</v>
      </c>
      <c r="F118" s="2" t="s">
        <v>94</v>
      </c>
      <c r="G118" s="2" t="s">
        <v>121</v>
      </c>
      <c r="H118" s="57" t="str">
        <f>Table1[[#This Row],[Tabela]]&amp;Table1[[#This Row],[Campo]]</f>
        <v>PROPERTYCONSTRUCTION_COMPLETED_PCT</v>
      </c>
      <c r="I118" s="3" t="s">
        <v>614</v>
      </c>
      <c r="J118" s="43">
        <f>VLOOKUP(Table1[[#This Row],[Status]],Auxiliar!$B$16:$C$24,2,0)</f>
        <v>1</v>
      </c>
      <c r="K118" s="2" t="s">
        <v>1252</v>
      </c>
      <c r="L118" s="29" t="s">
        <v>1250</v>
      </c>
      <c r="M118" s="21" t="s">
        <v>1260</v>
      </c>
      <c r="N118" s="48">
        <v>45505</v>
      </c>
      <c r="O118" s="21">
        <f>INDEX(Auxiliar!$D$5:$F$13,MATCH(Table1[[#This Row],[Tipologia_Testes]],Auxiliar!$B$5:$B$13,0),MATCH(Table1[[#This Row],[Complexidade]],Auxiliar!$D$4:$F$4,0))</f>
        <v>4</v>
      </c>
      <c r="P118" s="2" t="s">
        <v>1261</v>
      </c>
      <c r="Q118" s="2" t="s">
        <v>1269</v>
      </c>
      <c r="R118" s="152">
        <v>45261</v>
      </c>
      <c r="S118" s="152"/>
      <c r="T118" s="152">
        <v>45491</v>
      </c>
      <c r="U118" s="152">
        <v>45495</v>
      </c>
      <c r="V118" s="152">
        <v>45495</v>
      </c>
      <c r="W118" s="2">
        <f>VLOOKUP(Table1[[#This Row],[Status]],Auxiliar!$B$16:$D$24,3,0)*Table1[[#This Row],[Estimação (horas)]]</f>
        <v>4</v>
      </c>
      <c r="X118" s="2"/>
    </row>
    <row r="119" spans="2:24" ht="17.7" customHeight="1" x14ac:dyDescent="0.25">
      <c r="B119" s="2" t="s">
        <v>26</v>
      </c>
      <c r="C119" s="2" t="s">
        <v>54</v>
      </c>
      <c r="D119" s="2" t="s">
        <v>95</v>
      </c>
      <c r="E119" s="2" t="s">
        <v>38</v>
      </c>
      <c r="F119" s="2" t="s">
        <v>94</v>
      </c>
      <c r="G119" s="2" t="s">
        <v>121</v>
      </c>
      <c r="H119" s="57" t="str">
        <f>Table1[[#This Row],[Tabela]]&amp;Table1[[#This Row],[Campo]]</f>
        <v>PROPERTYCONSTRUCTION_COMPLETED_PCT</v>
      </c>
      <c r="I119" s="3" t="s">
        <v>614</v>
      </c>
      <c r="J119" s="43">
        <f>VLOOKUP(Table1[[#This Row],[Status]],Auxiliar!$B$16:$C$24,2,0)</f>
        <v>1</v>
      </c>
      <c r="K119" s="2" t="s">
        <v>1253</v>
      </c>
      <c r="L119" s="29" t="s">
        <v>1250</v>
      </c>
      <c r="M119" s="21" t="s">
        <v>1260</v>
      </c>
      <c r="N119" s="48">
        <v>45505</v>
      </c>
      <c r="O119" s="21">
        <f>INDEX(Auxiliar!$D$5:$F$13,MATCH(Table1[[#This Row],[Tipologia_Testes]],Auxiliar!$B$5:$B$13,0),MATCH(Table1[[#This Row],[Complexidade]],Auxiliar!$D$4:$F$4,0))</f>
        <v>4</v>
      </c>
      <c r="P119" s="2" t="s">
        <v>1261</v>
      </c>
      <c r="Q119" s="2" t="s">
        <v>1269</v>
      </c>
      <c r="R119" s="152">
        <v>45261</v>
      </c>
      <c r="S119" s="152"/>
      <c r="T119" s="152">
        <v>45491</v>
      </c>
      <c r="U119" s="152">
        <v>45495</v>
      </c>
      <c r="V119" s="152">
        <v>45495</v>
      </c>
      <c r="W119" s="2">
        <f>VLOOKUP(Table1[[#This Row],[Status]],Auxiliar!$B$16:$D$24,3,0)*Table1[[#This Row],[Estimação (horas)]]</f>
        <v>4</v>
      </c>
      <c r="X119" s="2"/>
    </row>
    <row r="120" spans="2:24" ht="17.7" customHeight="1" x14ac:dyDescent="0.25">
      <c r="B120" s="2" t="s">
        <v>26</v>
      </c>
      <c r="C120" s="2" t="s">
        <v>54</v>
      </c>
      <c r="D120" s="2" t="s">
        <v>95</v>
      </c>
      <c r="E120" s="2" t="s">
        <v>38</v>
      </c>
      <c r="F120" s="2" t="s">
        <v>94</v>
      </c>
      <c r="G120" s="2" t="s">
        <v>121</v>
      </c>
      <c r="H120" s="57" t="str">
        <f>Table1[[#This Row],[Tabela]]&amp;Table1[[#This Row],[Campo]]</f>
        <v>PROPERTYCONSTRUCTION_COMPLETED_PCT</v>
      </c>
      <c r="I120" s="3" t="s">
        <v>614</v>
      </c>
      <c r="J120" s="43">
        <f>VLOOKUP(Table1[[#This Row],[Status]],Auxiliar!$B$16:$C$24,2,0)</f>
        <v>1</v>
      </c>
      <c r="K120" s="2" t="s">
        <v>1255</v>
      </c>
      <c r="L120" s="29" t="s">
        <v>1250</v>
      </c>
      <c r="M120" s="21" t="s">
        <v>1260</v>
      </c>
      <c r="N120" s="48">
        <v>45505</v>
      </c>
      <c r="O120" s="21">
        <f>INDEX(Auxiliar!$D$5:$F$13,MATCH(Table1[[#This Row],[Tipologia_Testes]],Auxiliar!$B$5:$B$13,0),MATCH(Table1[[#This Row],[Complexidade]],Auxiliar!$D$4:$F$4,0))</f>
        <v>0.1</v>
      </c>
      <c r="P120" s="2" t="s">
        <v>1261</v>
      </c>
      <c r="Q120" s="2" t="s">
        <v>1269</v>
      </c>
      <c r="R120" s="152">
        <v>45261</v>
      </c>
      <c r="S120" s="152"/>
      <c r="T120" s="152">
        <v>45491</v>
      </c>
      <c r="U120" s="152">
        <v>45495</v>
      </c>
      <c r="V120" s="152">
        <v>45495</v>
      </c>
      <c r="W120" s="2">
        <f>VLOOKUP(Table1[[#This Row],[Status]],Auxiliar!$B$16:$D$24,3,0)*Table1[[#This Row],[Estimação (horas)]]</f>
        <v>0.1</v>
      </c>
      <c r="X120" s="2"/>
    </row>
    <row r="121" spans="2:24" ht="17.7" customHeight="1" x14ac:dyDescent="0.25">
      <c r="B121" s="2" t="s">
        <v>26</v>
      </c>
      <c r="C121" s="2" t="s">
        <v>54</v>
      </c>
      <c r="D121" s="2" t="s">
        <v>95</v>
      </c>
      <c r="E121" s="2" t="s">
        <v>38</v>
      </c>
      <c r="F121" s="2" t="s">
        <v>94</v>
      </c>
      <c r="G121" s="2" t="s">
        <v>73</v>
      </c>
      <c r="H121" s="57" t="str">
        <f>Table1[[#This Row],[Tabela]]&amp;Table1[[#This Row],[Campo]]</f>
        <v>PROPERTYDATA_DATE_PART</v>
      </c>
      <c r="I121" s="3" t="s">
        <v>614</v>
      </c>
      <c r="J121" s="55">
        <f>VLOOKUP(Table1[[#This Row],[Status]],Auxiliar!$B$16:$C$24,2,0)</f>
        <v>1</v>
      </c>
      <c r="K121" s="2" t="s">
        <v>1252</v>
      </c>
      <c r="L121" s="29" t="s">
        <v>1258</v>
      </c>
      <c r="M121" s="21" t="s">
        <v>1259</v>
      </c>
      <c r="N121" s="48">
        <v>45485</v>
      </c>
      <c r="O121" s="21">
        <f>INDEX(Auxiliar!$D$5:$F$13,MATCH(Table1[[#This Row],[Tipologia_Testes]],Auxiliar!$B$5:$B$13,0),MATCH(Table1[[#This Row],[Complexidade]],Auxiliar!$D$4:$F$4,0))</f>
        <v>2</v>
      </c>
      <c r="P121" s="2"/>
      <c r="Q121" s="2" t="s">
        <v>1269</v>
      </c>
      <c r="R121" s="152">
        <v>45261</v>
      </c>
      <c r="S121" s="152"/>
      <c r="T121" s="152"/>
      <c r="U121" s="152"/>
      <c r="V121" s="152"/>
      <c r="W121" s="2">
        <f>VLOOKUP(Table1[[#This Row],[Status]],Auxiliar!$B$16:$D$24,3,0)*Table1[[#This Row],[Estimação (horas)]]</f>
        <v>2</v>
      </c>
      <c r="X121" s="2"/>
    </row>
    <row r="122" spans="2:24" ht="17.7" customHeight="1" x14ac:dyDescent="0.25">
      <c r="B122" s="2" t="s">
        <v>26</v>
      </c>
      <c r="C122" s="2" t="s">
        <v>54</v>
      </c>
      <c r="D122" s="2" t="s">
        <v>95</v>
      </c>
      <c r="E122" s="2" t="s">
        <v>38</v>
      </c>
      <c r="F122" s="2" t="s">
        <v>94</v>
      </c>
      <c r="G122" s="2" t="s">
        <v>73</v>
      </c>
      <c r="H122" s="57" t="str">
        <f>Table1[[#This Row],[Tabela]]&amp;Table1[[#This Row],[Campo]]</f>
        <v>PROPERTYDATA_DATE_PART</v>
      </c>
      <c r="I122" s="3" t="s">
        <v>614</v>
      </c>
      <c r="J122" s="55">
        <f>VLOOKUP(Table1[[#This Row],[Status]],Auxiliar!$B$16:$C$24,2,0)</f>
        <v>1</v>
      </c>
      <c r="K122" s="2" t="s">
        <v>1253</v>
      </c>
      <c r="L122" s="29" t="s">
        <v>1258</v>
      </c>
      <c r="M122" s="21" t="s">
        <v>1259</v>
      </c>
      <c r="N122" s="48">
        <v>45485</v>
      </c>
      <c r="O122" s="21">
        <f>INDEX(Auxiliar!$D$5:$F$13,MATCH(Table1[[#This Row],[Tipologia_Testes]],Auxiliar!$B$5:$B$13,0),MATCH(Table1[[#This Row],[Complexidade]],Auxiliar!$D$4:$F$4,0))</f>
        <v>2</v>
      </c>
      <c r="P122" s="2"/>
      <c r="Q122" s="2" t="s">
        <v>1269</v>
      </c>
      <c r="R122" s="152">
        <v>45261</v>
      </c>
      <c r="S122" s="152"/>
      <c r="T122" s="152"/>
      <c r="U122" s="152"/>
      <c r="V122" s="152"/>
      <c r="W122" s="2">
        <f>VLOOKUP(Table1[[#This Row],[Status]],Auxiliar!$B$16:$D$24,3,0)*Table1[[#This Row],[Estimação (horas)]]</f>
        <v>2</v>
      </c>
      <c r="X122" s="2"/>
    </row>
    <row r="123" spans="2:24" ht="17.7" customHeight="1" x14ac:dyDescent="0.25">
      <c r="B123" s="2" t="s">
        <v>26</v>
      </c>
      <c r="C123" s="2" t="s">
        <v>54</v>
      </c>
      <c r="D123" s="2" t="s">
        <v>95</v>
      </c>
      <c r="E123" s="2" t="s">
        <v>38</v>
      </c>
      <c r="F123" s="2" t="s">
        <v>94</v>
      </c>
      <c r="G123" s="2" t="s">
        <v>73</v>
      </c>
      <c r="H123" s="57" t="str">
        <f>Table1[[#This Row],[Tabela]]&amp;Table1[[#This Row],[Campo]]</f>
        <v>PROPERTYDATA_DATE_PART</v>
      </c>
      <c r="I123" s="3" t="s">
        <v>614</v>
      </c>
      <c r="J123" s="55">
        <f>VLOOKUP(Table1[[#This Row],[Status]],Auxiliar!$B$16:$C$24,2,0)</f>
        <v>1</v>
      </c>
      <c r="K123" s="2" t="s">
        <v>1255</v>
      </c>
      <c r="L123" s="29" t="s">
        <v>1258</v>
      </c>
      <c r="M123" s="21" t="s">
        <v>1259</v>
      </c>
      <c r="N123" s="48">
        <v>45485</v>
      </c>
      <c r="O123" s="21">
        <f>INDEX(Auxiliar!$D$5:$F$13,MATCH(Table1[[#This Row],[Tipologia_Testes]],Auxiliar!$B$5:$B$13,0),MATCH(Table1[[#This Row],[Complexidade]],Auxiliar!$D$4:$F$4,0))</f>
        <v>0.1</v>
      </c>
      <c r="P123" s="2"/>
      <c r="Q123" s="2" t="s">
        <v>1269</v>
      </c>
      <c r="R123" s="152">
        <v>45261</v>
      </c>
      <c r="S123" s="152"/>
      <c r="T123" s="152"/>
      <c r="U123" s="152"/>
      <c r="V123" s="152"/>
      <c r="W123" s="2">
        <f>VLOOKUP(Table1[[#This Row],[Status]],Auxiliar!$B$16:$D$24,3,0)*Table1[[#This Row],[Estimação (horas)]]</f>
        <v>0.1</v>
      </c>
      <c r="X123" s="2"/>
    </row>
    <row r="124" spans="2:24" ht="17.7" customHeight="1" x14ac:dyDescent="0.25">
      <c r="B124" s="2" t="s">
        <v>26</v>
      </c>
      <c r="C124" s="2" t="s">
        <v>54</v>
      </c>
      <c r="D124" s="2" t="s">
        <v>95</v>
      </c>
      <c r="E124" s="2" t="s">
        <v>38</v>
      </c>
      <c r="F124" s="2" t="s">
        <v>94</v>
      </c>
      <c r="G124" s="2" t="s">
        <v>122</v>
      </c>
      <c r="H124" s="57" t="str">
        <f>Table1[[#This Row],[Tabela]]&amp;Table1[[#This Row],[Campo]]</f>
        <v>PROPERTYURBANIZATION</v>
      </c>
      <c r="I124" s="3" t="s">
        <v>614</v>
      </c>
      <c r="J124" s="43">
        <f>VLOOKUP(Table1[[#This Row],[Status]],Auxiliar!$B$16:$C$24,2,0)</f>
        <v>1</v>
      </c>
      <c r="K124" s="2" t="s">
        <v>1252</v>
      </c>
      <c r="L124" s="29" t="s">
        <v>1258</v>
      </c>
      <c r="M124" s="21" t="s">
        <v>1259</v>
      </c>
      <c r="N124" s="48">
        <v>45490</v>
      </c>
      <c r="O124" s="21">
        <f>INDEX(Auxiliar!$D$5:$F$13,MATCH(Table1[[#This Row],[Tipologia_Testes]],Auxiliar!$B$5:$B$13,0),MATCH(Table1[[#This Row],[Complexidade]],Auxiliar!$D$4:$F$4,0))</f>
        <v>2</v>
      </c>
      <c r="P124" s="2"/>
      <c r="Q124" s="2" t="s">
        <v>1269</v>
      </c>
      <c r="R124" s="152">
        <v>45261</v>
      </c>
      <c r="S124" s="152"/>
      <c r="T124" s="152"/>
      <c r="U124" s="152"/>
      <c r="V124" s="152"/>
      <c r="W124" s="2">
        <f>VLOOKUP(Table1[[#This Row],[Status]],Auxiliar!$B$16:$D$24,3,0)*Table1[[#This Row],[Estimação (horas)]]</f>
        <v>2</v>
      </c>
      <c r="X124" s="2"/>
    </row>
    <row r="125" spans="2:24" ht="17.7" customHeight="1" x14ac:dyDescent="0.25">
      <c r="B125" s="2" t="s">
        <v>26</v>
      </c>
      <c r="C125" s="2" t="s">
        <v>54</v>
      </c>
      <c r="D125" s="2" t="s">
        <v>95</v>
      </c>
      <c r="E125" s="2" t="s">
        <v>38</v>
      </c>
      <c r="F125" s="2" t="s">
        <v>94</v>
      </c>
      <c r="G125" s="2" t="s">
        <v>122</v>
      </c>
      <c r="H125" s="57" t="str">
        <f>Table1[[#This Row],[Tabela]]&amp;Table1[[#This Row],[Campo]]</f>
        <v>PROPERTYURBANIZATION</v>
      </c>
      <c r="I125" s="3" t="s">
        <v>614</v>
      </c>
      <c r="J125" s="43">
        <f>VLOOKUP(Table1[[#This Row],[Status]],Auxiliar!$B$16:$C$24,2,0)</f>
        <v>1</v>
      </c>
      <c r="K125" s="2" t="s">
        <v>1253</v>
      </c>
      <c r="L125" s="29" t="s">
        <v>1258</v>
      </c>
      <c r="M125" s="21" t="s">
        <v>1259</v>
      </c>
      <c r="N125" s="48">
        <v>45490</v>
      </c>
      <c r="O125" s="21">
        <f>INDEX(Auxiliar!$D$5:$F$13,MATCH(Table1[[#This Row],[Tipologia_Testes]],Auxiliar!$B$5:$B$13,0),MATCH(Table1[[#This Row],[Complexidade]],Auxiliar!$D$4:$F$4,0))</f>
        <v>2</v>
      </c>
      <c r="P125" s="2"/>
      <c r="Q125" s="2" t="s">
        <v>1269</v>
      </c>
      <c r="R125" s="152">
        <v>45261</v>
      </c>
      <c r="S125" s="152"/>
      <c r="T125" s="152"/>
      <c r="U125" s="152"/>
      <c r="V125" s="152"/>
      <c r="W125" s="2">
        <f>VLOOKUP(Table1[[#This Row],[Status]],Auxiliar!$B$16:$D$24,3,0)*Table1[[#This Row],[Estimação (horas)]]</f>
        <v>2</v>
      </c>
      <c r="X125" s="2"/>
    </row>
    <row r="126" spans="2:24" ht="17.7" customHeight="1" x14ac:dyDescent="0.25">
      <c r="B126" s="2" t="s">
        <v>26</v>
      </c>
      <c r="C126" s="2" t="s">
        <v>54</v>
      </c>
      <c r="D126" s="2" t="s">
        <v>95</v>
      </c>
      <c r="E126" s="2" t="s">
        <v>38</v>
      </c>
      <c r="F126" s="2" t="s">
        <v>94</v>
      </c>
      <c r="G126" s="2" t="s">
        <v>122</v>
      </c>
      <c r="H126" s="57" t="str">
        <f>Table1[[#This Row],[Tabela]]&amp;Table1[[#This Row],[Campo]]</f>
        <v>PROPERTYURBANIZATION</v>
      </c>
      <c r="I126" s="3" t="s">
        <v>614</v>
      </c>
      <c r="J126" s="43">
        <f>VLOOKUP(Table1[[#This Row],[Status]],Auxiliar!$B$16:$C$24,2,0)</f>
        <v>1</v>
      </c>
      <c r="K126" s="2" t="s">
        <v>1255</v>
      </c>
      <c r="L126" s="29" t="s">
        <v>1258</v>
      </c>
      <c r="M126" s="21" t="s">
        <v>1259</v>
      </c>
      <c r="N126" s="48">
        <v>45490</v>
      </c>
      <c r="O126" s="21">
        <f>INDEX(Auxiliar!$D$5:$F$13,MATCH(Table1[[#This Row],[Tipologia_Testes]],Auxiliar!$B$5:$B$13,0),MATCH(Table1[[#This Row],[Complexidade]],Auxiliar!$D$4:$F$4,0))</f>
        <v>0.1</v>
      </c>
      <c r="P126" s="2"/>
      <c r="Q126" s="2" t="s">
        <v>1269</v>
      </c>
      <c r="R126" s="152">
        <v>45261</v>
      </c>
      <c r="S126" s="152"/>
      <c r="T126" s="152"/>
      <c r="U126" s="152"/>
      <c r="V126" s="152"/>
      <c r="W126" s="2">
        <f>VLOOKUP(Table1[[#This Row],[Status]],Auxiliar!$B$16:$D$24,3,0)*Table1[[#This Row],[Estimação (horas)]]</f>
        <v>0.1</v>
      </c>
      <c r="X126" s="2"/>
    </row>
    <row r="127" spans="2:24" ht="17.7" customHeight="1" x14ac:dyDescent="0.25">
      <c r="B127" s="2" t="s">
        <v>26</v>
      </c>
      <c r="C127" s="2" t="s">
        <v>54</v>
      </c>
      <c r="D127" s="2"/>
      <c r="E127" s="2" t="s">
        <v>38</v>
      </c>
      <c r="F127" s="2" t="s">
        <v>94</v>
      </c>
      <c r="G127" s="2" t="s">
        <v>1943</v>
      </c>
      <c r="H127" s="57" t="str">
        <f>Table1[[#This Row],[Tabela]]&amp;Table1[[#This Row],[Campo]]</f>
        <v>PROPERTYCGARANT_BEM</v>
      </c>
      <c r="I127" s="2" t="s">
        <v>619</v>
      </c>
      <c r="J127" s="43">
        <f>VLOOKUP(Table1[[#This Row],[Status]],Auxiliar!$B$16:$C$24,2,0)</f>
        <v>7</v>
      </c>
      <c r="K127" s="2" t="s">
        <v>1252</v>
      </c>
      <c r="L127" s="29" t="s">
        <v>1258</v>
      </c>
      <c r="M127" s="21" t="s">
        <v>1259</v>
      </c>
      <c r="N127" s="48">
        <v>45603</v>
      </c>
      <c r="O127" s="21">
        <f>INDEX(Auxiliar!$D$5:$F$13,MATCH(Table1[[#This Row],[Tipologia_Testes]],Auxiliar!$B$5:$B$13,0),MATCH(Table1[[#This Row],[Complexidade]],Auxiliar!$D$4:$F$4,0))</f>
        <v>2</v>
      </c>
      <c r="P127" s="2"/>
      <c r="Q127" s="2"/>
      <c r="R127" s="221">
        <v>45603</v>
      </c>
      <c r="S127" s="152"/>
      <c r="T127" s="152"/>
      <c r="U127" s="152"/>
      <c r="V127" s="152"/>
      <c r="W127" s="2">
        <f>VLOOKUP(Table1[[#This Row],[Status]],Auxiliar!$B$16:$D$24,3,0)*Table1[[#This Row],[Estimação (horas)]]</f>
        <v>0.5</v>
      </c>
      <c r="X127" s="2"/>
    </row>
    <row r="128" spans="2:24" ht="17.7" customHeight="1" x14ac:dyDescent="0.25">
      <c r="B128" s="2" t="s">
        <v>26</v>
      </c>
      <c r="C128" s="2" t="s">
        <v>54</v>
      </c>
      <c r="D128" s="2"/>
      <c r="E128" s="2" t="s">
        <v>38</v>
      </c>
      <c r="F128" s="2" t="s">
        <v>94</v>
      </c>
      <c r="G128" s="2" t="s">
        <v>1943</v>
      </c>
      <c r="H128" s="57" t="str">
        <f>Table1[[#This Row],[Tabela]]&amp;Table1[[#This Row],[Campo]]</f>
        <v>PROPERTYCGARANT_BEM</v>
      </c>
      <c r="I128" s="2" t="s">
        <v>619</v>
      </c>
      <c r="J128" s="43">
        <f>VLOOKUP(Table1[[#This Row],[Status]],Auxiliar!$B$16:$C$24,2,0)</f>
        <v>7</v>
      </c>
      <c r="K128" s="2" t="s">
        <v>1253</v>
      </c>
      <c r="L128" s="29" t="s">
        <v>1258</v>
      </c>
      <c r="M128" s="21" t="s">
        <v>1259</v>
      </c>
      <c r="N128" s="48">
        <v>45603</v>
      </c>
      <c r="O128" s="21">
        <f>INDEX(Auxiliar!$D$5:$F$13,MATCH(Table1[[#This Row],[Tipologia_Testes]],Auxiliar!$B$5:$B$13,0),MATCH(Table1[[#This Row],[Complexidade]],Auxiliar!$D$4:$F$4,0))</f>
        <v>2</v>
      </c>
      <c r="P128" s="2"/>
      <c r="Q128" s="2"/>
      <c r="R128" s="221">
        <v>45603</v>
      </c>
      <c r="S128" s="152"/>
      <c r="T128" s="152"/>
      <c r="U128" s="152"/>
      <c r="V128" s="152"/>
      <c r="W128" s="2">
        <f>VLOOKUP(Table1[[#This Row],[Status]],Auxiliar!$B$16:$D$24,3,0)*Table1[[#This Row],[Estimação (horas)]]</f>
        <v>0.5</v>
      </c>
      <c r="X128" s="2"/>
    </row>
    <row r="129" spans="2:24" ht="17.7" customHeight="1" x14ac:dyDescent="0.25">
      <c r="B129" s="2" t="s">
        <v>26</v>
      </c>
      <c r="C129" s="2" t="s">
        <v>54</v>
      </c>
      <c r="D129" s="2"/>
      <c r="E129" s="2" t="s">
        <v>38</v>
      </c>
      <c r="F129" s="2" t="s">
        <v>94</v>
      </c>
      <c r="G129" s="2" t="s">
        <v>1943</v>
      </c>
      <c r="H129" s="57" t="str">
        <f>Table1[[#This Row],[Tabela]]&amp;Table1[[#This Row],[Campo]]</f>
        <v>PROPERTYCGARANT_BEM</v>
      </c>
      <c r="I129" s="2" t="s">
        <v>619</v>
      </c>
      <c r="J129" s="43">
        <f>VLOOKUP(Table1[[#This Row],[Status]],Auxiliar!$B$16:$C$24,2,0)</f>
        <v>7</v>
      </c>
      <c r="K129" s="2" t="s">
        <v>1255</v>
      </c>
      <c r="L129" s="29" t="s">
        <v>1258</v>
      </c>
      <c r="M129" s="21" t="s">
        <v>1259</v>
      </c>
      <c r="N129" s="48">
        <v>45603</v>
      </c>
      <c r="O129" s="21">
        <f>INDEX(Auxiliar!$D$5:$F$13,MATCH(Table1[[#This Row],[Tipologia_Testes]],Auxiliar!$B$5:$B$13,0),MATCH(Table1[[#This Row],[Complexidade]],Auxiliar!$D$4:$F$4,0))</f>
        <v>0.1</v>
      </c>
      <c r="P129" s="2"/>
      <c r="Q129" s="2"/>
      <c r="R129" s="221">
        <v>45603</v>
      </c>
      <c r="S129" s="152"/>
      <c r="T129" s="152"/>
      <c r="U129" s="152"/>
      <c r="V129" s="152"/>
      <c r="W129" s="2">
        <f>VLOOKUP(Table1[[#This Row],[Status]],Auxiliar!$B$16:$D$24,3,0)*Table1[[#This Row],[Estimação (horas)]]</f>
        <v>2.5000000000000001E-2</v>
      </c>
      <c r="X129" s="2"/>
    </row>
    <row r="130" spans="2:24" ht="69.599999999999994" customHeight="1" x14ac:dyDescent="0.25">
      <c r="B130" s="2" t="s">
        <v>26</v>
      </c>
      <c r="C130" s="2" t="s">
        <v>54</v>
      </c>
      <c r="D130" s="2" t="s">
        <v>124</v>
      </c>
      <c r="E130" s="2" t="s">
        <v>38</v>
      </c>
      <c r="F130" s="2" t="s">
        <v>123</v>
      </c>
      <c r="G130" s="2" t="s">
        <v>38</v>
      </c>
      <c r="H130" s="57" t="str">
        <f>Table1[[#This Row],[Tabela]]&amp;Table1[[#This Row],[Campo]]</f>
        <v>PROPERTY_ENERGY_CERTIFICATEn.a.</v>
      </c>
      <c r="I130" s="2" t="s">
        <v>614</v>
      </c>
      <c r="J130" s="43">
        <f>VLOOKUP(Table1[[#This Row],[Status]],Auxiliar!$B$16:$C$24,2,0)</f>
        <v>1</v>
      </c>
      <c r="K130" s="2" t="s">
        <v>1249</v>
      </c>
      <c r="L130" s="29" t="s">
        <v>1250</v>
      </c>
      <c r="M130" s="21" t="s">
        <v>1259</v>
      </c>
      <c r="N130" s="48">
        <v>45485</v>
      </c>
      <c r="O130" s="21">
        <f>INDEX(Auxiliar!$D$5:$F$13,MATCH(Table1[[#This Row],[Tipologia_Testes]],Auxiliar!$B$5:$B$13,0),MATCH(Table1[[#This Row],[Complexidade]],Auxiliar!$D$4:$F$4,0))</f>
        <v>8</v>
      </c>
      <c r="P130" s="23" t="s">
        <v>1274</v>
      </c>
      <c r="Q130" s="2"/>
      <c r="R130" s="152">
        <v>45261</v>
      </c>
      <c r="S130" s="152"/>
      <c r="T130" s="152"/>
      <c r="U130" s="152"/>
      <c r="V130" s="152"/>
      <c r="W130" s="2">
        <f>VLOOKUP(Table1[[#This Row],[Status]],Auxiliar!$B$16:$D$24,3,0)*Table1[[#This Row],[Estimação (horas)]]</f>
        <v>8</v>
      </c>
      <c r="X130" s="2"/>
    </row>
    <row r="131" spans="2:24" ht="17.7" customHeight="1" x14ac:dyDescent="0.25">
      <c r="B131" s="2" t="s">
        <v>26</v>
      </c>
      <c r="C131" s="2" t="s">
        <v>54</v>
      </c>
      <c r="D131" s="2" t="s">
        <v>124</v>
      </c>
      <c r="E131" s="2" t="s">
        <v>38</v>
      </c>
      <c r="F131" s="2" t="s">
        <v>123</v>
      </c>
      <c r="G131" s="2" t="s">
        <v>41</v>
      </c>
      <c r="H131" s="57" t="str">
        <f>Table1[[#This Row],[Tabela]]&amp;Table1[[#This Row],[Campo]]</f>
        <v>PROPERTY_ENERGY_CERTIFICATEPROPERTY_BANK_ID</v>
      </c>
      <c r="I131" s="2" t="s">
        <v>614</v>
      </c>
      <c r="J131" s="43">
        <f>VLOOKUP(Table1[[#This Row],[Status]],Auxiliar!$B$16:$C$24,2,0)</f>
        <v>1</v>
      </c>
      <c r="K131" s="2" t="s">
        <v>1252</v>
      </c>
      <c r="L131" s="29" t="s">
        <v>1250</v>
      </c>
      <c r="M131" s="21" t="s">
        <v>1259</v>
      </c>
      <c r="N131" s="48">
        <v>45485</v>
      </c>
      <c r="O131" s="21">
        <f>INDEX(Auxiliar!$D$5:$F$13,MATCH(Table1[[#This Row],[Tipologia_Testes]],Auxiliar!$B$5:$B$13,0),MATCH(Table1[[#This Row],[Complexidade]],Auxiliar!$D$4:$F$4,0))</f>
        <v>2</v>
      </c>
      <c r="P131" s="2" t="s">
        <v>1275</v>
      </c>
      <c r="Q131" s="2"/>
      <c r="R131" s="152">
        <v>45261</v>
      </c>
      <c r="S131" s="152"/>
      <c r="T131" s="152"/>
      <c r="U131" s="152"/>
      <c r="V131" s="152"/>
      <c r="W131" s="2">
        <f>VLOOKUP(Table1[[#This Row],[Status]],Auxiliar!$B$16:$D$24,3,0)*Table1[[#This Row],[Estimação (horas)]]</f>
        <v>2</v>
      </c>
      <c r="X131" s="2"/>
    </row>
    <row r="132" spans="2:24" ht="17.7" customHeight="1" x14ac:dyDescent="0.25">
      <c r="B132" s="2" t="s">
        <v>26</v>
      </c>
      <c r="C132" s="2" t="s">
        <v>54</v>
      </c>
      <c r="D132" s="2" t="s">
        <v>124</v>
      </c>
      <c r="E132" s="2" t="s">
        <v>38</v>
      </c>
      <c r="F132" s="2" t="s">
        <v>123</v>
      </c>
      <c r="G132" s="2" t="s">
        <v>41</v>
      </c>
      <c r="H132" s="57" t="str">
        <f>Table1[[#This Row],[Tabela]]&amp;Table1[[#This Row],[Campo]]</f>
        <v>PROPERTY_ENERGY_CERTIFICATEPROPERTY_BANK_ID</v>
      </c>
      <c r="I132" s="2" t="s">
        <v>614</v>
      </c>
      <c r="J132" s="43">
        <f>VLOOKUP(Table1[[#This Row],[Status]],Auxiliar!$B$16:$C$24,2,0)</f>
        <v>1</v>
      </c>
      <c r="K132" s="2" t="s">
        <v>1253</v>
      </c>
      <c r="L132" s="29" t="s">
        <v>1250</v>
      </c>
      <c r="M132" s="21" t="s">
        <v>1259</v>
      </c>
      <c r="N132" s="48">
        <v>45485</v>
      </c>
      <c r="O132" s="21">
        <f>INDEX(Auxiliar!$D$5:$F$13,MATCH(Table1[[#This Row],[Tipologia_Testes]],Auxiliar!$B$5:$B$13,0),MATCH(Table1[[#This Row],[Complexidade]],Auxiliar!$D$4:$F$4,0))</f>
        <v>2</v>
      </c>
      <c r="P132" s="2" t="s">
        <v>1275</v>
      </c>
      <c r="Q132" s="2"/>
      <c r="R132" s="152">
        <v>45261</v>
      </c>
      <c r="S132" s="152"/>
      <c r="T132" s="152"/>
      <c r="U132" s="152"/>
      <c r="V132" s="152"/>
      <c r="W132" s="2">
        <f>VLOOKUP(Table1[[#This Row],[Status]],Auxiliar!$B$16:$D$24,3,0)*Table1[[#This Row],[Estimação (horas)]]</f>
        <v>2</v>
      </c>
      <c r="X132" s="2"/>
    </row>
    <row r="133" spans="2:24" ht="17.7" customHeight="1" x14ac:dyDescent="0.25">
      <c r="B133" s="2" t="s">
        <v>26</v>
      </c>
      <c r="C133" s="2" t="s">
        <v>54</v>
      </c>
      <c r="D133" s="2" t="s">
        <v>124</v>
      </c>
      <c r="E133" s="2" t="s">
        <v>38</v>
      </c>
      <c r="F133" s="2" t="s">
        <v>123</v>
      </c>
      <c r="G133" s="2" t="s">
        <v>41</v>
      </c>
      <c r="H133" s="57" t="str">
        <f>Table1[[#This Row],[Tabela]]&amp;Table1[[#This Row],[Campo]]</f>
        <v>PROPERTY_ENERGY_CERTIFICATEPROPERTY_BANK_ID</v>
      </c>
      <c r="I133" s="2" t="s">
        <v>614</v>
      </c>
      <c r="J133" s="43">
        <f>VLOOKUP(Table1[[#This Row],[Status]],Auxiliar!$B$16:$C$24,2,0)</f>
        <v>1</v>
      </c>
      <c r="K133" s="2" t="s">
        <v>1255</v>
      </c>
      <c r="L133" s="29" t="s">
        <v>1250</v>
      </c>
      <c r="M133" s="21" t="s">
        <v>1259</v>
      </c>
      <c r="N133" s="48">
        <v>45485</v>
      </c>
      <c r="O133" s="21">
        <f>INDEX(Auxiliar!$D$5:$F$13,MATCH(Table1[[#This Row],[Tipologia_Testes]],Auxiliar!$B$5:$B$13,0),MATCH(Table1[[#This Row],[Complexidade]],Auxiliar!$D$4:$F$4,0))</f>
        <v>0.1</v>
      </c>
      <c r="P133" s="2" t="s">
        <v>1275</v>
      </c>
      <c r="Q133" s="2"/>
      <c r="R133" s="152">
        <v>45261</v>
      </c>
      <c r="S133" s="152"/>
      <c r="T133" s="152"/>
      <c r="U133" s="152"/>
      <c r="V133" s="152"/>
      <c r="W133" s="2">
        <f>VLOOKUP(Table1[[#This Row],[Status]],Auxiliar!$B$16:$D$24,3,0)*Table1[[#This Row],[Estimação (horas)]]</f>
        <v>0.1</v>
      </c>
      <c r="X133" s="2"/>
    </row>
    <row r="134" spans="2:24" ht="17.7" customHeight="1" x14ac:dyDescent="0.25">
      <c r="B134" s="2" t="s">
        <v>26</v>
      </c>
      <c r="C134" s="2" t="s">
        <v>54</v>
      </c>
      <c r="D134" s="2" t="s">
        <v>124</v>
      </c>
      <c r="E134" s="2" t="s">
        <v>38</v>
      </c>
      <c r="F134" s="2" t="s">
        <v>123</v>
      </c>
      <c r="G134" s="2" t="s">
        <v>43</v>
      </c>
      <c r="H134" s="57" t="str">
        <f>Table1[[#This Row],[Tabela]]&amp;Table1[[#This Row],[Campo]]</f>
        <v>PROPERTY_ENERGY_CERTIFICATEPROPERTY_BRANCH_CODE</v>
      </c>
      <c r="I134" s="2" t="s">
        <v>614</v>
      </c>
      <c r="J134" s="43">
        <f>VLOOKUP(Table1[[#This Row],[Status]],Auxiliar!$B$16:$C$24,2,0)</f>
        <v>1</v>
      </c>
      <c r="K134" s="2" t="s">
        <v>1252</v>
      </c>
      <c r="L134" s="29" t="s">
        <v>1250</v>
      </c>
      <c r="M134" s="21" t="s">
        <v>1259</v>
      </c>
      <c r="N134" s="48">
        <v>45485</v>
      </c>
      <c r="O134" s="21">
        <f>INDEX(Auxiliar!$D$5:$F$13,MATCH(Table1[[#This Row],[Tipologia_Testes]],Auxiliar!$B$5:$B$13,0),MATCH(Table1[[#This Row],[Complexidade]],Auxiliar!$D$4:$F$4,0))</f>
        <v>2</v>
      </c>
      <c r="P134" s="2" t="s">
        <v>1275</v>
      </c>
      <c r="Q134" s="2"/>
      <c r="R134" s="152">
        <v>45261</v>
      </c>
      <c r="S134" s="152"/>
      <c r="T134" s="152"/>
      <c r="U134" s="152"/>
      <c r="V134" s="152"/>
      <c r="W134" s="2">
        <f>VLOOKUP(Table1[[#This Row],[Status]],Auxiliar!$B$16:$D$24,3,0)*Table1[[#This Row],[Estimação (horas)]]</f>
        <v>2</v>
      </c>
      <c r="X134" s="2"/>
    </row>
    <row r="135" spans="2:24" ht="17.7" customHeight="1" x14ac:dyDescent="0.25">
      <c r="B135" s="2" t="s">
        <v>26</v>
      </c>
      <c r="C135" s="2" t="s">
        <v>54</v>
      </c>
      <c r="D135" s="2" t="s">
        <v>124</v>
      </c>
      <c r="E135" s="2" t="s">
        <v>38</v>
      </c>
      <c r="F135" s="2" t="s">
        <v>123</v>
      </c>
      <c r="G135" s="2" t="s">
        <v>43</v>
      </c>
      <c r="H135" s="57" t="str">
        <f>Table1[[#This Row],[Tabela]]&amp;Table1[[#This Row],[Campo]]</f>
        <v>PROPERTY_ENERGY_CERTIFICATEPROPERTY_BRANCH_CODE</v>
      </c>
      <c r="I135" s="2" t="s">
        <v>614</v>
      </c>
      <c r="J135" s="43">
        <f>VLOOKUP(Table1[[#This Row],[Status]],Auxiliar!$B$16:$C$24,2,0)</f>
        <v>1</v>
      </c>
      <c r="K135" s="2" t="s">
        <v>1253</v>
      </c>
      <c r="L135" s="29" t="s">
        <v>1250</v>
      </c>
      <c r="M135" s="21" t="s">
        <v>1259</v>
      </c>
      <c r="N135" s="48">
        <v>45485</v>
      </c>
      <c r="O135" s="21">
        <f>INDEX(Auxiliar!$D$5:$F$13,MATCH(Table1[[#This Row],[Tipologia_Testes]],Auxiliar!$B$5:$B$13,0),MATCH(Table1[[#This Row],[Complexidade]],Auxiliar!$D$4:$F$4,0))</f>
        <v>2</v>
      </c>
      <c r="P135" s="2" t="s">
        <v>1275</v>
      </c>
      <c r="Q135" s="2"/>
      <c r="R135" s="152">
        <v>45261</v>
      </c>
      <c r="S135" s="152"/>
      <c r="T135" s="152"/>
      <c r="U135" s="152"/>
      <c r="V135" s="152"/>
      <c r="W135" s="2">
        <f>VLOOKUP(Table1[[#This Row],[Status]],Auxiliar!$B$16:$D$24,3,0)*Table1[[#This Row],[Estimação (horas)]]</f>
        <v>2</v>
      </c>
      <c r="X135" s="2"/>
    </row>
    <row r="136" spans="2:24" ht="17.7" customHeight="1" x14ac:dyDescent="0.25">
      <c r="B136" s="2" t="s">
        <v>26</v>
      </c>
      <c r="C136" s="2" t="s">
        <v>54</v>
      </c>
      <c r="D136" s="2" t="s">
        <v>124</v>
      </c>
      <c r="E136" s="2" t="s">
        <v>38</v>
      </c>
      <c r="F136" s="2" t="s">
        <v>123</v>
      </c>
      <c r="G136" s="2" t="s">
        <v>43</v>
      </c>
      <c r="H136" s="57" t="str">
        <f>Table1[[#This Row],[Tabela]]&amp;Table1[[#This Row],[Campo]]</f>
        <v>PROPERTY_ENERGY_CERTIFICATEPROPERTY_BRANCH_CODE</v>
      </c>
      <c r="I136" s="2" t="s">
        <v>614</v>
      </c>
      <c r="J136" s="43">
        <f>VLOOKUP(Table1[[#This Row],[Status]],Auxiliar!$B$16:$C$24,2,0)</f>
        <v>1</v>
      </c>
      <c r="K136" s="2" t="s">
        <v>1255</v>
      </c>
      <c r="L136" s="29" t="s">
        <v>1250</v>
      </c>
      <c r="M136" s="21" t="s">
        <v>1259</v>
      </c>
      <c r="N136" s="48">
        <v>45485</v>
      </c>
      <c r="O136" s="21">
        <f>INDEX(Auxiliar!$D$5:$F$13,MATCH(Table1[[#This Row],[Tipologia_Testes]],Auxiliar!$B$5:$B$13,0),MATCH(Table1[[#This Row],[Complexidade]],Auxiliar!$D$4:$F$4,0))</f>
        <v>0.1</v>
      </c>
      <c r="P136" s="2" t="s">
        <v>1275</v>
      </c>
      <c r="Q136" s="2"/>
      <c r="R136" s="152">
        <v>45261</v>
      </c>
      <c r="S136" s="152"/>
      <c r="T136" s="152"/>
      <c r="U136" s="152"/>
      <c r="V136" s="152"/>
      <c r="W136" s="2">
        <f>VLOOKUP(Table1[[#This Row],[Status]],Auxiliar!$B$16:$D$24,3,0)*Table1[[#This Row],[Estimação (horas)]]</f>
        <v>0.1</v>
      </c>
      <c r="X136" s="2"/>
    </row>
    <row r="137" spans="2:24" ht="17.7" customHeight="1" x14ac:dyDescent="0.25">
      <c r="B137" s="2" t="s">
        <v>26</v>
      </c>
      <c r="C137" s="2" t="s">
        <v>54</v>
      </c>
      <c r="D137" s="2" t="s">
        <v>124</v>
      </c>
      <c r="E137" s="2" t="s">
        <v>38</v>
      </c>
      <c r="F137" s="2" t="s">
        <v>123</v>
      </c>
      <c r="G137" s="2" t="s">
        <v>44</v>
      </c>
      <c r="H137" s="57" t="str">
        <f>Table1[[#This Row],[Tabela]]&amp;Table1[[#This Row],[Campo]]</f>
        <v>PROPERTY_ENERGY_CERTIFICATEPROPERTY_CONTRACT_ID</v>
      </c>
      <c r="I137" s="2" t="s">
        <v>614</v>
      </c>
      <c r="J137" s="43">
        <f>VLOOKUP(Table1[[#This Row],[Status]],Auxiliar!$B$16:$C$24,2,0)</f>
        <v>1</v>
      </c>
      <c r="K137" s="2" t="s">
        <v>1252</v>
      </c>
      <c r="L137" s="29" t="s">
        <v>1250</v>
      </c>
      <c r="M137" s="21" t="s">
        <v>1259</v>
      </c>
      <c r="N137" s="48">
        <v>45485</v>
      </c>
      <c r="O137" s="21">
        <f>INDEX(Auxiliar!$D$5:$F$13,MATCH(Table1[[#This Row],[Tipologia_Testes]],Auxiliar!$B$5:$B$13,0),MATCH(Table1[[#This Row],[Complexidade]],Auxiliar!$D$4:$F$4,0))</f>
        <v>2</v>
      </c>
      <c r="P137" s="2" t="s">
        <v>1275</v>
      </c>
      <c r="Q137" s="2"/>
      <c r="R137" s="152">
        <v>45261</v>
      </c>
      <c r="S137" s="152"/>
      <c r="T137" s="152"/>
      <c r="U137" s="152"/>
      <c r="V137" s="152"/>
      <c r="W137" s="2">
        <f>VLOOKUP(Table1[[#This Row],[Status]],Auxiliar!$B$16:$D$24,3,0)*Table1[[#This Row],[Estimação (horas)]]</f>
        <v>2</v>
      </c>
      <c r="X137" s="2"/>
    </row>
    <row r="138" spans="2:24" ht="17.7" customHeight="1" x14ac:dyDescent="0.25">
      <c r="B138" s="2" t="s">
        <v>26</v>
      </c>
      <c r="C138" s="2" t="s">
        <v>54</v>
      </c>
      <c r="D138" s="2" t="s">
        <v>124</v>
      </c>
      <c r="E138" s="2" t="s">
        <v>38</v>
      </c>
      <c r="F138" s="2" t="s">
        <v>123</v>
      </c>
      <c r="G138" s="2" t="s">
        <v>44</v>
      </c>
      <c r="H138" s="57" t="str">
        <f>Table1[[#This Row],[Tabela]]&amp;Table1[[#This Row],[Campo]]</f>
        <v>PROPERTY_ENERGY_CERTIFICATEPROPERTY_CONTRACT_ID</v>
      </c>
      <c r="I138" s="2" t="s">
        <v>614</v>
      </c>
      <c r="J138" s="43">
        <f>VLOOKUP(Table1[[#This Row],[Status]],Auxiliar!$B$16:$C$24,2,0)</f>
        <v>1</v>
      </c>
      <c r="K138" s="2" t="s">
        <v>1253</v>
      </c>
      <c r="L138" s="29" t="s">
        <v>1250</v>
      </c>
      <c r="M138" s="21" t="s">
        <v>1259</v>
      </c>
      <c r="N138" s="48">
        <v>45485</v>
      </c>
      <c r="O138" s="21">
        <f>INDEX(Auxiliar!$D$5:$F$13,MATCH(Table1[[#This Row],[Tipologia_Testes]],Auxiliar!$B$5:$B$13,0),MATCH(Table1[[#This Row],[Complexidade]],Auxiliar!$D$4:$F$4,0))</f>
        <v>2</v>
      </c>
      <c r="P138" s="2" t="s">
        <v>1275</v>
      </c>
      <c r="Q138" s="2"/>
      <c r="R138" s="152">
        <v>45261</v>
      </c>
      <c r="S138" s="152"/>
      <c r="T138" s="152"/>
      <c r="U138" s="152"/>
      <c r="V138" s="152"/>
      <c r="W138" s="2">
        <f>VLOOKUP(Table1[[#This Row],[Status]],Auxiliar!$B$16:$D$24,3,0)*Table1[[#This Row],[Estimação (horas)]]</f>
        <v>2</v>
      </c>
      <c r="X138" s="2"/>
    </row>
    <row r="139" spans="2:24" ht="17.7" customHeight="1" x14ac:dyDescent="0.25">
      <c r="B139" s="2" t="s">
        <v>26</v>
      </c>
      <c r="C139" s="2" t="s">
        <v>54</v>
      </c>
      <c r="D139" s="2" t="s">
        <v>124</v>
      </c>
      <c r="E139" s="2" t="s">
        <v>38</v>
      </c>
      <c r="F139" s="2" t="s">
        <v>123</v>
      </c>
      <c r="G139" s="2" t="s">
        <v>44</v>
      </c>
      <c r="H139" s="57" t="str">
        <f>Table1[[#This Row],[Tabela]]&amp;Table1[[#This Row],[Campo]]</f>
        <v>PROPERTY_ENERGY_CERTIFICATEPROPERTY_CONTRACT_ID</v>
      </c>
      <c r="I139" s="2" t="s">
        <v>614</v>
      </c>
      <c r="J139" s="43">
        <f>VLOOKUP(Table1[[#This Row],[Status]],Auxiliar!$B$16:$C$24,2,0)</f>
        <v>1</v>
      </c>
      <c r="K139" s="2" t="s">
        <v>1255</v>
      </c>
      <c r="L139" s="29" t="s">
        <v>1250</v>
      </c>
      <c r="M139" s="21" t="s">
        <v>1259</v>
      </c>
      <c r="N139" s="48">
        <v>45485</v>
      </c>
      <c r="O139" s="21">
        <f>INDEX(Auxiliar!$D$5:$F$13,MATCH(Table1[[#This Row],[Tipologia_Testes]],Auxiliar!$B$5:$B$13,0),MATCH(Table1[[#This Row],[Complexidade]],Auxiliar!$D$4:$F$4,0))</f>
        <v>0.1</v>
      </c>
      <c r="P139" s="2" t="s">
        <v>1275</v>
      </c>
      <c r="Q139" s="2"/>
      <c r="R139" s="152">
        <v>45261</v>
      </c>
      <c r="S139" s="152"/>
      <c r="T139" s="152"/>
      <c r="U139" s="152"/>
      <c r="V139" s="152"/>
      <c r="W139" s="2">
        <f>VLOOKUP(Table1[[#This Row],[Status]],Auxiliar!$B$16:$D$24,3,0)*Table1[[#This Row],[Estimação (horas)]]</f>
        <v>0.1</v>
      </c>
      <c r="X139" s="2"/>
    </row>
    <row r="140" spans="2:24" ht="17.7" customHeight="1" x14ac:dyDescent="0.25">
      <c r="B140" s="2" t="s">
        <v>26</v>
      </c>
      <c r="C140" s="2" t="s">
        <v>54</v>
      </c>
      <c r="D140" s="2" t="s">
        <v>124</v>
      </c>
      <c r="E140" s="2" t="s">
        <v>38</v>
      </c>
      <c r="F140" s="2" t="s">
        <v>123</v>
      </c>
      <c r="G140" s="2" t="s">
        <v>45</v>
      </c>
      <c r="H140" s="57" t="str">
        <f>Table1[[#This Row],[Tabela]]&amp;Table1[[#This Row],[Campo]]</f>
        <v>PROPERTY_ENERGY_CERTIFICATEPROPERTY_REFERENCE_CODE</v>
      </c>
      <c r="I140" s="2" t="s">
        <v>614</v>
      </c>
      <c r="J140" s="43">
        <f>VLOOKUP(Table1[[#This Row],[Status]],Auxiliar!$B$16:$C$24,2,0)</f>
        <v>1</v>
      </c>
      <c r="K140" s="2" t="s">
        <v>1252</v>
      </c>
      <c r="L140" s="29" t="s">
        <v>1250</v>
      </c>
      <c r="M140" s="21" t="s">
        <v>1259</v>
      </c>
      <c r="N140" s="48">
        <v>45485</v>
      </c>
      <c r="O140" s="21">
        <f>INDEX(Auxiliar!$D$5:$F$13,MATCH(Table1[[#This Row],[Tipologia_Testes]],Auxiliar!$B$5:$B$13,0),MATCH(Table1[[#This Row],[Complexidade]],Auxiliar!$D$4:$F$4,0))</f>
        <v>2</v>
      </c>
      <c r="P140" s="2" t="s">
        <v>1275</v>
      </c>
      <c r="Q140" s="2"/>
      <c r="R140" s="152">
        <v>45261</v>
      </c>
      <c r="S140" s="152"/>
      <c r="T140" s="152"/>
      <c r="U140" s="152"/>
      <c r="V140" s="152"/>
      <c r="W140" s="2">
        <f>VLOOKUP(Table1[[#This Row],[Status]],Auxiliar!$B$16:$D$24,3,0)*Table1[[#This Row],[Estimação (horas)]]</f>
        <v>2</v>
      </c>
      <c r="X140" s="2"/>
    </row>
    <row r="141" spans="2:24" ht="17.7" customHeight="1" x14ac:dyDescent="0.25">
      <c r="B141" s="2" t="s">
        <v>26</v>
      </c>
      <c r="C141" s="2" t="s">
        <v>54</v>
      </c>
      <c r="D141" s="2" t="s">
        <v>124</v>
      </c>
      <c r="E141" s="2" t="s">
        <v>38</v>
      </c>
      <c r="F141" s="2" t="s">
        <v>123</v>
      </c>
      <c r="G141" s="2" t="s">
        <v>45</v>
      </c>
      <c r="H141" s="57" t="str">
        <f>Table1[[#This Row],[Tabela]]&amp;Table1[[#This Row],[Campo]]</f>
        <v>PROPERTY_ENERGY_CERTIFICATEPROPERTY_REFERENCE_CODE</v>
      </c>
      <c r="I141" s="2" t="s">
        <v>614</v>
      </c>
      <c r="J141" s="43">
        <f>VLOOKUP(Table1[[#This Row],[Status]],Auxiliar!$B$16:$C$24,2,0)</f>
        <v>1</v>
      </c>
      <c r="K141" s="2" t="s">
        <v>1253</v>
      </c>
      <c r="L141" s="29" t="s">
        <v>1250</v>
      </c>
      <c r="M141" s="21" t="s">
        <v>1259</v>
      </c>
      <c r="N141" s="48">
        <v>45485</v>
      </c>
      <c r="O141" s="21">
        <f>INDEX(Auxiliar!$D$5:$F$13,MATCH(Table1[[#This Row],[Tipologia_Testes]],Auxiliar!$B$5:$B$13,0),MATCH(Table1[[#This Row],[Complexidade]],Auxiliar!$D$4:$F$4,0))</f>
        <v>2</v>
      </c>
      <c r="P141" s="2" t="s">
        <v>1275</v>
      </c>
      <c r="Q141" s="2"/>
      <c r="R141" s="152">
        <v>45261</v>
      </c>
      <c r="S141" s="152"/>
      <c r="T141" s="152"/>
      <c r="U141" s="152"/>
      <c r="V141" s="152"/>
      <c r="W141" s="2">
        <f>VLOOKUP(Table1[[#This Row],[Status]],Auxiliar!$B$16:$D$24,3,0)*Table1[[#This Row],[Estimação (horas)]]</f>
        <v>2</v>
      </c>
      <c r="X141" s="2"/>
    </row>
    <row r="142" spans="2:24" ht="17.7" customHeight="1" x14ac:dyDescent="0.25">
      <c r="B142" s="2" t="s">
        <v>26</v>
      </c>
      <c r="C142" s="2" t="s">
        <v>54</v>
      </c>
      <c r="D142" s="2" t="s">
        <v>124</v>
      </c>
      <c r="E142" s="2" t="s">
        <v>38</v>
      </c>
      <c r="F142" s="2" t="s">
        <v>123</v>
      </c>
      <c r="G142" s="2" t="s">
        <v>45</v>
      </c>
      <c r="H142" s="57" t="str">
        <f>Table1[[#This Row],[Tabela]]&amp;Table1[[#This Row],[Campo]]</f>
        <v>PROPERTY_ENERGY_CERTIFICATEPROPERTY_REFERENCE_CODE</v>
      </c>
      <c r="I142" s="2" t="s">
        <v>614</v>
      </c>
      <c r="J142" s="43">
        <f>VLOOKUP(Table1[[#This Row],[Status]],Auxiliar!$B$16:$C$24,2,0)</f>
        <v>1</v>
      </c>
      <c r="K142" s="2" t="s">
        <v>1255</v>
      </c>
      <c r="L142" s="29" t="s">
        <v>1250</v>
      </c>
      <c r="M142" s="21" t="s">
        <v>1259</v>
      </c>
      <c r="N142" s="48">
        <v>45485</v>
      </c>
      <c r="O142" s="21">
        <f>INDEX(Auxiliar!$D$5:$F$13,MATCH(Table1[[#This Row],[Tipologia_Testes]],Auxiliar!$B$5:$B$13,0),MATCH(Table1[[#This Row],[Complexidade]],Auxiliar!$D$4:$F$4,0))</f>
        <v>0.1</v>
      </c>
      <c r="P142" s="2" t="s">
        <v>1275</v>
      </c>
      <c r="Q142" s="2"/>
      <c r="R142" s="152">
        <v>45261</v>
      </c>
      <c r="S142" s="152"/>
      <c r="T142" s="152"/>
      <c r="U142" s="152"/>
      <c r="V142" s="152"/>
      <c r="W142" s="2">
        <f>VLOOKUP(Table1[[#This Row],[Status]],Auxiliar!$B$16:$D$24,3,0)*Table1[[#This Row],[Estimação (horas)]]</f>
        <v>0.1</v>
      </c>
      <c r="X142" s="2"/>
    </row>
    <row r="143" spans="2:24" ht="17.7" customHeight="1" x14ac:dyDescent="0.25">
      <c r="B143" s="2" t="s">
        <v>26</v>
      </c>
      <c r="C143" s="2" t="s">
        <v>54</v>
      </c>
      <c r="D143" s="2" t="s">
        <v>124</v>
      </c>
      <c r="E143" s="2" t="s">
        <v>38</v>
      </c>
      <c r="F143" s="2" t="s">
        <v>123</v>
      </c>
      <c r="G143" s="2" t="s">
        <v>125</v>
      </c>
      <c r="H143" s="57" t="str">
        <f>Table1[[#This Row],[Tabela]]&amp;Table1[[#This Row],[Campo]]</f>
        <v>PROPERTY_ENERGY_CERTIFICATELAND_REGISTRY_OFFICE_CODE</v>
      </c>
      <c r="I143" s="2" t="s">
        <v>619</v>
      </c>
      <c r="J143" s="43">
        <f>VLOOKUP(Table1[[#This Row],[Status]],Auxiliar!$B$16:$C$24,2,0)</f>
        <v>7</v>
      </c>
      <c r="K143" s="2" t="s">
        <v>1252</v>
      </c>
      <c r="L143" s="29" t="s">
        <v>1250</v>
      </c>
      <c r="M143" s="21" t="s">
        <v>1259</v>
      </c>
      <c r="N143" s="48">
        <v>45618</v>
      </c>
      <c r="O143" s="21">
        <f>INDEX(Auxiliar!$D$5:$F$13,MATCH(Table1[[#This Row],[Tipologia_Testes]],Auxiliar!$B$5:$B$13,0),MATCH(Table1[[#This Row],[Complexidade]],Auxiliar!$D$4:$F$4,0))</f>
        <v>2</v>
      </c>
      <c r="P143" s="2"/>
      <c r="Q143" s="2"/>
      <c r="R143" s="152">
        <v>45616</v>
      </c>
      <c r="S143" s="152"/>
      <c r="T143" s="152"/>
      <c r="U143" s="152"/>
      <c r="V143" s="152"/>
      <c r="W143" s="2">
        <f>VLOOKUP(Table1[[#This Row],[Status]],Auxiliar!$B$16:$D$24,3,0)*Table1[[#This Row],[Estimação (horas)]]</f>
        <v>0.5</v>
      </c>
      <c r="X143" s="2"/>
    </row>
    <row r="144" spans="2:24" ht="17.7" customHeight="1" x14ac:dyDescent="0.25">
      <c r="B144" s="2" t="s">
        <v>26</v>
      </c>
      <c r="C144" s="2" t="s">
        <v>54</v>
      </c>
      <c r="D144" s="2" t="s">
        <v>124</v>
      </c>
      <c r="E144" s="2" t="s">
        <v>38</v>
      </c>
      <c r="F144" s="2" t="s">
        <v>123</v>
      </c>
      <c r="G144" s="2" t="s">
        <v>125</v>
      </c>
      <c r="H144" s="57" t="str">
        <f>Table1[[#This Row],[Tabela]]&amp;Table1[[#This Row],[Campo]]</f>
        <v>PROPERTY_ENERGY_CERTIFICATELAND_REGISTRY_OFFICE_CODE</v>
      </c>
      <c r="I144" s="2" t="s">
        <v>619</v>
      </c>
      <c r="J144" s="43">
        <f>VLOOKUP(Table1[[#This Row],[Status]],Auxiliar!$B$16:$C$24,2,0)</f>
        <v>7</v>
      </c>
      <c r="K144" s="2" t="s">
        <v>1253</v>
      </c>
      <c r="L144" s="29" t="s">
        <v>1250</v>
      </c>
      <c r="M144" s="21" t="s">
        <v>1259</v>
      </c>
      <c r="N144" s="48">
        <v>45618</v>
      </c>
      <c r="O144" s="21">
        <f>INDEX(Auxiliar!$D$5:$F$13,MATCH(Table1[[#This Row],[Tipologia_Testes]],Auxiliar!$B$5:$B$13,0),MATCH(Table1[[#This Row],[Complexidade]],Auxiliar!$D$4:$F$4,0))</f>
        <v>2</v>
      </c>
      <c r="P144" s="2"/>
      <c r="Q144" s="2"/>
      <c r="R144" s="152">
        <v>45616</v>
      </c>
      <c r="S144" s="152"/>
      <c r="T144" s="152"/>
      <c r="U144" s="152"/>
      <c r="V144" s="152"/>
      <c r="W144" s="2">
        <f>VLOOKUP(Table1[[#This Row],[Status]],Auxiliar!$B$16:$D$24,3,0)*Table1[[#This Row],[Estimação (horas)]]</f>
        <v>0.5</v>
      </c>
      <c r="X144" s="2"/>
    </row>
    <row r="145" spans="2:24" ht="17.7" customHeight="1" x14ac:dyDescent="0.25">
      <c r="B145" s="2" t="s">
        <v>26</v>
      </c>
      <c r="C145" s="2" t="s">
        <v>54</v>
      </c>
      <c r="D145" s="2" t="s">
        <v>124</v>
      </c>
      <c r="E145" s="2" t="s">
        <v>38</v>
      </c>
      <c r="F145" s="2" t="s">
        <v>123</v>
      </c>
      <c r="G145" s="2" t="s">
        <v>125</v>
      </c>
      <c r="H145" s="57" t="str">
        <f>Table1[[#This Row],[Tabela]]&amp;Table1[[#This Row],[Campo]]</f>
        <v>PROPERTY_ENERGY_CERTIFICATELAND_REGISTRY_OFFICE_CODE</v>
      </c>
      <c r="I145" s="2" t="s">
        <v>619</v>
      </c>
      <c r="J145" s="43">
        <f>VLOOKUP(Table1[[#This Row],[Status]],Auxiliar!$B$16:$C$24,2,0)</f>
        <v>7</v>
      </c>
      <c r="K145" s="2" t="s">
        <v>1255</v>
      </c>
      <c r="L145" s="29" t="s">
        <v>1250</v>
      </c>
      <c r="M145" s="21" t="s">
        <v>1259</v>
      </c>
      <c r="N145" s="48">
        <v>45618</v>
      </c>
      <c r="O145" s="21">
        <f>INDEX(Auxiliar!$D$5:$F$13,MATCH(Table1[[#This Row],[Tipologia_Testes]],Auxiliar!$B$5:$B$13,0),MATCH(Table1[[#This Row],[Complexidade]],Auxiliar!$D$4:$F$4,0))</f>
        <v>0.1</v>
      </c>
      <c r="P145" s="2"/>
      <c r="Q145" s="2"/>
      <c r="R145" s="152">
        <v>45616</v>
      </c>
      <c r="S145" s="152"/>
      <c r="T145" s="152"/>
      <c r="U145" s="152"/>
      <c r="V145" s="152"/>
      <c r="W145" s="2">
        <f>VLOOKUP(Table1[[#This Row],[Status]],Auxiliar!$B$16:$D$24,3,0)*Table1[[#This Row],[Estimação (horas)]]</f>
        <v>2.5000000000000001E-2</v>
      </c>
      <c r="X145" s="2"/>
    </row>
    <row r="146" spans="2:24" ht="17.7" customHeight="1" x14ac:dyDescent="0.25">
      <c r="B146" s="2" t="s">
        <v>26</v>
      </c>
      <c r="C146" s="2" t="s">
        <v>54</v>
      </c>
      <c r="D146" s="2" t="s">
        <v>124</v>
      </c>
      <c r="E146" s="2" t="s">
        <v>38</v>
      </c>
      <c r="F146" s="2" t="s">
        <v>123</v>
      </c>
      <c r="G146" s="2" t="s">
        <v>126</v>
      </c>
      <c r="H146" s="57" t="str">
        <f>Table1[[#This Row],[Tabela]]&amp;Table1[[#This Row],[Campo]]</f>
        <v>PROPERTY_ENERGY_CERTIFICATEPROPERTY_IDENTIFICATION_CODE</v>
      </c>
      <c r="I146" s="2" t="s">
        <v>619</v>
      </c>
      <c r="J146" s="43">
        <f>VLOOKUP(Table1[[#This Row],[Status]],Auxiliar!$B$16:$C$24,2,0)</f>
        <v>7</v>
      </c>
      <c r="K146" s="2" t="s">
        <v>1252</v>
      </c>
      <c r="L146" s="29" t="s">
        <v>1250</v>
      </c>
      <c r="M146" s="21" t="s">
        <v>1259</v>
      </c>
      <c r="N146" s="48">
        <v>45618</v>
      </c>
      <c r="O146" s="21">
        <f>INDEX(Auxiliar!$D$5:$F$13,MATCH(Table1[[#This Row],[Tipologia_Testes]],Auxiliar!$B$5:$B$13,0),MATCH(Table1[[#This Row],[Complexidade]],Auxiliar!$D$4:$F$4,0))</f>
        <v>2</v>
      </c>
      <c r="P146" s="2"/>
      <c r="Q146" s="2"/>
      <c r="R146" s="152">
        <v>45616</v>
      </c>
      <c r="S146" s="152"/>
      <c r="T146" s="152"/>
      <c r="U146" s="152"/>
      <c r="V146" s="152"/>
      <c r="W146" s="2">
        <f>VLOOKUP(Table1[[#This Row],[Status]],Auxiliar!$B$16:$D$24,3,0)*Table1[[#This Row],[Estimação (horas)]]</f>
        <v>0.5</v>
      </c>
      <c r="X146" s="2"/>
    </row>
    <row r="147" spans="2:24" ht="17.7" customHeight="1" x14ac:dyDescent="0.25">
      <c r="B147" s="2" t="s">
        <v>26</v>
      </c>
      <c r="C147" s="2" t="s">
        <v>54</v>
      </c>
      <c r="D147" s="2" t="s">
        <v>124</v>
      </c>
      <c r="E147" s="2" t="s">
        <v>38</v>
      </c>
      <c r="F147" s="2" t="s">
        <v>123</v>
      </c>
      <c r="G147" s="2" t="s">
        <v>126</v>
      </c>
      <c r="H147" s="57" t="str">
        <f>Table1[[#This Row],[Tabela]]&amp;Table1[[#This Row],[Campo]]</f>
        <v>PROPERTY_ENERGY_CERTIFICATEPROPERTY_IDENTIFICATION_CODE</v>
      </c>
      <c r="I147" s="2" t="s">
        <v>619</v>
      </c>
      <c r="J147" s="43">
        <f>VLOOKUP(Table1[[#This Row],[Status]],Auxiliar!$B$16:$C$24,2,0)</f>
        <v>7</v>
      </c>
      <c r="K147" s="2" t="s">
        <v>1253</v>
      </c>
      <c r="L147" s="29" t="s">
        <v>1250</v>
      </c>
      <c r="M147" s="21" t="s">
        <v>1259</v>
      </c>
      <c r="N147" s="48">
        <v>45618</v>
      </c>
      <c r="O147" s="21">
        <f>INDEX(Auxiliar!$D$5:$F$13,MATCH(Table1[[#This Row],[Tipologia_Testes]],Auxiliar!$B$5:$B$13,0),MATCH(Table1[[#This Row],[Complexidade]],Auxiliar!$D$4:$F$4,0))</f>
        <v>2</v>
      </c>
      <c r="P147" s="2"/>
      <c r="Q147" s="2"/>
      <c r="R147" s="152">
        <v>45616</v>
      </c>
      <c r="S147" s="152"/>
      <c r="T147" s="152"/>
      <c r="U147" s="152"/>
      <c r="V147" s="152"/>
      <c r="W147" s="2">
        <f>VLOOKUP(Table1[[#This Row],[Status]],Auxiliar!$B$16:$D$24,3,0)*Table1[[#This Row],[Estimação (horas)]]</f>
        <v>0.5</v>
      </c>
      <c r="X147" s="2"/>
    </row>
    <row r="148" spans="2:24" ht="17.7" customHeight="1" x14ac:dyDescent="0.25">
      <c r="B148" s="2" t="s">
        <v>26</v>
      </c>
      <c r="C148" s="2" t="s">
        <v>54</v>
      </c>
      <c r="D148" s="2" t="s">
        <v>124</v>
      </c>
      <c r="E148" s="2" t="s">
        <v>38</v>
      </c>
      <c r="F148" s="2" t="s">
        <v>123</v>
      </c>
      <c r="G148" s="2" t="s">
        <v>126</v>
      </c>
      <c r="H148" s="57" t="str">
        <f>Table1[[#This Row],[Tabela]]&amp;Table1[[#This Row],[Campo]]</f>
        <v>PROPERTY_ENERGY_CERTIFICATEPROPERTY_IDENTIFICATION_CODE</v>
      </c>
      <c r="I148" s="2" t="s">
        <v>619</v>
      </c>
      <c r="J148" s="43">
        <f>VLOOKUP(Table1[[#This Row],[Status]],Auxiliar!$B$16:$C$24,2,0)</f>
        <v>7</v>
      </c>
      <c r="K148" s="2" t="s">
        <v>1255</v>
      </c>
      <c r="L148" s="29" t="s">
        <v>1250</v>
      </c>
      <c r="M148" s="21" t="s">
        <v>1259</v>
      </c>
      <c r="N148" s="48">
        <v>45618</v>
      </c>
      <c r="O148" s="21">
        <f>INDEX(Auxiliar!$D$5:$F$13,MATCH(Table1[[#This Row],[Tipologia_Testes]],Auxiliar!$B$5:$B$13,0),MATCH(Table1[[#This Row],[Complexidade]],Auxiliar!$D$4:$F$4,0))</f>
        <v>0.1</v>
      </c>
      <c r="P148" s="2"/>
      <c r="Q148" s="2"/>
      <c r="R148" s="152">
        <v>45616</v>
      </c>
      <c r="S148" s="152"/>
      <c r="T148" s="152"/>
      <c r="U148" s="152"/>
      <c r="V148" s="152"/>
      <c r="W148" s="2">
        <f>VLOOKUP(Table1[[#This Row],[Status]],Auxiliar!$B$16:$D$24,3,0)*Table1[[#This Row],[Estimação (horas)]]</f>
        <v>2.5000000000000001E-2</v>
      </c>
      <c r="X148" s="2"/>
    </row>
    <row r="149" spans="2:24" ht="17.7" customHeight="1" x14ac:dyDescent="0.25">
      <c r="B149" s="2" t="s">
        <v>26</v>
      </c>
      <c r="C149" s="2" t="s">
        <v>54</v>
      </c>
      <c r="D149" s="2" t="s">
        <v>124</v>
      </c>
      <c r="E149" s="2" t="s">
        <v>38</v>
      </c>
      <c r="F149" s="2" t="s">
        <v>123</v>
      </c>
      <c r="G149" s="2" t="s">
        <v>127</v>
      </c>
      <c r="H149" s="57" t="str">
        <f>Table1[[#This Row],[Tabela]]&amp;Table1[[#This Row],[Campo]]</f>
        <v>PROPERTY_ENERGY_CERTIFICATEENERGY_CERTIFICATION_SYSTEM_CODE</v>
      </c>
      <c r="I149" s="2" t="s">
        <v>619</v>
      </c>
      <c r="J149" s="43">
        <f>VLOOKUP(Table1[[#This Row],[Status]],Auxiliar!$B$16:$C$24,2,0)</f>
        <v>7</v>
      </c>
      <c r="K149" s="2" t="s">
        <v>1252</v>
      </c>
      <c r="L149" s="29" t="s">
        <v>1250</v>
      </c>
      <c r="M149" s="21" t="s">
        <v>1259</v>
      </c>
      <c r="N149" s="48">
        <v>45618</v>
      </c>
      <c r="O149" s="21">
        <f>INDEX(Auxiliar!$D$5:$F$13,MATCH(Table1[[#This Row],[Tipologia_Testes]],Auxiliar!$B$5:$B$13,0),MATCH(Table1[[#This Row],[Complexidade]],Auxiliar!$D$4:$F$4,0))</f>
        <v>2</v>
      </c>
      <c r="P149" s="2"/>
      <c r="Q149" s="2"/>
      <c r="R149" s="152">
        <v>45616</v>
      </c>
      <c r="S149" s="152"/>
      <c r="T149" s="152"/>
      <c r="U149" s="152"/>
      <c r="V149" s="152"/>
      <c r="W149" s="2">
        <f>VLOOKUP(Table1[[#This Row],[Status]],Auxiliar!$B$16:$D$24,3,0)*Table1[[#This Row],[Estimação (horas)]]</f>
        <v>0.5</v>
      </c>
      <c r="X149" s="2"/>
    </row>
    <row r="150" spans="2:24" ht="17.7" customHeight="1" x14ac:dyDescent="0.25">
      <c r="B150" s="2" t="s">
        <v>26</v>
      </c>
      <c r="C150" s="2" t="s">
        <v>54</v>
      </c>
      <c r="D150" s="2" t="s">
        <v>124</v>
      </c>
      <c r="E150" s="2" t="s">
        <v>38</v>
      </c>
      <c r="F150" s="2" t="s">
        <v>123</v>
      </c>
      <c r="G150" s="2" t="s">
        <v>127</v>
      </c>
      <c r="H150" s="57" t="str">
        <f>Table1[[#This Row],[Tabela]]&amp;Table1[[#This Row],[Campo]]</f>
        <v>PROPERTY_ENERGY_CERTIFICATEENERGY_CERTIFICATION_SYSTEM_CODE</v>
      </c>
      <c r="I150" s="2" t="s">
        <v>619</v>
      </c>
      <c r="J150" s="43">
        <f>VLOOKUP(Table1[[#This Row],[Status]],Auxiliar!$B$16:$C$24,2,0)</f>
        <v>7</v>
      </c>
      <c r="K150" s="2" t="s">
        <v>1253</v>
      </c>
      <c r="L150" s="29" t="s">
        <v>1250</v>
      </c>
      <c r="M150" s="21" t="s">
        <v>1259</v>
      </c>
      <c r="N150" s="48">
        <v>45618</v>
      </c>
      <c r="O150" s="21">
        <f>INDEX(Auxiliar!$D$5:$F$13,MATCH(Table1[[#This Row],[Tipologia_Testes]],Auxiliar!$B$5:$B$13,0),MATCH(Table1[[#This Row],[Complexidade]],Auxiliar!$D$4:$F$4,0))</f>
        <v>2</v>
      </c>
      <c r="P150" s="2"/>
      <c r="Q150" s="2"/>
      <c r="R150" s="152">
        <v>45616</v>
      </c>
      <c r="S150" s="152"/>
      <c r="T150" s="152"/>
      <c r="U150" s="152"/>
      <c r="V150" s="152"/>
      <c r="W150" s="2">
        <f>VLOOKUP(Table1[[#This Row],[Status]],Auxiliar!$B$16:$D$24,3,0)*Table1[[#This Row],[Estimação (horas)]]</f>
        <v>0.5</v>
      </c>
      <c r="X150" s="2"/>
    </row>
    <row r="151" spans="2:24" ht="17.7" customHeight="1" x14ac:dyDescent="0.25">
      <c r="B151" s="2" t="s">
        <v>26</v>
      </c>
      <c r="C151" s="2" t="s">
        <v>54</v>
      </c>
      <c r="D151" s="2" t="s">
        <v>124</v>
      </c>
      <c r="E151" s="2" t="s">
        <v>38</v>
      </c>
      <c r="F151" s="2" t="s">
        <v>123</v>
      </c>
      <c r="G151" s="2" t="s">
        <v>127</v>
      </c>
      <c r="H151" s="57" t="str">
        <f>Table1[[#This Row],[Tabela]]&amp;Table1[[#This Row],[Campo]]</f>
        <v>PROPERTY_ENERGY_CERTIFICATEENERGY_CERTIFICATION_SYSTEM_CODE</v>
      </c>
      <c r="I151" s="2" t="s">
        <v>619</v>
      </c>
      <c r="J151" s="43">
        <f>VLOOKUP(Table1[[#This Row],[Status]],Auxiliar!$B$16:$C$24,2,0)</f>
        <v>7</v>
      </c>
      <c r="K151" s="2" t="s">
        <v>1255</v>
      </c>
      <c r="L151" s="29" t="s">
        <v>1250</v>
      </c>
      <c r="M151" s="21" t="s">
        <v>1259</v>
      </c>
      <c r="N151" s="48">
        <v>45618</v>
      </c>
      <c r="O151" s="21">
        <f>INDEX(Auxiliar!$D$5:$F$13,MATCH(Table1[[#This Row],[Tipologia_Testes]],Auxiliar!$B$5:$B$13,0),MATCH(Table1[[#This Row],[Complexidade]],Auxiliar!$D$4:$F$4,0))</f>
        <v>0.1</v>
      </c>
      <c r="P151" s="2"/>
      <c r="Q151" s="2"/>
      <c r="R151" s="152">
        <v>45616</v>
      </c>
      <c r="S151" s="152"/>
      <c r="T151" s="152"/>
      <c r="U151" s="152"/>
      <c r="V151" s="152"/>
      <c r="W151" s="2">
        <f>VLOOKUP(Table1[[#This Row],[Status]],Auxiliar!$B$16:$D$24,3,0)*Table1[[#This Row],[Estimação (horas)]]</f>
        <v>2.5000000000000001E-2</v>
      </c>
      <c r="X151" s="2"/>
    </row>
    <row r="152" spans="2:24" ht="17.7" customHeight="1" x14ac:dyDescent="0.25">
      <c r="B152" s="2" t="s">
        <v>26</v>
      </c>
      <c r="C152" s="2" t="s">
        <v>54</v>
      </c>
      <c r="D152" s="2" t="s">
        <v>124</v>
      </c>
      <c r="E152" s="2" t="s">
        <v>38</v>
      </c>
      <c r="F152" s="2" t="s">
        <v>123</v>
      </c>
      <c r="G152" s="2" t="s">
        <v>128</v>
      </c>
      <c r="H152" s="57" t="str">
        <f>Table1[[#This Row],[Tabela]]&amp;Table1[[#This Row],[Campo]]</f>
        <v>PROPERTY_ENERGY_CERTIFICATEEPC_ISSUING_DATE</v>
      </c>
      <c r="I152" s="2" t="s">
        <v>619</v>
      </c>
      <c r="J152" s="43">
        <f>VLOOKUP(Table1[[#This Row],[Status]],Auxiliar!$B$16:$C$24,2,0)</f>
        <v>7</v>
      </c>
      <c r="K152" s="2" t="s">
        <v>1252</v>
      </c>
      <c r="L152" s="29" t="s">
        <v>1250</v>
      </c>
      <c r="M152" s="21" t="s">
        <v>1259</v>
      </c>
      <c r="N152" s="48">
        <v>45618</v>
      </c>
      <c r="O152" s="21">
        <f>INDEX(Auxiliar!$D$5:$F$13,MATCH(Table1[[#This Row],[Tipologia_Testes]],Auxiliar!$B$5:$B$13,0),MATCH(Table1[[#This Row],[Complexidade]],Auxiliar!$D$4:$F$4,0))</f>
        <v>2</v>
      </c>
      <c r="P152" s="2"/>
      <c r="Q152" s="2"/>
      <c r="R152" s="152">
        <v>45616</v>
      </c>
      <c r="S152" s="152"/>
      <c r="T152" s="152"/>
      <c r="U152" s="152"/>
      <c r="V152" s="152"/>
      <c r="W152" s="2">
        <f>VLOOKUP(Table1[[#This Row],[Status]],Auxiliar!$B$16:$D$24,3,0)*Table1[[#This Row],[Estimação (horas)]]</f>
        <v>0.5</v>
      </c>
      <c r="X152" s="2"/>
    </row>
    <row r="153" spans="2:24" ht="17.7" customHeight="1" x14ac:dyDescent="0.25">
      <c r="B153" s="2" t="s">
        <v>26</v>
      </c>
      <c r="C153" s="2" t="s">
        <v>54</v>
      </c>
      <c r="D153" s="2" t="s">
        <v>124</v>
      </c>
      <c r="E153" s="2" t="s">
        <v>38</v>
      </c>
      <c r="F153" s="2" t="s">
        <v>123</v>
      </c>
      <c r="G153" s="2" t="s">
        <v>128</v>
      </c>
      <c r="H153" s="57" t="str">
        <f>Table1[[#This Row],[Tabela]]&amp;Table1[[#This Row],[Campo]]</f>
        <v>PROPERTY_ENERGY_CERTIFICATEEPC_ISSUING_DATE</v>
      </c>
      <c r="I153" s="2" t="s">
        <v>619</v>
      </c>
      <c r="J153" s="43">
        <f>VLOOKUP(Table1[[#This Row],[Status]],Auxiliar!$B$16:$C$24,2,0)</f>
        <v>7</v>
      </c>
      <c r="K153" s="2" t="s">
        <v>1253</v>
      </c>
      <c r="L153" s="29" t="s">
        <v>1250</v>
      </c>
      <c r="M153" s="21" t="s">
        <v>1259</v>
      </c>
      <c r="N153" s="48">
        <v>45618</v>
      </c>
      <c r="O153" s="21">
        <f>INDEX(Auxiliar!$D$5:$F$13,MATCH(Table1[[#This Row],[Tipologia_Testes]],Auxiliar!$B$5:$B$13,0),MATCH(Table1[[#This Row],[Complexidade]],Auxiliar!$D$4:$F$4,0))</f>
        <v>2</v>
      </c>
      <c r="P153" s="2"/>
      <c r="Q153" s="2"/>
      <c r="R153" s="152">
        <v>45616</v>
      </c>
      <c r="S153" s="152"/>
      <c r="T153" s="152"/>
      <c r="U153" s="152"/>
      <c r="V153" s="152"/>
      <c r="W153" s="2">
        <f>VLOOKUP(Table1[[#This Row],[Status]],Auxiliar!$B$16:$D$24,3,0)*Table1[[#This Row],[Estimação (horas)]]</f>
        <v>0.5</v>
      </c>
      <c r="X153" s="2"/>
    </row>
    <row r="154" spans="2:24" ht="17.7" customHeight="1" x14ac:dyDescent="0.25">
      <c r="B154" s="2" t="s">
        <v>26</v>
      </c>
      <c r="C154" s="2" t="s">
        <v>54</v>
      </c>
      <c r="D154" s="2" t="s">
        <v>124</v>
      </c>
      <c r="E154" s="2" t="s">
        <v>38</v>
      </c>
      <c r="F154" s="2" t="s">
        <v>123</v>
      </c>
      <c r="G154" s="2" t="s">
        <v>128</v>
      </c>
      <c r="H154" s="57" t="str">
        <f>Table1[[#This Row],[Tabela]]&amp;Table1[[#This Row],[Campo]]</f>
        <v>PROPERTY_ENERGY_CERTIFICATEEPC_ISSUING_DATE</v>
      </c>
      <c r="I154" s="2" t="s">
        <v>619</v>
      </c>
      <c r="J154" s="43">
        <f>VLOOKUP(Table1[[#This Row],[Status]],Auxiliar!$B$16:$C$24,2,0)</f>
        <v>7</v>
      </c>
      <c r="K154" s="2" t="s">
        <v>1255</v>
      </c>
      <c r="L154" s="29" t="s">
        <v>1250</v>
      </c>
      <c r="M154" s="21" t="s">
        <v>1259</v>
      </c>
      <c r="N154" s="48">
        <v>45618</v>
      </c>
      <c r="O154" s="21">
        <f>INDEX(Auxiliar!$D$5:$F$13,MATCH(Table1[[#This Row],[Tipologia_Testes]],Auxiliar!$B$5:$B$13,0),MATCH(Table1[[#This Row],[Complexidade]],Auxiliar!$D$4:$F$4,0))</f>
        <v>0.1</v>
      </c>
      <c r="P154" s="2"/>
      <c r="Q154" s="2"/>
      <c r="R154" s="152">
        <v>45616</v>
      </c>
      <c r="S154" s="152"/>
      <c r="T154" s="152"/>
      <c r="U154" s="152"/>
      <c r="V154" s="152"/>
      <c r="W154" s="2">
        <f>VLOOKUP(Table1[[#This Row],[Status]],Auxiliar!$B$16:$D$24,3,0)*Table1[[#This Row],[Estimação (horas)]]</f>
        <v>2.5000000000000001E-2</v>
      </c>
      <c r="X154" s="2"/>
    </row>
    <row r="155" spans="2:24" ht="17.7" customHeight="1" x14ac:dyDescent="0.25">
      <c r="B155" s="2" t="s">
        <v>26</v>
      </c>
      <c r="C155" s="2" t="s">
        <v>54</v>
      </c>
      <c r="D155" s="2" t="s">
        <v>124</v>
      </c>
      <c r="E155" s="2" t="s">
        <v>38</v>
      </c>
      <c r="F155" s="2" t="s">
        <v>123</v>
      </c>
      <c r="G155" s="2" t="s">
        <v>129</v>
      </c>
      <c r="H155" s="57" t="str">
        <f>Table1[[#This Row],[Tabela]]&amp;Table1[[#This Row],[Campo]]</f>
        <v>PROPERTY_ENERGY_CERTIFICATEEPC_EXPIRATION_DATE</v>
      </c>
      <c r="I155" s="2" t="s">
        <v>619</v>
      </c>
      <c r="J155" s="43">
        <f>VLOOKUP(Table1[[#This Row],[Status]],Auxiliar!$B$16:$C$24,2,0)</f>
        <v>7</v>
      </c>
      <c r="K155" s="2" t="s">
        <v>1252</v>
      </c>
      <c r="L155" s="29" t="s">
        <v>1250</v>
      </c>
      <c r="M155" s="21" t="s">
        <v>1259</v>
      </c>
      <c r="N155" s="48">
        <v>45618</v>
      </c>
      <c r="O155" s="21">
        <f>INDEX(Auxiliar!$D$5:$F$13,MATCH(Table1[[#This Row],[Tipologia_Testes]],Auxiliar!$B$5:$B$13,0),MATCH(Table1[[#This Row],[Complexidade]],Auxiliar!$D$4:$F$4,0))</f>
        <v>2</v>
      </c>
      <c r="P155" s="2"/>
      <c r="Q155" s="2"/>
      <c r="R155" s="152">
        <v>45616</v>
      </c>
      <c r="S155" s="152"/>
      <c r="T155" s="152"/>
      <c r="U155" s="152"/>
      <c r="V155" s="152"/>
      <c r="W155" s="2">
        <f>VLOOKUP(Table1[[#This Row],[Status]],Auxiliar!$B$16:$D$24,3,0)*Table1[[#This Row],[Estimação (horas)]]</f>
        <v>0.5</v>
      </c>
      <c r="X155" s="2"/>
    </row>
    <row r="156" spans="2:24" ht="17.7" customHeight="1" x14ac:dyDescent="0.25">
      <c r="B156" s="2" t="s">
        <v>26</v>
      </c>
      <c r="C156" s="2" t="s">
        <v>54</v>
      </c>
      <c r="D156" s="2" t="s">
        <v>124</v>
      </c>
      <c r="E156" s="2" t="s">
        <v>38</v>
      </c>
      <c r="F156" s="2" t="s">
        <v>123</v>
      </c>
      <c r="G156" s="2" t="s">
        <v>129</v>
      </c>
      <c r="H156" s="57" t="str">
        <f>Table1[[#This Row],[Tabela]]&amp;Table1[[#This Row],[Campo]]</f>
        <v>PROPERTY_ENERGY_CERTIFICATEEPC_EXPIRATION_DATE</v>
      </c>
      <c r="I156" s="2" t="s">
        <v>619</v>
      </c>
      <c r="J156" s="43">
        <f>VLOOKUP(Table1[[#This Row],[Status]],Auxiliar!$B$16:$C$24,2,0)</f>
        <v>7</v>
      </c>
      <c r="K156" s="2" t="s">
        <v>1253</v>
      </c>
      <c r="L156" s="29" t="s">
        <v>1250</v>
      </c>
      <c r="M156" s="21" t="s">
        <v>1259</v>
      </c>
      <c r="N156" s="48">
        <v>45618</v>
      </c>
      <c r="O156" s="21">
        <f>INDEX(Auxiliar!$D$5:$F$13,MATCH(Table1[[#This Row],[Tipologia_Testes]],Auxiliar!$B$5:$B$13,0),MATCH(Table1[[#This Row],[Complexidade]],Auxiliar!$D$4:$F$4,0))</f>
        <v>2</v>
      </c>
      <c r="P156" s="2"/>
      <c r="Q156" s="2"/>
      <c r="R156" s="152">
        <v>45616</v>
      </c>
      <c r="S156" s="152"/>
      <c r="T156" s="152"/>
      <c r="U156" s="152"/>
      <c r="V156" s="152"/>
      <c r="W156" s="2">
        <f>VLOOKUP(Table1[[#This Row],[Status]],Auxiliar!$B$16:$D$24,3,0)*Table1[[#This Row],[Estimação (horas)]]</f>
        <v>0.5</v>
      </c>
      <c r="X156" s="2"/>
    </row>
    <row r="157" spans="2:24" ht="17.7" customHeight="1" x14ac:dyDescent="0.25">
      <c r="B157" s="2" t="s">
        <v>26</v>
      </c>
      <c r="C157" s="2" t="s">
        <v>54</v>
      </c>
      <c r="D157" s="2" t="s">
        <v>124</v>
      </c>
      <c r="E157" s="2" t="s">
        <v>38</v>
      </c>
      <c r="F157" s="2" t="s">
        <v>123</v>
      </c>
      <c r="G157" s="2" t="s">
        <v>129</v>
      </c>
      <c r="H157" s="57" t="str">
        <f>Table1[[#This Row],[Tabela]]&amp;Table1[[#This Row],[Campo]]</f>
        <v>PROPERTY_ENERGY_CERTIFICATEEPC_EXPIRATION_DATE</v>
      </c>
      <c r="I157" s="2" t="s">
        <v>619</v>
      </c>
      <c r="J157" s="43">
        <f>VLOOKUP(Table1[[#This Row],[Status]],Auxiliar!$B$16:$C$24,2,0)</f>
        <v>7</v>
      </c>
      <c r="K157" s="2" t="s">
        <v>1255</v>
      </c>
      <c r="L157" s="29" t="s">
        <v>1250</v>
      </c>
      <c r="M157" s="21" t="s">
        <v>1259</v>
      </c>
      <c r="N157" s="48">
        <v>45618</v>
      </c>
      <c r="O157" s="21">
        <f>INDEX(Auxiliar!$D$5:$F$13,MATCH(Table1[[#This Row],[Tipologia_Testes]],Auxiliar!$B$5:$B$13,0),MATCH(Table1[[#This Row],[Complexidade]],Auxiliar!$D$4:$F$4,0))</f>
        <v>0.1</v>
      </c>
      <c r="P157" s="2"/>
      <c r="Q157" s="2"/>
      <c r="R157" s="152">
        <v>45616</v>
      </c>
      <c r="S157" s="152"/>
      <c r="T157" s="152"/>
      <c r="U157" s="152"/>
      <c r="V157" s="152"/>
      <c r="W157" s="2">
        <f>VLOOKUP(Table1[[#This Row],[Status]],Auxiliar!$B$16:$D$24,3,0)*Table1[[#This Row],[Estimação (horas)]]</f>
        <v>2.5000000000000001E-2</v>
      </c>
      <c r="X157" s="2"/>
    </row>
    <row r="158" spans="2:24" ht="17.7" customHeight="1" x14ac:dyDescent="0.25">
      <c r="B158" s="2" t="s">
        <v>26</v>
      </c>
      <c r="C158" s="2" t="s">
        <v>54</v>
      </c>
      <c r="D158" s="2" t="s">
        <v>124</v>
      </c>
      <c r="E158" s="2" t="s">
        <v>38</v>
      </c>
      <c r="F158" s="2" t="s">
        <v>123</v>
      </c>
      <c r="G158" s="2" t="s">
        <v>47</v>
      </c>
      <c r="H158" s="57" t="str">
        <f>Table1[[#This Row],[Tabela]]&amp;Table1[[#This Row],[Campo]]</f>
        <v>PROPERTY_ENERGY_CERTIFICATEEPC</v>
      </c>
      <c r="I158" s="2" t="s">
        <v>619</v>
      </c>
      <c r="J158" s="43">
        <f>VLOOKUP(Table1[[#This Row],[Status]],Auxiliar!$B$16:$C$24,2,0)</f>
        <v>7</v>
      </c>
      <c r="K158" s="2" t="s">
        <v>1252</v>
      </c>
      <c r="L158" s="29" t="s">
        <v>1250</v>
      </c>
      <c r="M158" s="21" t="s">
        <v>1259</v>
      </c>
      <c r="N158" s="48">
        <v>45618</v>
      </c>
      <c r="O158" s="21">
        <f>INDEX(Auxiliar!$D$5:$F$13,MATCH(Table1[[#This Row],[Tipologia_Testes]],Auxiliar!$B$5:$B$13,0),MATCH(Table1[[#This Row],[Complexidade]],Auxiliar!$D$4:$F$4,0))</f>
        <v>2</v>
      </c>
      <c r="P158" s="2"/>
      <c r="Q158" s="2"/>
      <c r="R158" s="152">
        <v>45616</v>
      </c>
      <c r="S158" s="152"/>
      <c r="T158" s="152"/>
      <c r="U158" s="152"/>
      <c r="V158" s="152"/>
      <c r="W158" s="2">
        <f>VLOOKUP(Table1[[#This Row],[Status]],Auxiliar!$B$16:$D$24,3,0)*Table1[[#This Row],[Estimação (horas)]]</f>
        <v>0.5</v>
      </c>
      <c r="X158" s="2"/>
    </row>
    <row r="159" spans="2:24" ht="17.7" customHeight="1" x14ac:dyDescent="0.25">
      <c r="B159" s="2" t="s">
        <v>26</v>
      </c>
      <c r="C159" s="2" t="s">
        <v>54</v>
      </c>
      <c r="D159" s="2" t="s">
        <v>124</v>
      </c>
      <c r="E159" s="2" t="s">
        <v>38</v>
      </c>
      <c r="F159" s="2" t="s">
        <v>123</v>
      </c>
      <c r="G159" s="2" t="s">
        <v>47</v>
      </c>
      <c r="H159" s="57" t="str">
        <f>Table1[[#This Row],[Tabela]]&amp;Table1[[#This Row],[Campo]]</f>
        <v>PROPERTY_ENERGY_CERTIFICATEEPC</v>
      </c>
      <c r="I159" s="2" t="s">
        <v>619</v>
      </c>
      <c r="J159" s="43">
        <f>VLOOKUP(Table1[[#This Row],[Status]],Auxiliar!$B$16:$C$24,2,0)</f>
        <v>7</v>
      </c>
      <c r="K159" s="2" t="s">
        <v>1253</v>
      </c>
      <c r="L159" s="29" t="s">
        <v>1250</v>
      </c>
      <c r="M159" s="21" t="s">
        <v>1259</v>
      </c>
      <c r="N159" s="48">
        <v>45618</v>
      </c>
      <c r="O159" s="21">
        <f>INDEX(Auxiliar!$D$5:$F$13,MATCH(Table1[[#This Row],[Tipologia_Testes]],Auxiliar!$B$5:$B$13,0),MATCH(Table1[[#This Row],[Complexidade]],Auxiliar!$D$4:$F$4,0))</f>
        <v>2</v>
      </c>
      <c r="P159" s="2"/>
      <c r="Q159" s="2"/>
      <c r="R159" s="152">
        <v>45616</v>
      </c>
      <c r="S159" s="152"/>
      <c r="T159" s="152"/>
      <c r="U159" s="152"/>
      <c r="V159" s="152"/>
      <c r="W159" s="2">
        <f>VLOOKUP(Table1[[#This Row],[Status]],Auxiliar!$B$16:$D$24,3,0)*Table1[[#This Row],[Estimação (horas)]]</f>
        <v>0.5</v>
      </c>
      <c r="X159" s="2"/>
    </row>
    <row r="160" spans="2:24" ht="17.7" customHeight="1" x14ac:dyDescent="0.25">
      <c r="B160" s="2" t="s">
        <v>26</v>
      </c>
      <c r="C160" s="2" t="s">
        <v>54</v>
      </c>
      <c r="D160" s="2" t="s">
        <v>124</v>
      </c>
      <c r="E160" s="2" t="s">
        <v>38</v>
      </c>
      <c r="F160" s="2" t="s">
        <v>123</v>
      </c>
      <c r="G160" s="2" t="s">
        <v>47</v>
      </c>
      <c r="H160" s="57" t="str">
        <f>Table1[[#This Row],[Tabela]]&amp;Table1[[#This Row],[Campo]]</f>
        <v>PROPERTY_ENERGY_CERTIFICATEEPC</v>
      </c>
      <c r="I160" s="2" t="s">
        <v>619</v>
      </c>
      <c r="J160" s="43">
        <f>VLOOKUP(Table1[[#This Row],[Status]],Auxiliar!$B$16:$C$24,2,0)</f>
        <v>7</v>
      </c>
      <c r="K160" s="2" t="s">
        <v>1255</v>
      </c>
      <c r="L160" s="29" t="s">
        <v>1250</v>
      </c>
      <c r="M160" s="21" t="s">
        <v>1259</v>
      </c>
      <c r="N160" s="48">
        <v>45618</v>
      </c>
      <c r="O160" s="21">
        <f>INDEX(Auxiliar!$D$5:$F$13,MATCH(Table1[[#This Row],[Tipologia_Testes]],Auxiliar!$B$5:$B$13,0),MATCH(Table1[[#This Row],[Complexidade]],Auxiliar!$D$4:$F$4,0))</f>
        <v>0.1</v>
      </c>
      <c r="P160" s="2"/>
      <c r="Q160" s="2"/>
      <c r="R160" s="152">
        <v>45616</v>
      </c>
      <c r="S160" s="152"/>
      <c r="T160" s="152"/>
      <c r="U160" s="152"/>
      <c r="V160" s="152"/>
      <c r="W160" s="2">
        <f>VLOOKUP(Table1[[#This Row],[Status]],Auxiliar!$B$16:$D$24,3,0)*Table1[[#This Row],[Estimação (horas)]]</f>
        <v>2.5000000000000001E-2</v>
      </c>
      <c r="X160" s="2"/>
    </row>
    <row r="161" spans="2:24" ht="17.7" customHeight="1" x14ac:dyDescent="0.25">
      <c r="B161" s="2" t="s">
        <v>26</v>
      </c>
      <c r="C161" s="2" t="s">
        <v>54</v>
      </c>
      <c r="D161" s="2" t="s">
        <v>124</v>
      </c>
      <c r="E161" s="2" t="s">
        <v>38</v>
      </c>
      <c r="F161" s="2" t="s">
        <v>123</v>
      </c>
      <c r="G161" s="2" t="s">
        <v>130</v>
      </c>
      <c r="H161" s="57" t="str">
        <f>Table1[[#This Row],[Tabela]]&amp;Table1[[#This Row],[Campo]]</f>
        <v>PROPERTY_ENERGY_CERTIFICATEENERGY_CONSUMPTION_TYPE_S_IND</v>
      </c>
      <c r="I161" s="2" t="s">
        <v>614</v>
      </c>
      <c r="J161" s="43">
        <f>VLOOKUP(Table1[[#This Row],[Status]],Auxiliar!$B$16:$C$24,2,0)</f>
        <v>1</v>
      </c>
      <c r="K161" s="2" t="s">
        <v>1252</v>
      </c>
      <c r="L161" s="29" t="s">
        <v>1250</v>
      </c>
      <c r="M161" s="21" t="s">
        <v>1259</v>
      </c>
      <c r="N161" s="48">
        <v>45485</v>
      </c>
      <c r="O161" s="21">
        <f>INDEX(Auxiliar!$D$5:$F$13,MATCH(Table1[[#This Row],[Tipologia_Testes]],Auxiliar!$B$5:$B$13,0),MATCH(Table1[[#This Row],[Complexidade]],Auxiliar!$D$4:$F$4,0))</f>
        <v>2</v>
      </c>
      <c r="P161" s="2" t="s">
        <v>1276</v>
      </c>
      <c r="Q161" s="2"/>
      <c r="R161" s="152">
        <v>45261</v>
      </c>
      <c r="S161" s="152"/>
      <c r="T161" s="152"/>
      <c r="U161" s="152"/>
      <c r="V161" s="152"/>
      <c r="W161" s="2">
        <f>VLOOKUP(Table1[[#This Row],[Status]],Auxiliar!$B$16:$D$24,3,0)*Table1[[#This Row],[Estimação (horas)]]</f>
        <v>2</v>
      </c>
      <c r="X161" s="2"/>
    </row>
    <row r="162" spans="2:24" ht="17.7" customHeight="1" x14ac:dyDescent="0.25">
      <c r="B162" s="2" t="s">
        <v>26</v>
      </c>
      <c r="C162" s="2" t="s">
        <v>54</v>
      </c>
      <c r="D162" s="2" t="s">
        <v>124</v>
      </c>
      <c r="E162" s="2" t="s">
        <v>38</v>
      </c>
      <c r="F162" s="2" t="s">
        <v>123</v>
      </c>
      <c r="G162" s="2" t="s">
        <v>130</v>
      </c>
      <c r="H162" s="57" t="str">
        <f>Table1[[#This Row],[Tabela]]&amp;Table1[[#This Row],[Campo]]</f>
        <v>PROPERTY_ENERGY_CERTIFICATEENERGY_CONSUMPTION_TYPE_S_IND</v>
      </c>
      <c r="I162" s="2" t="s">
        <v>614</v>
      </c>
      <c r="J162" s="43">
        <f>VLOOKUP(Table1[[#This Row],[Status]],Auxiliar!$B$16:$C$24,2,0)</f>
        <v>1</v>
      </c>
      <c r="K162" s="2" t="s">
        <v>1253</v>
      </c>
      <c r="L162" s="29" t="s">
        <v>1250</v>
      </c>
      <c r="M162" s="21" t="s">
        <v>1259</v>
      </c>
      <c r="N162" s="48">
        <v>45485</v>
      </c>
      <c r="O162" s="21">
        <f>INDEX(Auxiliar!$D$5:$F$13,MATCH(Table1[[#This Row],[Tipologia_Testes]],Auxiliar!$B$5:$B$13,0),MATCH(Table1[[#This Row],[Complexidade]],Auxiliar!$D$4:$F$4,0))</f>
        <v>2</v>
      </c>
      <c r="P162" s="2" t="s">
        <v>1276</v>
      </c>
      <c r="Q162" s="2"/>
      <c r="R162" s="152">
        <v>45261</v>
      </c>
      <c r="S162" s="152"/>
      <c r="T162" s="152"/>
      <c r="U162" s="152"/>
      <c r="V162" s="152"/>
      <c r="W162" s="2">
        <f>VLOOKUP(Table1[[#This Row],[Status]],Auxiliar!$B$16:$D$24,3,0)*Table1[[#This Row],[Estimação (horas)]]</f>
        <v>2</v>
      </c>
      <c r="X162" s="2"/>
    </row>
    <row r="163" spans="2:24" ht="17.7" customHeight="1" x14ac:dyDescent="0.25">
      <c r="B163" s="2" t="s">
        <v>26</v>
      </c>
      <c r="C163" s="2" t="s">
        <v>54</v>
      </c>
      <c r="D163" s="2" t="s">
        <v>124</v>
      </c>
      <c r="E163" s="2" t="s">
        <v>38</v>
      </c>
      <c r="F163" s="2" t="s">
        <v>123</v>
      </c>
      <c r="G163" s="2" t="s">
        <v>130</v>
      </c>
      <c r="H163" s="57" t="str">
        <f>Table1[[#This Row],[Tabela]]&amp;Table1[[#This Row],[Campo]]</f>
        <v>PROPERTY_ENERGY_CERTIFICATEENERGY_CONSUMPTION_TYPE_S_IND</v>
      </c>
      <c r="I163" s="2" t="s">
        <v>614</v>
      </c>
      <c r="J163" s="43">
        <f>VLOOKUP(Table1[[#This Row],[Status]],Auxiliar!$B$16:$C$24,2,0)</f>
        <v>1</v>
      </c>
      <c r="K163" s="2" t="s">
        <v>1255</v>
      </c>
      <c r="L163" s="29" t="s">
        <v>1250</v>
      </c>
      <c r="M163" s="21" t="s">
        <v>1259</v>
      </c>
      <c r="N163" s="48">
        <v>45485</v>
      </c>
      <c r="O163" s="21">
        <f>INDEX(Auxiliar!$D$5:$F$13,MATCH(Table1[[#This Row],[Tipologia_Testes]],Auxiliar!$B$5:$B$13,0),MATCH(Table1[[#This Row],[Complexidade]],Auxiliar!$D$4:$F$4,0))</f>
        <v>0.1</v>
      </c>
      <c r="P163" s="2" t="s">
        <v>1276</v>
      </c>
      <c r="Q163" s="2"/>
      <c r="R163" s="152">
        <v>45261</v>
      </c>
      <c r="S163" s="152"/>
      <c r="T163" s="152"/>
      <c r="U163" s="152"/>
      <c r="V163" s="152"/>
      <c r="W163" s="2">
        <f>VLOOKUP(Table1[[#This Row],[Status]],Auxiliar!$B$16:$D$24,3,0)*Table1[[#This Row],[Estimação (horas)]]</f>
        <v>0.1</v>
      </c>
      <c r="X163" s="2"/>
    </row>
    <row r="164" spans="2:24" ht="17.7" customHeight="1" x14ac:dyDescent="0.25">
      <c r="B164" s="2" t="s">
        <v>26</v>
      </c>
      <c r="C164" s="2" t="s">
        <v>54</v>
      </c>
      <c r="D164" s="2" t="s">
        <v>124</v>
      </c>
      <c r="E164" s="2" t="s">
        <v>38</v>
      </c>
      <c r="F164" s="2" t="s">
        <v>123</v>
      </c>
      <c r="G164" s="2" t="s">
        <v>131</v>
      </c>
      <c r="H164" s="57" t="str">
        <f>Table1[[#This Row],[Tabela]]&amp;Table1[[#This Row],[Campo]]</f>
        <v>PROPERTY_ENERGY_CERTIFICATEENERGY_CONSUMPTION_TYPE_T_IND</v>
      </c>
      <c r="I164" s="2" t="s">
        <v>614</v>
      </c>
      <c r="J164" s="43">
        <f>VLOOKUP(Table1[[#This Row],[Status]],Auxiliar!$B$16:$C$24,2,0)</f>
        <v>1</v>
      </c>
      <c r="K164" s="2" t="s">
        <v>1252</v>
      </c>
      <c r="L164" s="29" t="s">
        <v>1250</v>
      </c>
      <c r="M164" s="21" t="s">
        <v>1259</v>
      </c>
      <c r="N164" s="48">
        <v>45485</v>
      </c>
      <c r="O164" s="21">
        <f>INDEX(Auxiliar!$D$5:$F$13,MATCH(Table1[[#This Row],[Tipologia_Testes]],Auxiliar!$B$5:$B$13,0),MATCH(Table1[[#This Row],[Complexidade]],Auxiliar!$D$4:$F$4,0))</f>
        <v>2</v>
      </c>
      <c r="P164" s="2" t="s">
        <v>1276</v>
      </c>
      <c r="Q164" s="2"/>
      <c r="R164" s="152">
        <v>45261</v>
      </c>
      <c r="S164" s="152"/>
      <c r="T164" s="152"/>
      <c r="U164" s="152"/>
      <c r="V164" s="152"/>
      <c r="W164" s="2">
        <f>VLOOKUP(Table1[[#This Row],[Status]],Auxiliar!$B$16:$D$24,3,0)*Table1[[#This Row],[Estimação (horas)]]</f>
        <v>2</v>
      </c>
      <c r="X164" s="2"/>
    </row>
    <row r="165" spans="2:24" ht="17.7" customHeight="1" x14ac:dyDescent="0.25">
      <c r="B165" s="2" t="s">
        <v>26</v>
      </c>
      <c r="C165" s="2" t="s">
        <v>54</v>
      </c>
      <c r="D165" s="2" t="s">
        <v>124</v>
      </c>
      <c r="E165" s="2" t="s">
        <v>38</v>
      </c>
      <c r="F165" s="2" t="s">
        <v>123</v>
      </c>
      <c r="G165" s="2" t="s">
        <v>131</v>
      </c>
      <c r="H165" s="57" t="str">
        <f>Table1[[#This Row],[Tabela]]&amp;Table1[[#This Row],[Campo]]</f>
        <v>PROPERTY_ENERGY_CERTIFICATEENERGY_CONSUMPTION_TYPE_T_IND</v>
      </c>
      <c r="I165" s="2" t="s">
        <v>614</v>
      </c>
      <c r="J165" s="43">
        <f>VLOOKUP(Table1[[#This Row],[Status]],Auxiliar!$B$16:$C$24,2,0)</f>
        <v>1</v>
      </c>
      <c r="K165" s="2" t="s">
        <v>1253</v>
      </c>
      <c r="L165" s="29" t="s">
        <v>1250</v>
      </c>
      <c r="M165" s="21" t="s">
        <v>1259</v>
      </c>
      <c r="N165" s="48">
        <v>45485</v>
      </c>
      <c r="O165" s="21">
        <f>INDEX(Auxiliar!$D$5:$F$13,MATCH(Table1[[#This Row],[Tipologia_Testes]],Auxiliar!$B$5:$B$13,0),MATCH(Table1[[#This Row],[Complexidade]],Auxiliar!$D$4:$F$4,0))</f>
        <v>2</v>
      </c>
      <c r="P165" s="2" t="s">
        <v>1276</v>
      </c>
      <c r="Q165" s="2"/>
      <c r="R165" s="152">
        <v>45261</v>
      </c>
      <c r="S165" s="152"/>
      <c r="T165" s="152"/>
      <c r="U165" s="152"/>
      <c r="V165" s="152"/>
      <c r="W165" s="2">
        <f>VLOOKUP(Table1[[#This Row],[Status]],Auxiliar!$B$16:$D$24,3,0)*Table1[[#This Row],[Estimação (horas)]]</f>
        <v>2</v>
      </c>
      <c r="X165" s="2"/>
    </row>
    <row r="166" spans="2:24" ht="17.7" customHeight="1" x14ac:dyDescent="0.25">
      <c r="B166" s="2" t="s">
        <v>26</v>
      </c>
      <c r="C166" s="2" t="s">
        <v>54</v>
      </c>
      <c r="D166" s="2" t="s">
        <v>124</v>
      </c>
      <c r="E166" s="2" t="s">
        <v>38</v>
      </c>
      <c r="F166" s="2" t="s">
        <v>123</v>
      </c>
      <c r="G166" s="2" t="s">
        <v>131</v>
      </c>
      <c r="H166" s="57" t="str">
        <f>Table1[[#This Row],[Tabela]]&amp;Table1[[#This Row],[Campo]]</f>
        <v>PROPERTY_ENERGY_CERTIFICATEENERGY_CONSUMPTION_TYPE_T_IND</v>
      </c>
      <c r="I166" s="2" t="s">
        <v>614</v>
      </c>
      <c r="J166" s="43">
        <f>VLOOKUP(Table1[[#This Row],[Status]],Auxiliar!$B$16:$C$24,2,0)</f>
        <v>1</v>
      </c>
      <c r="K166" s="2" t="s">
        <v>1255</v>
      </c>
      <c r="L166" s="29" t="s">
        <v>1250</v>
      </c>
      <c r="M166" s="21" t="s">
        <v>1259</v>
      </c>
      <c r="N166" s="48">
        <v>45485</v>
      </c>
      <c r="O166" s="21">
        <f>INDEX(Auxiliar!$D$5:$F$13,MATCH(Table1[[#This Row],[Tipologia_Testes]],Auxiliar!$B$5:$B$13,0),MATCH(Table1[[#This Row],[Complexidade]],Auxiliar!$D$4:$F$4,0))</f>
        <v>0.1</v>
      </c>
      <c r="P166" s="2" t="s">
        <v>1276</v>
      </c>
      <c r="Q166" s="2"/>
      <c r="R166" s="152">
        <v>45261</v>
      </c>
      <c r="S166" s="152"/>
      <c r="T166" s="152"/>
      <c r="U166" s="152"/>
      <c r="V166" s="152"/>
      <c r="W166" s="2">
        <f>VLOOKUP(Table1[[#This Row],[Status]],Auxiliar!$B$16:$D$24,3,0)*Table1[[#This Row],[Estimação (horas)]]</f>
        <v>0.1</v>
      </c>
      <c r="X166" s="2"/>
    </row>
    <row r="167" spans="2:24" ht="17.7" customHeight="1" x14ac:dyDescent="0.25">
      <c r="B167" s="2" t="s">
        <v>26</v>
      </c>
      <c r="C167" s="2" t="s">
        <v>54</v>
      </c>
      <c r="D167" s="2" t="s">
        <v>124</v>
      </c>
      <c r="E167" s="2" t="s">
        <v>38</v>
      </c>
      <c r="F167" s="2" t="s">
        <v>123</v>
      </c>
      <c r="G167" s="2" t="s">
        <v>132</v>
      </c>
      <c r="H167" s="57" t="str">
        <f>Table1[[#This Row],[Tabela]]&amp;Table1[[#This Row],[Campo]]</f>
        <v>PROPERTY_ENERGY_CERTIFICATEENERGY_EFFICIENCY_IND</v>
      </c>
      <c r="I167" s="2" t="s">
        <v>619</v>
      </c>
      <c r="J167" s="43">
        <f>VLOOKUP(Table1[[#This Row],[Status]],Auxiliar!$B$16:$C$24,2,0)</f>
        <v>7</v>
      </c>
      <c r="K167" s="2" t="s">
        <v>1252</v>
      </c>
      <c r="L167" s="29" t="s">
        <v>1250</v>
      </c>
      <c r="M167" s="21" t="s">
        <v>1259</v>
      </c>
      <c r="N167" s="48">
        <v>45618</v>
      </c>
      <c r="O167" s="21">
        <f>INDEX(Auxiliar!$D$5:$F$13,MATCH(Table1[[#This Row],[Tipologia_Testes]],Auxiliar!$B$5:$B$13,0),MATCH(Table1[[#This Row],[Complexidade]],Auxiliar!$D$4:$F$4,0))</f>
        <v>2</v>
      </c>
      <c r="P167" s="2"/>
      <c r="Q167" s="2"/>
      <c r="R167" s="152">
        <v>45616</v>
      </c>
      <c r="S167" s="152"/>
      <c r="T167" s="152"/>
      <c r="U167" s="152"/>
      <c r="V167" s="152"/>
      <c r="W167" s="2">
        <f>VLOOKUP(Table1[[#This Row],[Status]],Auxiliar!$B$16:$D$24,3,0)*Table1[[#This Row],[Estimação (horas)]]</f>
        <v>0.5</v>
      </c>
      <c r="X167" s="2"/>
    </row>
    <row r="168" spans="2:24" ht="17.7" customHeight="1" x14ac:dyDescent="0.25">
      <c r="B168" s="2" t="s">
        <v>26</v>
      </c>
      <c r="C168" s="2" t="s">
        <v>54</v>
      </c>
      <c r="D168" s="2" t="s">
        <v>124</v>
      </c>
      <c r="E168" s="2" t="s">
        <v>38</v>
      </c>
      <c r="F168" s="2" t="s">
        <v>123</v>
      </c>
      <c r="G168" s="2" t="s">
        <v>132</v>
      </c>
      <c r="H168" s="57" t="str">
        <f>Table1[[#This Row],[Tabela]]&amp;Table1[[#This Row],[Campo]]</f>
        <v>PROPERTY_ENERGY_CERTIFICATEENERGY_EFFICIENCY_IND</v>
      </c>
      <c r="I168" s="2" t="s">
        <v>619</v>
      </c>
      <c r="J168" s="43">
        <f>VLOOKUP(Table1[[#This Row],[Status]],Auxiliar!$B$16:$C$24,2,0)</f>
        <v>7</v>
      </c>
      <c r="K168" s="2" t="s">
        <v>1253</v>
      </c>
      <c r="L168" s="29" t="s">
        <v>1250</v>
      </c>
      <c r="M168" s="21" t="s">
        <v>1259</v>
      </c>
      <c r="N168" s="48">
        <v>45618</v>
      </c>
      <c r="O168" s="21">
        <f>INDEX(Auxiliar!$D$5:$F$13,MATCH(Table1[[#This Row],[Tipologia_Testes]],Auxiliar!$B$5:$B$13,0),MATCH(Table1[[#This Row],[Complexidade]],Auxiliar!$D$4:$F$4,0))</f>
        <v>2</v>
      </c>
      <c r="P168" s="2"/>
      <c r="Q168" s="2"/>
      <c r="R168" s="152">
        <v>45616</v>
      </c>
      <c r="S168" s="152"/>
      <c r="T168" s="152"/>
      <c r="U168" s="152"/>
      <c r="V168" s="152"/>
      <c r="W168" s="2">
        <f>VLOOKUP(Table1[[#This Row],[Status]],Auxiliar!$B$16:$D$24,3,0)*Table1[[#This Row],[Estimação (horas)]]</f>
        <v>0.5</v>
      </c>
      <c r="X168" s="2"/>
    </row>
    <row r="169" spans="2:24" ht="17.7" customHeight="1" x14ac:dyDescent="0.25">
      <c r="B169" s="2" t="s">
        <v>26</v>
      </c>
      <c r="C169" s="2" t="s">
        <v>54</v>
      </c>
      <c r="D169" s="2" t="s">
        <v>124</v>
      </c>
      <c r="E169" s="2" t="s">
        <v>38</v>
      </c>
      <c r="F169" s="2" t="s">
        <v>123</v>
      </c>
      <c r="G169" s="2" t="s">
        <v>132</v>
      </c>
      <c r="H169" s="57" t="str">
        <f>Table1[[#This Row],[Tabela]]&amp;Table1[[#This Row],[Campo]]</f>
        <v>PROPERTY_ENERGY_CERTIFICATEENERGY_EFFICIENCY_IND</v>
      </c>
      <c r="I169" s="2" t="s">
        <v>619</v>
      </c>
      <c r="J169" s="43">
        <f>VLOOKUP(Table1[[#This Row],[Status]],Auxiliar!$B$16:$C$24,2,0)</f>
        <v>7</v>
      </c>
      <c r="K169" s="2" t="s">
        <v>1255</v>
      </c>
      <c r="L169" s="29" t="s">
        <v>1250</v>
      </c>
      <c r="M169" s="21" t="s">
        <v>1259</v>
      </c>
      <c r="N169" s="48">
        <v>45618</v>
      </c>
      <c r="O169" s="21">
        <f>INDEX(Auxiliar!$D$5:$F$13,MATCH(Table1[[#This Row],[Tipologia_Testes]],Auxiliar!$B$5:$B$13,0),MATCH(Table1[[#This Row],[Complexidade]],Auxiliar!$D$4:$F$4,0))</f>
        <v>0.1</v>
      </c>
      <c r="P169" s="2"/>
      <c r="Q169" s="2"/>
      <c r="R169" s="152">
        <v>45616</v>
      </c>
      <c r="S169" s="152"/>
      <c r="T169" s="152"/>
      <c r="U169" s="152"/>
      <c r="V169" s="152"/>
      <c r="W169" s="2">
        <f>VLOOKUP(Table1[[#This Row],[Status]],Auxiliar!$B$16:$D$24,3,0)*Table1[[#This Row],[Estimação (horas)]]</f>
        <v>2.5000000000000001E-2</v>
      </c>
      <c r="X169" s="2"/>
    </row>
    <row r="170" spans="2:24" ht="17.7" customHeight="1" x14ac:dyDescent="0.25">
      <c r="B170" s="2" t="s">
        <v>26</v>
      </c>
      <c r="C170" s="2" t="s">
        <v>54</v>
      </c>
      <c r="D170" s="2" t="s">
        <v>124</v>
      </c>
      <c r="E170" s="2" t="s">
        <v>38</v>
      </c>
      <c r="F170" s="2" t="s">
        <v>123</v>
      </c>
      <c r="G170" s="2" t="s">
        <v>133</v>
      </c>
      <c r="H170" s="57" t="str">
        <f>Table1[[#This Row],[Tabela]]&amp;Table1[[#This Row],[Campo]]</f>
        <v>PROPERTY_ENERGY_CERTIFICATEREN_ENERGY_EFFICIENCY_IND</v>
      </c>
      <c r="I170" s="2" t="s">
        <v>614</v>
      </c>
      <c r="J170" s="43">
        <f>VLOOKUP(Table1[[#This Row],[Status]],Auxiliar!$B$16:$C$24,2,0)</f>
        <v>1</v>
      </c>
      <c r="K170" s="2" t="s">
        <v>1252</v>
      </c>
      <c r="L170" s="29" t="s">
        <v>1250</v>
      </c>
      <c r="M170" s="21" t="s">
        <v>1259</v>
      </c>
      <c r="N170" s="48">
        <v>45485</v>
      </c>
      <c r="O170" s="21">
        <f>INDEX(Auxiliar!$D$5:$F$13,MATCH(Table1[[#This Row],[Tipologia_Testes]],Auxiliar!$B$5:$B$13,0),MATCH(Table1[[#This Row],[Complexidade]],Auxiliar!$D$4:$F$4,0))</f>
        <v>2</v>
      </c>
      <c r="P170" s="2" t="s">
        <v>1276</v>
      </c>
      <c r="Q170" s="2"/>
      <c r="R170" s="152">
        <v>45261</v>
      </c>
      <c r="S170" s="152"/>
      <c r="T170" s="152"/>
      <c r="U170" s="152"/>
      <c r="V170" s="152"/>
      <c r="W170" s="2">
        <f>VLOOKUP(Table1[[#This Row],[Status]],Auxiliar!$B$16:$D$24,3,0)*Table1[[#This Row],[Estimação (horas)]]</f>
        <v>2</v>
      </c>
      <c r="X170" s="2"/>
    </row>
    <row r="171" spans="2:24" ht="17.7" customHeight="1" x14ac:dyDescent="0.25">
      <c r="B171" s="2" t="s">
        <v>26</v>
      </c>
      <c r="C171" s="2" t="s">
        <v>54</v>
      </c>
      <c r="D171" s="2" t="s">
        <v>124</v>
      </c>
      <c r="E171" s="2" t="s">
        <v>38</v>
      </c>
      <c r="F171" s="2" t="s">
        <v>123</v>
      </c>
      <c r="G171" s="2" t="s">
        <v>133</v>
      </c>
      <c r="H171" s="57" t="str">
        <f>Table1[[#This Row],[Tabela]]&amp;Table1[[#This Row],[Campo]]</f>
        <v>PROPERTY_ENERGY_CERTIFICATEREN_ENERGY_EFFICIENCY_IND</v>
      </c>
      <c r="I171" s="2" t="s">
        <v>614</v>
      </c>
      <c r="J171" s="43">
        <f>VLOOKUP(Table1[[#This Row],[Status]],Auxiliar!$B$16:$C$24,2,0)</f>
        <v>1</v>
      </c>
      <c r="K171" s="2" t="s">
        <v>1253</v>
      </c>
      <c r="L171" s="29" t="s">
        <v>1250</v>
      </c>
      <c r="M171" s="21" t="s">
        <v>1259</v>
      </c>
      <c r="N171" s="48">
        <v>45485</v>
      </c>
      <c r="O171" s="21">
        <f>INDEX(Auxiliar!$D$5:$F$13,MATCH(Table1[[#This Row],[Tipologia_Testes]],Auxiliar!$B$5:$B$13,0),MATCH(Table1[[#This Row],[Complexidade]],Auxiliar!$D$4:$F$4,0))</f>
        <v>2</v>
      </c>
      <c r="P171" s="2" t="s">
        <v>1276</v>
      </c>
      <c r="Q171" s="2"/>
      <c r="R171" s="152">
        <v>45261</v>
      </c>
      <c r="S171" s="152"/>
      <c r="T171" s="152"/>
      <c r="U171" s="152"/>
      <c r="V171" s="152"/>
      <c r="W171" s="2">
        <f>VLOOKUP(Table1[[#This Row],[Status]],Auxiliar!$B$16:$D$24,3,0)*Table1[[#This Row],[Estimação (horas)]]</f>
        <v>2</v>
      </c>
      <c r="X171" s="2"/>
    </row>
    <row r="172" spans="2:24" ht="17.7" customHeight="1" x14ac:dyDescent="0.25">
      <c r="B172" s="2" t="s">
        <v>26</v>
      </c>
      <c r="C172" s="2" t="s">
        <v>54</v>
      </c>
      <c r="D172" s="2" t="s">
        <v>124</v>
      </c>
      <c r="E172" s="2" t="s">
        <v>38</v>
      </c>
      <c r="F172" s="2" t="s">
        <v>123</v>
      </c>
      <c r="G172" s="2" t="s">
        <v>133</v>
      </c>
      <c r="H172" s="57" t="str">
        <f>Table1[[#This Row],[Tabela]]&amp;Table1[[#This Row],[Campo]]</f>
        <v>PROPERTY_ENERGY_CERTIFICATEREN_ENERGY_EFFICIENCY_IND</v>
      </c>
      <c r="I172" s="2" t="s">
        <v>614</v>
      </c>
      <c r="J172" s="43">
        <f>VLOOKUP(Table1[[#This Row],[Status]],Auxiliar!$B$16:$C$24,2,0)</f>
        <v>1</v>
      </c>
      <c r="K172" s="2" t="s">
        <v>1255</v>
      </c>
      <c r="L172" s="29" t="s">
        <v>1250</v>
      </c>
      <c r="M172" s="21" t="s">
        <v>1259</v>
      </c>
      <c r="N172" s="48">
        <v>45485</v>
      </c>
      <c r="O172" s="21">
        <f>INDEX(Auxiliar!$D$5:$F$13,MATCH(Table1[[#This Row],[Tipologia_Testes]],Auxiliar!$B$5:$B$13,0),MATCH(Table1[[#This Row],[Complexidade]],Auxiliar!$D$4:$F$4,0))</f>
        <v>0.1</v>
      </c>
      <c r="P172" s="2" t="s">
        <v>1276</v>
      </c>
      <c r="Q172" s="2"/>
      <c r="R172" s="152">
        <v>45261</v>
      </c>
      <c r="S172" s="152"/>
      <c r="T172" s="152"/>
      <c r="U172" s="152"/>
      <c r="V172" s="152"/>
      <c r="W172" s="2">
        <f>VLOOKUP(Table1[[#This Row],[Status]],Auxiliar!$B$16:$D$24,3,0)*Table1[[#This Row],[Estimação (horas)]]</f>
        <v>0.1</v>
      </c>
      <c r="X172" s="2"/>
    </row>
    <row r="173" spans="2:24" ht="17.7" customHeight="1" x14ac:dyDescent="0.25">
      <c r="B173" s="2" t="s">
        <v>26</v>
      </c>
      <c r="C173" s="2" t="s">
        <v>54</v>
      </c>
      <c r="D173" s="2" t="s">
        <v>124</v>
      </c>
      <c r="E173" s="2" t="s">
        <v>38</v>
      </c>
      <c r="F173" s="2" t="s">
        <v>123</v>
      </c>
      <c r="G173" s="2" t="s">
        <v>134</v>
      </c>
      <c r="H173" s="57" t="str">
        <f>Table1[[#This Row],[Tabela]]&amp;Table1[[#This Row],[Campo]]</f>
        <v>PROPERTY_ENERGY_CERTIFICATENZEB_IND</v>
      </c>
      <c r="I173" s="2" t="s">
        <v>619</v>
      </c>
      <c r="J173" s="43">
        <f>VLOOKUP(Table1[[#This Row],[Status]],Auxiliar!$B$16:$C$24,2,0)</f>
        <v>7</v>
      </c>
      <c r="K173" s="2" t="s">
        <v>1252</v>
      </c>
      <c r="L173" s="29" t="s">
        <v>1250</v>
      </c>
      <c r="M173" s="21" t="s">
        <v>1259</v>
      </c>
      <c r="N173" s="48">
        <v>45618</v>
      </c>
      <c r="O173" s="21">
        <f>INDEX(Auxiliar!$D$5:$F$13,MATCH(Table1[[#This Row],[Tipologia_Testes]],Auxiliar!$B$5:$B$13,0),MATCH(Table1[[#This Row],[Complexidade]],Auxiliar!$D$4:$F$4,0))</f>
        <v>2</v>
      </c>
      <c r="P173" s="2"/>
      <c r="Q173" s="2"/>
      <c r="R173" s="152">
        <v>45616</v>
      </c>
      <c r="S173" s="152"/>
      <c r="T173" s="152"/>
      <c r="U173" s="152"/>
      <c r="V173" s="152"/>
      <c r="W173" s="2">
        <f>VLOOKUP(Table1[[#This Row],[Status]],Auxiliar!$B$16:$D$24,3,0)*Table1[[#This Row],[Estimação (horas)]]</f>
        <v>0.5</v>
      </c>
      <c r="X173" s="2"/>
    </row>
    <row r="174" spans="2:24" ht="17.7" customHeight="1" x14ac:dyDescent="0.25">
      <c r="B174" s="2" t="s">
        <v>26</v>
      </c>
      <c r="C174" s="2" t="s">
        <v>54</v>
      </c>
      <c r="D174" s="2" t="s">
        <v>124</v>
      </c>
      <c r="E174" s="2" t="s">
        <v>38</v>
      </c>
      <c r="F174" s="2" t="s">
        <v>123</v>
      </c>
      <c r="G174" s="2" t="s">
        <v>134</v>
      </c>
      <c r="H174" s="57" t="str">
        <f>Table1[[#This Row],[Tabela]]&amp;Table1[[#This Row],[Campo]]</f>
        <v>PROPERTY_ENERGY_CERTIFICATENZEB_IND</v>
      </c>
      <c r="I174" s="2" t="s">
        <v>619</v>
      </c>
      <c r="J174" s="43">
        <f>VLOOKUP(Table1[[#This Row],[Status]],Auxiliar!$B$16:$C$24,2,0)</f>
        <v>7</v>
      </c>
      <c r="K174" s="2" t="s">
        <v>1253</v>
      </c>
      <c r="L174" s="29" t="s">
        <v>1250</v>
      </c>
      <c r="M174" s="21" t="s">
        <v>1259</v>
      </c>
      <c r="N174" s="48">
        <v>45618</v>
      </c>
      <c r="O174" s="21">
        <f>INDEX(Auxiliar!$D$5:$F$13,MATCH(Table1[[#This Row],[Tipologia_Testes]],Auxiliar!$B$5:$B$13,0),MATCH(Table1[[#This Row],[Complexidade]],Auxiliar!$D$4:$F$4,0))</f>
        <v>2</v>
      </c>
      <c r="P174" s="2"/>
      <c r="Q174" s="2"/>
      <c r="R174" s="152">
        <v>45616</v>
      </c>
      <c r="S174" s="152"/>
      <c r="T174" s="152"/>
      <c r="U174" s="152"/>
      <c r="V174" s="152"/>
      <c r="W174" s="2">
        <f>VLOOKUP(Table1[[#This Row],[Status]],Auxiliar!$B$16:$D$24,3,0)*Table1[[#This Row],[Estimação (horas)]]</f>
        <v>0.5</v>
      </c>
      <c r="X174" s="2"/>
    </row>
    <row r="175" spans="2:24" ht="17.7" customHeight="1" x14ac:dyDescent="0.25">
      <c r="B175" s="2" t="s">
        <v>26</v>
      </c>
      <c r="C175" s="2" t="s">
        <v>54</v>
      </c>
      <c r="D175" s="2" t="s">
        <v>124</v>
      </c>
      <c r="E175" s="2" t="s">
        <v>38</v>
      </c>
      <c r="F175" s="2" t="s">
        <v>123</v>
      </c>
      <c r="G175" s="2" t="s">
        <v>134</v>
      </c>
      <c r="H175" s="57" t="str">
        <f>Table1[[#This Row],[Tabela]]&amp;Table1[[#This Row],[Campo]]</f>
        <v>PROPERTY_ENERGY_CERTIFICATENZEB_IND</v>
      </c>
      <c r="I175" s="2" t="s">
        <v>619</v>
      </c>
      <c r="J175" s="43">
        <f>VLOOKUP(Table1[[#This Row],[Status]],Auxiliar!$B$16:$C$24,2,0)</f>
        <v>7</v>
      </c>
      <c r="K175" s="2" t="s">
        <v>1255</v>
      </c>
      <c r="L175" s="29" t="s">
        <v>1250</v>
      </c>
      <c r="M175" s="21" t="s">
        <v>1259</v>
      </c>
      <c r="N175" s="48">
        <v>45618</v>
      </c>
      <c r="O175" s="21">
        <f>INDEX(Auxiliar!$D$5:$F$13,MATCH(Table1[[#This Row],[Tipologia_Testes]],Auxiliar!$B$5:$B$13,0),MATCH(Table1[[#This Row],[Complexidade]],Auxiliar!$D$4:$F$4,0))</f>
        <v>0.1</v>
      </c>
      <c r="P175" s="2"/>
      <c r="Q175" s="2"/>
      <c r="R175" s="152">
        <v>45616</v>
      </c>
      <c r="S175" s="152"/>
      <c r="T175" s="152"/>
      <c r="U175" s="152"/>
      <c r="V175" s="152"/>
      <c r="W175" s="2">
        <f>VLOOKUP(Table1[[#This Row],[Status]],Auxiliar!$B$16:$D$24,3,0)*Table1[[#This Row],[Estimação (horas)]]</f>
        <v>2.5000000000000001E-2</v>
      </c>
      <c r="X175" s="2"/>
    </row>
    <row r="176" spans="2:24" ht="17.7" customHeight="1" x14ac:dyDescent="0.25">
      <c r="B176" s="2" t="s">
        <v>26</v>
      </c>
      <c r="C176" s="2" t="s">
        <v>54</v>
      </c>
      <c r="D176" s="2" t="s">
        <v>124</v>
      </c>
      <c r="E176" s="2" t="s">
        <v>38</v>
      </c>
      <c r="F176" s="2" t="s">
        <v>123</v>
      </c>
      <c r="G176" s="2" t="s">
        <v>49</v>
      </c>
      <c r="H176" s="57" t="str">
        <f>Table1[[#This Row],[Tabela]]&amp;Table1[[#This Row],[Campo]]</f>
        <v>PROPERTY_ENERGY_CERTIFICATEACTUAL_VALUE_IND</v>
      </c>
      <c r="I176" s="2" t="s">
        <v>619</v>
      </c>
      <c r="J176" s="43">
        <f>VLOOKUP(Table1[[#This Row],[Status]],Auxiliar!$B$16:$C$24,2,0)</f>
        <v>7</v>
      </c>
      <c r="K176" s="2" t="s">
        <v>1252</v>
      </c>
      <c r="L176" s="29" t="s">
        <v>1250</v>
      </c>
      <c r="M176" s="21" t="s">
        <v>1259</v>
      </c>
      <c r="N176" s="48">
        <v>45618</v>
      </c>
      <c r="O176" s="21">
        <f>INDEX(Auxiliar!$D$5:$F$13,MATCH(Table1[[#This Row],[Tipologia_Testes]],Auxiliar!$B$5:$B$13,0),MATCH(Table1[[#This Row],[Complexidade]],Auxiliar!$D$4:$F$4,0))</f>
        <v>2</v>
      </c>
      <c r="P176" s="2"/>
      <c r="Q176" s="2"/>
      <c r="R176" s="152">
        <v>45616</v>
      </c>
      <c r="S176" s="152"/>
      <c r="T176" s="152"/>
      <c r="U176" s="152"/>
      <c r="V176" s="152"/>
      <c r="W176" s="2">
        <f>VLOOKUP(Table1[[#This Row],[Status]],Auxiliar!$B$16:$D$24,3,0)*Table1[[#This Row],[Estimação (horas)]]</f>
        <v>0.5</v>
      </c>
      <c r="X176" s="2"/>
    </row>
    <row r="177" spans="2:24" ht="17.7" customHeight="1" x14ac:dyDescent="0.25">
      <c r="B177" s="2" t="s">
        <v>26</v>
      </c>
      <c r="C177" s="2" t="s">
        <v>54</v>
      </c>
      <c r="D177" s="2" t="s">
        <v>124</v>
      </c>
      <c r="E177" s="2" t="s">
        <v>38</v>
      </c>
      <c r="F177" s="2" t="s">
        <v>123</v>
      </c>
      <c r="G177" s="2" t="s">
        <v>49</v>
      </c>
      <c r="H177" s="57" t="str">
        <f>Table1[[#This Row],[Tabela]]&amp;Table1[[#This Row],[Campo]]</f>
        <v>PROPERTY_ENERGY_CERTIFICATEACTUAL_VALUE_IND</v>
      </c>
      <c r="I177" s="2" t="s">
        <v>619</v>
      </c>
      <c r="J177" s="43">
        <f>VLOOKUP(Table1[[#This Row],[Status]],Auxiliar!$B$16:$C$24,2,0)</f>
        <v>7</v>
      </c>
      <c r="K177" s="2" t="s">
        <v>1253</v>
      </c>
      <c r="L177" s="29" t="s">
        <v>1250</v>
      </c>
      <c r="M177" s="21" t="s">
        <v>1259</v>
      </c>
      <c r="N177" s="48">
        <v>45618</v>
      </c>
      <c r="O177" s="21">
        <f>INDEX(Auxiliar!$D$5:$F$13,MATCH(Table1[[#This Row],[Tipologia_Testes]],Auxiliar!$B$5:$B$13,0),MATCH(Table1[[#This Row],[Complexidade]],Auxiliar!$D$4:$F$4,0))</f>
        <v>2</v>
      </c>
      <c r="P177" s="2"/>
      <c r="Q177" s="2"/>
      <c r="R177" s="152">
        <v>45616</v>
      </c>
      <c r="S177" s="152"/>
      <c r="T177" s="152"/>
      <c r="U177" s="152"/>
      <c r="V177" s="152"/>
      <c r="W177" s="2">
        <f>VLOOKUP(Table1[[#This Row],[Status]],Auxiliar!$B$16:$D$24,3,0)*Table1[[#This Row],[Estimação (horas)]]</f>
        <v>0.5</v>
      </c>
      <c r="X177" s="2"/>
    </row>
    <row r="178" spans="2:24" ht="17.7" customHeight="1" x14ac:dyDescent="0.25">
      <c r="B178" s="2" t="s">
        <v>26</v>
      </c>
      <c r="C178" s="2" t="s">
        <v>54</v>
      </c>
      <c r="D178" s="2" t="s">
        <v>124</v>
      </c>
      <c r="E178" s="2" t="s">
        <v>38</v>
      </c>
      <c r="F178" s="2" t="s">
        <v>123</v>
      </c>
      <c r="G178" s="2" t="s">
        <v>49</v>
      </c>
      <c r="H178" s="57" t="str">
        <f>Table1[[#This Row],[Tabela]]&amp;Table1[[#This Row],[Campo]]</f>
        <v>PROPERTY_ENERGY_CERTIFICATEACTUAL_VALUE_IND</v>
      </c>
      <c r="I178" s="2" t="s">
        <v>619</v>
      </c>
      <c r="J178" s="43">
        <f>VLOOKUP(Table1[[#This Row],[Status]],Auxiliar!$B$16:$C$24,2,0)</f>
        <v>7</v>
      </c>
      <c r="K178" s="2" t="s">
        <v>1255</v>
      </c>
      <c r="L178" s="29" t="s">
        <v>1250</v>
      </c>
      <c r="M178" s="21" t="s">
        <v>1259</v>
      </c>
      <c r="N178" s="48">
        <v>45618</v>
      </c>
      <c r="O178" s="21">
        <f>INDEX(Auxiliar!$D$5:$F$13,MATCH(Table1[[#This Row],[Tipologia_Testes]],Auxiliar!$B$5:$B$13,0),MATCH(Table1[[#This Row],[Complexidade]],Auxiliar!$D$4:$F$4,0))</f>
        <v>0.1</v>
      </c>
      <c r="P178" s="2"/>
      <c r="Q178" s="2"/>
      <c r="R178" s="152">
        <v>45616</v>
      </c>
      <c r="S178" s="152"/>
      <c r="T178" s="152"/>
      <c r="U178" s="152"/>
      <c r="V178" s="152"/>
      <c r="W178" s="2">
        <f>VLOOKUP(Table1[[#This Row],[Status]],Auxiliar!$B$16:$D$24,3,0)*Table1[[#This Row],[Estimação (horas)]]</f>
        <v>2.5000000000000001E-2</v>
      </c>
      <c r="X178" s="2"/>
    </row>
    <row r="179" spans="2:24" ht="17.7" customHeight="1" x14ac:dyDescent="0.25">
      <c r="B179" s="2" t="s">
        <v>26</v>
      </c>
      <c r="C179" s="2" t="s">
        <v>54</v>
      </c>
      <c r="D179" s="2" t="s">
        <v>124</v>
      </c>
      <c r="E179" s="2" t="s">
        <v>38</v>
      </c>
      <c r="F179" s="2" t="s">
        <v>123</v>
      </c>
      <c r="G179" s="2" t="s">
        <v>135</v>
      </c>
      <c r="H179" s="57" t="str">
        <f>Table1[[#This Row],[Tabela]]&amp;Table1[[#This Row],[Campo]]</f>
        <v>PROPERTY_ENERGY_CERTIFICATEEP_SCORE</v>
      </c>
      <c r="I179" s="2" t="s">
        <v>614</v>
      </c>
      <c r="J179" s="43">
        <f>VLOOKUP(Table1[[#This Row],[Status]],Auxiliar!$B$16:$C$24,2,0)</f>
        <v>1</v>
      </c>
      <c r="K179" s="2" t="s">
        <v>1252</v>
      </c>
      <c r="L179" s="29" t="s">
        <v>1250</v>
      </c>
      <c r="M179" s="21" t="s">
        <v>1259</v>
      </c>
      <c r="N179" s="48">
        <v>45485</v>
      </c>
      <c r="O179" s="21">
        <f>INDEX(Auxiliar!$D$5:$F$13,MATCH(Table1[[#This Row],[Tipologia_Testes]],Auxiliar!$B$5:$B$13,0),MATCH(Table1[[#This Row],[Complexidade]],Auxiliar!$D$4:$F$4,0))</f>
        <v>2</v>
      </c>
      <c r="P179" s="2" t="s">
        <v>1276</v>
      </c>
      <c r="Q179" s="2"/>
      <c r="R179" s="152">
        <v>45261</v>
      </c>
      <c r="S179" s="152"/>
      <c r="T179" s="152"/>
      <c r="U179" s="152"/>
      <c r="V179" s="152"/>
      <c r="W179" s="2">
        <f>VLOOKUP(Table1[[#This Row],[Status]],Auxiliar!$B$16:$D$24,3,0)*Table1[[#This Row],[Estimação (horas)]]</f>
        <v>2</v>
      </c>
      <c r="X179" s="2"/>
    </row>
    <row r="180" spans="2:24" ht="17.7" customHeight="1" x14ac:dyDescent="0.25">
      <c r="B180" s="2" t="s">
        <v>26</v>
      </c>
      <c r="C180" s="2" t="s">
        <v>54</v>
      </c>
      <c r="D180" s="2" t="s">
        <v>124</v>
      </c>
      <c r="E180" s="2" t="s">
        <v>38</v>
      </c>
      <c r="F180" s="2" t="s">
        <v>123</v>
      </c>
      <c r="G180" s="2" t="s">
        <v>135</v>
      </c>
      <c r="H180" s="57" t="str">
        <f>Table1[[#This Row],[Tabela]]&amp;Table1[[#This Row],[Campo]]</f>
        <v>PROPERTY_ENERGY_CERTIFICATEEP_SCORE</v>
      </c>
      <c r="I180" s="2" t="s">
        <v>614</v>
      </c>
      <c r="J180" s="43">
        <f>VLOOKUP(Table1[[#This Row],[Status]],Auxiliar!$B$16:$C$24,2,0)</f>
        <v>1</v>
      </c>
      <c r="K180" s="2" t="s">
        <v>1253</v>
      </c>
      <c r="L180" s="29" t="s">
        <v>1250</v>
      </c>
      <c r="M180" s="21" t="s">
        <v>1259</v>
      </c>
      <c r="N180" s="48">
        <v>45485</v>
      </c>
      <c r="O180" s="21">
        <f>INDEX(Auxiliar!$D$5:$F$13,MATCH(Table1[[#This Row],[Tipologia_Testes]],Auxiliar!$B$5:$B$13,0),MATCH(Table1[[#This Row],[Complexidade]],Auxiliar!$D$4:$F$4,0))</f>
        <v>2</v>
      </c>
      <c r="P180" s="2" t="s">
        <v>1276</v>
      </c>
      <c r="Q180" s="2"/>
      <c r="R180" s="152">
        <v>45261</v>
      </c>
      <c r="S180" s="152"/>
      <c r="T180" s="152"/>
      <c r="U180" s="152"/>
      <c r="V180" s="152"/>
      <c r="W180" s="2">
        <f>VLOOKUP(Table1[[#This Row],[Status]],Auxiliar!$B$16:$D$24,3,0)*Table1[[#This Row],[Estimação (horas)]]</f>
        <v>2</v>
      </c>
      <c r="X180" s="2"/>
    </row>
    <row r="181" spans="2:24" ht="17.7" customHeight="1" x14ac:dyDescent="0.25">
      <c r="B181" s="2" t="s">
        <v>26</v>
      </c>
      <c r="C181" s="2" t="s">
        <v>54</v>
      </c>
      <c r="D181" s="2" t="s">
        <v>124</v>
      </c>
      <c r="E181" s="2" t="s">
        <v>38</v>
      </c>
      <c r="F181" s="2" t="s">
        <v>123</v>
      </c>
      <c r="G181" s="2" t="s">
        <v>135</v>
      </c>
      <c r="H181" s="57" t="str">
        <f>Table1[[#This Row],[Tabela]]&amp;Table1[[#This Row],[Campo]]</f>
        <v>PROPERTY_ENERGY_CERTIFICATEEP_SCORE</v>
      </c>
      <c r="I181" s="2" t="s">
        <v>614</v>
      </c>
      <c r="J181" s="43">
        <f>VLOOKUP(Table1[[#This Row],[Status]],Auxiliar!$B$16:$C$24,2,0)</f>
        <v>1</v>
      </c>
      <c r="K181" s="2" t="s">
        <v>1255</v>
      </c>
      <c r="L181" s="29" t="s">
        <v>1250</v>
      </c>
      <c r="M181" s="21" t="s">
        <v>1259</v>
      </c>
      <c r="N181" s="48">
        <v>45485</v>
      </c>
      <c r="O181" s="21">
        <f>INDEX(Auxiliar!$D$5:$F$13,MATCH(Table1[[#This Row],[Tipologia_Testes]],Auxiliar!$B$5:$B$13,0),MATCH(Table1[[#This Row],[Complexidade]],Auxiliar!$D$4:$F$4,0))</f>
        <v>0.1</v>
      </c>
      <c r="P181" s="2" t="s">
        <v>1276</v>
      </c>
      <c r="Q181" s="2"/>
      <c r="R181" s="152">
        <v>45261</v>
      </c>
      <c r="S181" s="152"/>
      <c r="T181" s="152"/>
      <c r="U181" s="152"/>
      <c r="V181" s="152"/>
      <c r="W181" s="2">
        <f>VLOOKUP(Table1[[#This Row],[Status]],Auxiliar!$B$16:$D$24,3,0)*Table1[[#This Row],[Estimação (horas)]]</f>
        <v>0.1</v>
      </c>
      <c r="X181" s="2"/>
    </row>
    <row r="182" spans="2:24" ht="17.7" customHeight="1" x14ac:dyDescent="0.25">
      <c r="B182" s="2" t="s">
        <v>26</v>
      </c>
      <c r="C182" s="2" t="s">
        <v>54</v>
      </c>
      <c r="D182" s="2" t="s">
        <v>124</v>
      </c>
      <c r="E182" s="2" t="s">
        <v>38</v>
      </c>
      <c r="F182" s="2" t="s">
        <v>123</v>
      </c>
      <c r="G182" s="2" t="s">
        <v>87</v>
      </c>
      <c r="H182" s="57" t="str">
        <f>Table1[[#This Row],[Tabela]]&amp;Table1[[#This Row],[Campo]]</f>
        <v>PROPERTY_ENERGY_CERTIFICATESOURCE_CODE</v>
      </c>
      <c r="I182" s="2" t="s">
        <v>619</v>
      </c>
      <c r="J182" s="43">
        <f>VLOOKUP(Table1[[#This Row],[Status]],Auxiliar!$B$16:$C$24,2,0)</f>
        <v>7</v>
      </c>
      <c r="K182" s="2" t="s">
        <v>1252</v>
      </c>
      <c r="L182" s="29" t="s">
        <v>1250</v>
      </c>
      <c r="M182" s="21" t="s">
        <v>1259</v>
      </c>
      <c r="N182" s="48">
        <v>45618</v>
      </c>
      <c r="O182" s="21">
        <f>INDEX(Auxiliar!$D$5:$F$13,MATCH(Table1[[#This Row],[Tipologia_Testes]],Auxiliar!$B$5:$B$13,0),MATCH(Table1[[#This Row],[Complexidade]],Auxiliar!$D$4:$F$4,0))</f>
        <v>2</v>
      </c>
      <c r="P182" s="2"/>
      <c r="Q182" s="2"/>
      <c r="R182" s="152">
        <v>45616</v>
      </c>
      <c r="S182" s="152"/>
      <c r="T182" s="152"/>
      <c r="U182" s="152"/>
      <c r="V182" s="152"/>
      <c r="W182" s="2">
        <f>VLOOKUP(Table1[[#This Row],[Status]],Auxiliar!$B$16:$D$24,3,0)*Table1[[#This Row],[Estimação (horas)]]</f>
        <v>0.5</v>
      </c>
      <c r="X182" s="2"/>
    </row>
    <row r="183" spans="2:24" ht="17.7" customHeight="1" x14ac:dyDescent="0.25">
      <c r="B183" s="2" t="s">
        <v>26</v>
      </c>
      <c r="C183" s="2" t="s">
        <v>54</v>
      </c>
      <c r="D183" s="2" t="s">
        <v>124</v>
      </c>
      <c r="E183" s="2" t="s">
        <v>38</v>
      </c>
      <c r="F183" s="2" t="s">
        <v>123</v>
      </c>
      <c r="G183" s="2" t="s">
        <v>87</v>
      </c>
      <c r="H183" s="57" t="str">
        <f>Table1[[#This Row],[Tabela]]&amp;Table1[[#This Row],[Campo]]</f>
        <v>PROPERTY_ENERGY_CERTIFICATESOURCE_CODE</v>
      </c>
      <c r="I183" s="2" t="s">
        <v>619</v>
      </c>
      <c r="J183" s="43">
        <f>VLOOKUP(Table1[[#This Row],[Status]],Auxiliar!$B$16:$C$24,2,0)</f>
        <v>7</v>
      </c>
      <c r="K183" s="2" t="s">
        <v>1253</v>
      </c>
      <c r="L183" s="29" t="s">
        <v>1250</v>
      </c>
      <c r="M183" s="21" t="s">
        <v>1259</v>
      </c>
      <c r="N183" s="48">
        <v>45618</v>
      </c>
      <c r="O183" s="21">
        <f>INDEX(Auxiliar!$D$5:$F$13,MATCH(Table1[[#This Row],[Tipologia_Testes]],Auxiliar!$B$5:$B$13,0),MATCH(Table1[[#This Row],[Complexidade]],Auxiliar!$D$4:$F$4,0))</f>
        <v>2</v>
      </c>
      <c r="P183" s="2"/>
      <c r="Q183" s="2"/>
      <c r="R183" s="152">
        <v>45616</v>
      </c>
      <c r="S183" s="152"/>
      <c r="T183" s="152"/>
      <c r="U183" s="152"/>
      <c r="V183" s="152"/>
      <c r="W183" s="2">
        <f>VLOOKUP(Table1[[#This Row],[Status]],Auxiliar!$B$16:$D$24,3,0)*Table1[[#This Row],[Estimação (horas)]]</f>
        <v>0.5</v>
      </c>
      <c r="X183" s="2"/>
    </row>
    <row r="184" spans="2:24" ht="17.7" customHeight="1" x14ac:dyDescent="0.25">
      <c r="B184" s="2" t="s">
        <v>26</v>
      </c>
      <c r="C184" s="2" t="s">
        <v>54</v>
      </c>
      <c r="D184" s="2" t="s">
        <v>124</v>
      </c>
      <c r="E184" s="2" t="s">
        <v>38</v>
      </c>
      <c r="F184" s="2" t="s">
        <v>123</v>
      </c>
      <c r="G184" s="2" t="s">
        <v>87</v>
      </c>
      <c r="H184" s="57" t="str">
        <f>Table1[[#This Row],[Tabela]]&amp;Table1[[#This Row],[Campo]]</f>
        <v>PROPERTY_ENERGY_CERTIFICATESOURCE_CODE</v>
      </c>
      <c r="I184" s="2" t="s">
        <v>619</v>
      </c>
      <c r="J184" s="43">
        <f>VLOOKUP(Table1[[#This Row],[Status]],Auxiliar!$B$16:$C$24,2,0)</f>
        <v>7</v>
      </c>
      <c r="K184" s="2" t="s">
        <v>1255</v>
      </c>
      <c r="L184" s="29" t="s">
        <v>1250</v>
      </c>
      <c r="M184" s="21" t="s">
        <v>1259</v>
      </c>
      <c r="N184" s="48">
        <v>45618</v>
      </c>
      <c r="O184" s="21">
        <f>INDEX(Auxiliar!$D$5:$F$13,MATCH(Table1[[#This Row],[Tipologia_Testes]],Auxiliar!$B$5:$B$13,0),MATCH(Table1[[#This Row],[Complexidade]],Auxiliar!$D$4:$F$4,0))</f>
        <v>0.1</v>
      </c>
      <c r="P184" s="2"/>
      <c r="Q184" s="2"/>
      <c r="R184" s="152">
        <v>45616</v>
      </c>
      <c r="S184" s="152"/>
      <c r="T184" s="152"/>
      <c r="U184" s="152"/>
      <c r="V184" s="152"/>
      <c r="W184" s="2">
        <f>VLOOKUP(Table1[[#This Row],[Status]],Auxiliar!$B$16:$D$24,3,0)*Table1[[#This Row],[Estimação (horas)]]</f>
        <v>2.5000000000000001E-2</v>
      </c>
      <c r="X184" s="2"/>
    </row>
    <row r="185" spans="2:24" ht="17.7" customHeight="1" x14ac:dyDescent="0.25">
      <c r="B185" s="2" t="s">
        <v>26</v>
      </c>
      <c r="C185" s="2" t="s">
        <v>54</v>
      </c>
      <c r="D185" s="2" t="s">
        <v>124</v>
      </c>
      <c r="E185" s="2" t="s">
        <v>38</v>
      </c>
      <c r="F185" s="2" t="s">
        <v>123</v>
      </c>
      <c r="G185" s="2" t="s">
        <v>73</v>
      </c>
      <c r="H185" s="57" t="str">
        <f>Table1[[#This Row],[Tabela]]&amp;Table1[[#This Row],[Campo]]</f>
        <v>PROPERTY_ENERGY_CERTIFICATEDATA_DATE_PART</v>
      </c>
      <c r="I185" s="2" t="s">
        <v>614</v>
      </c>
      <c r="J185" s="43">
        <f>VLOOKUP(Table1[[#This Row],[Status]],Auxiliar!$B$16:$C$24,2,0)</f>
        <v>1</v>
      </c>
      <c r="K185" s="2" t="s">
        <v>1252</v>
      </c>
      <c r="L185" s="29" t="s">
        <v>1250</v>
      </c>
      <c r="M185" s="21" t="s">
        <v>1259</v>
      </c>
      <c r="N185" s="48">
        <v>45485</v>
      </c>
      <c r="O185" s="21">
        <f>INDEX(Auxiliar!$D$5:$F$13,MATCH(Table1[[#This Row],[Tipologia_Testes]],Auxiliar!$B$5:$B$13,0),MATCH(Table1[[#This Row],[Complexidade]],Auxiliar!$D$4:$F$4,0))</f>
        <v>2</v>
      </c>
      <c r="P185" s="2" t="s">
        <v>1276</v>
      </c>
      <c r="Q185" s="2"/>
      <c r="R185" s="152">
        <v>45261</v>
      </c>
      <c r="S185" s="152"/>
      <c r="T185" s="152"/>
      <c r="U185" s="152"/>
      <c r="V185" s="152"/>
      <c r="W185" s="2">
        <f>VLOOKUP(Table1[[#This Row],[Status]],Auxiliar!$B$16:$D$24,3,0)*Table1[[#This Row],[Estimação (horas)]]</f>
        <v>2</v>
      </c>
      <c r="X185" s="2"/>
    </row>
    <row r="186" spans="2:24" ht="17.7" customHeight="1" x14ac:dyDescent="0.25">
      <c r="B186" s="2" t="s">
        <v>26</v>
      </c>
      <c r="C186" s="2" t="s">
        <v>54</v>
      </c>
      <c r="D186" s="2" t="s">
        <v>124</v>
      </c>
      <c r="E186" s="2" t="s">
        <v>38</v>
      </c>
      <c r="F186" s="2" t="s">
        <v>123</v>
      </c>
      <c r="G186" s="2" t="s">
        <v>73</v>
      </c>
      <c r="H186" s="57" t="str">
        <f>Table1[[#This Row],[Tabela]]&amp;Table1[[#This Row],[Campo]]</f>
        <v>PROPERTY_ENERGY_CERTIFICATEDATA_DATE_PART</v>
      </c>
      <c r="I186" s="2" t="s">
        <v>614</v>
      </c>
      <c r="J186" s="43">
        <f>VLOOKUP(Table1[[#This Row],[Status]],Auxiliar!$B$16:$C$24,2,0)</f>
        <v>1</v>
      </c>
      <c r="K186" s="2" t="s">
        <v>1253</v>
      </c>
      <c r="L186" s="29" t="s">
        <v>1250</v>
      </c>
      <c r="M186" s="21" t="s">
        <v>1259</v>
      </c>
      <c r="N186" s="48">
        <v>45485</v>
      </c>
      <c r="O186" s="21">
        <f>INDEX(Auxiliar!$D$5:$F$13,MATCH(Table1[[#This Row],[Tipologia_Testes]],Auxiliar!$B$5:$B$13,0),MATCH(Table1[[#This Row],[Complexidade]],Auxiliar!$D$4:$F$4,0))</f>
        <v>2</v>
      </c>
      <c r="P186" s="2" t="s">
        <v>1276</v>
      </c>
      <c r="Q186" s="2"/>
      <c r="R186" s="152">
        <v>45261</v>
      </c>
      <c r="S186" s="152"/>
      <c r="T186" s="152"/>
      <c r="U186" s="152"/>
      <c r="V186" s="152"/>
      <c r="W186" s="2">
        <f>VLOOKUP(Table1[[#This Row],[Status]],Auxiliar!$B$16:$D$24,3,0)*Table1[[#This Row],[Estimação (horas)]]</f>
        <v>2</v>
      </c>
      <c r="X186" s="2"/>
    </row>
    <row r="187" spans="2:24" ht="17.7" customHeight="1" x14ac:dyDescent="0.25">
      <c r="B187" s="2" t="s">
        <v>26</v>
      </c>
      <c r="C187" s="2" t="s">
        <v>54</v>
      </c>
      <c r="D187" s="2" t="s">
        <v>124</v>
      </c>
      <c r="E187" s="2" t="s">
        <v>38</v>
      </c>
      <c r="F187" s="2" t="s">
        <v>123</v>
      </c>
      <c r="G187" s="2" t="s">
        <v>73</v>
      </c>
      <c r="H187" s="57" t="str">
        <f>Table1[[#This Row],[Tabela]]&amp;Table1[[#This Row],[Campo]]</f>
        <v>PROPERTY_ENERGY_CERTIFICATEDATA_DATE_PART</v>
      </c>
      <c r="I187" s="2" t="s">
        <v>614</v>
      </c>
      <c r="J187" s="43">
        <f>VLOOKUP(Table1[[#This Row],[Status]],Auxiliar!$B$16:$C$24,2,0)</f>
        <v>1</v>
      </c>
      <c r="K187" s="2" t="s">
        <v>1255</v>
      </c>
      <c r="L187" s="29" t="s">
        <v>1250</v>
      </c>
      <c r="M187" s="21" t="s">
        <v>1259</v>
      </c>
      <c r="N187" s="48">
        <v>45485</v>
      </c>
      <c r="O187" s="21">
        <f>INDEX(Auxiliar!$D$5:$F$13,MATCH(Table1[[#This Row],[Tipologia_Testes]],Auxiliar!$B$5:$B$13,0),MATCH(Table1[[#This Row],[Complexidade]],Auxiliar!$D$4:$F$4,0))</f>
        <v>0.1</v>
      </c>
      <c r="P187" s="2" t="s">
        <v>1276</v>
      </c>
      <c r="Q187" s="2"/>
      <c r="R187" s="152">
        <v>45261</v>
      </c>
      <c r="S187" s="152"/>
      <c r="T187" s="152"/>
      <c r="U187" s="152"/>
      <c r="V187" s="152"/>
      <c r="W187" s="2">
        <f>VLOOKUP(Table1[[#This Row],[Status]],Auxiliar!$B$16:$D$24,3,0)*Table1[[#This Row],[Estimação (horas)]]</f>
        <v>0.1</v>
      </c>
      <c r="X187" s="2"/>
    </row>
    <row r="188" spans="2:24" ht="17.7" customHeight="1" x14ac:dyDescent="0.25">
      <c r="B188" s="2" t="s">
        <v>26</v>
      </c>
      <c r="C188" s="2" t="s">
        <v>54</v>
      </c>
      <c r="D188" s="2" t="s">
        <v>124</v>
      </c>
      <c r="E188" s="2" t="s">
        <v>38</v>
      </c>
      <c r="F188" s="2" t="s">
        <v>123</v>
      </c>
      <c r="G188" s="2" t="s">
        <v>136</v>
      </c>
      <c r="H188" s="57" t="str">
        <f>Table1[[#This Row],[Tabela]]&amp;Table1[[#This Row],[Campo]]</f>
        <v>PROPERTY_ENERGY_CERTIFICATECERTIFICATE_TYPE</v>
      </c>
      <c r="I188" s="2" t="s">
        <v>619</v>
      </c>
      <c r="J188" s="43">
        <f>VLOOKUP(Table1[[#This Row],[Status]],Auxiliar!$B$16:$C$24,2,0)</f>
        <v>7</v>
      </c>
      <c r="K188" s="2" t="s">
        <v>1252</v>
      </c>
      <c r="L188" s="29" t="s">
        <v>1250</v>
      </c>
      <c r="M188" s="21" t="s">
        <v>1259</v>
      </c>
      <c r="N188" s="48">
        <v>45618</v>
      </c>
      <c r="O188" s="21">
        <f>INDEX(Auxiliar!$D$5:$F$13,MATCH(Table1[[#This Row],[Tipologia_Testes]],Auxiliar!$B$5:$B$13,0),MATCH(Table1[[#This Row],[Complexidade]],Auxiliar!$D$4:$F$4,0))</f>
        <v>2</v>
      </c>
      <c r="P188" s="2"/>
      <c r="Q188" s="2"/>
      <c r="R188" s="152">
        <v>45616</v>
      </c>
      <c r="S188" s="152"/>
      <c r="T188" s="152"/>
      <c r="U188" s="152"/>
      <c r="V188" s="152"/>
      <c r="W188" s="2">
        <f>VLOOKUP(Table1[[#This Row],[Status]],Auxiliar!$B$16:$D$24,3,0)*Table1[[#This Row],[Estimação (horas)]]</f>
        <v>0.5</v>
      </c>
      <c r="X188" s="2"/>
    </row>
    <row r="189" spans="2:24" ht="17.7" customHeight="1" x14ac:dyDescent="0.25">
      <c r="B189" s="2" t="s">
        <v>26</v>
      </c>
      <c r="C189" s="2" t="s">
        <v>54</v>
      </c>
      <c r="D189" s="2" t="s">
        <v>124</v>
      </c>
      <c r="E189" s="2" t="s">
        <v>38</v>
      </c>
      <c r="F189" s="2" t="s">
        <v>123</v>
      </c>
      <c r="G189" s="2" t="s">
        <v>136</v>
      </c>
      <c r="H189" s="57" t="str">
        <f>Table1[[#This Row],[Tabela]]&amp;Table1[[#This Row],[Campo]]</f>
        <v>PROPERTY_ENERGY_CERTIFICATECERTIFICATE_TYPE</v>
      </c>
      <c r="I189" s="2" t="s">
        <v>619</v>
      </c>
      <c r="J189" s="43">
        <f>VLOOKUP(Table1[[#This Row],[Status]],Auxiliar!$B$16:$C$24,2,0)</f>
        <v>7</v>
      </c>
      <c r="K189" s="2" t="s">
        <v>1253</v>
      </c>
      <c r="L189" s="29" t="s">
        <v>1250</v>
      </c>
      <c r="M189" s="21" t="s">
        <v>1259</v>
      </c>
      <c r="N189" s="48">
        <v>45618</v>
      </c>
      <c r="O189" s="21">
        <f>INDEX(Auxiliar!$D$5:$F$13,MATCH(Table1[[#This Row],[Tipologia_Testes]],Auxiliar!$B$5:$B$13,0),MATCH(Table1[[#This Row],[Complexidade]],Auxiliar!$D$4:$F$4,0))</f>
        <v>2</v>
      </c>
      <c r="P189" s="2"/>
      <c r="Q189" s="2"/>
      <c r="R189" s="152">
        <v>45616</v>
      </c>
      <c r="S189" s="152"/>
      <c r="T189" s="152"/>
      <c r="U189" s="152"/>
      <c r="V189" s="152"/>
      <c r="W189" s="2">
        <f>VLOOKUP(Table1[[#This Row],[Status]],Auxiliar!$B$16:$D$24,3,0)*Table1[[#This Row],[Estimação (horas)]]</f>
        <v>0.5</v>
      </c>
      <c r="X189" s="2"/>
    </row>
    <row r="190" spans="2:24" ht="17.7" customHeight="1" x14ac:dyDescent="0.25">
      <c r="B190" s="2" t="s">
        <v>26</v>
      </c>
      <c r="C190" s="2" t="s">
        <v>54</v>
      </c>
      <c r="D190" s="2" t="s">
        <v>124</v>
      </c>
      <c r="E190" s="2" t="s">
        <v>38</v>
      </c>
      <c r="F190" s="2" t="s">
        <v>123</v>
      </c>
      <c r="G190" s="2" t="s">
        <v>136</v>
      </c>
      <c r="H190" s="57" t="str">
        <f>Table1[[#This Row],[Tabela]]&amp;Table1[[#This Row],[Campo]]</f>
        <v>PROPERTY_ENERGY_CERTIFICATECERTIFICATE_TYPE</v>
      </c>
      <c r="I190" s="2" t="s">
        <v>619</v>
      </c>
      <c r="J190" s="43">
        <f>VLOOKUP(Table1[[#This Row],[Status]],Auxiliar!$B$16:$C$24,2,0)</f>
        <v>7</v>
      </c>
      <c r="K190" s="2" t="s">
        <v>1255</v>
      </c>
      <c r="L190" s="29" t="s">
        <v>1250</v>
      </c>
      <c r="M190" s="21" t="s">
        <v>1259</v>
      </c>
      <c r="N190" s="48">
        <v>45618</v>
      </c>
      <c r="O190" s="21">
        <f>INDEX(Auxiliar!$D$5:$F$13,MATCH(Table1[[#This Row],[Tipologia_Testes]],Auxiliar!$B$5:$B$13,0),MATCH(Table1[[#This Row],[Complexidade]],Auxiliar!$D$4:$F$4,0))</f>
        <v>0.1</v>
      </c>
      <c r="P190" s="2"/>
      <c r="Q190" s="2"/>
      <c r="R190" s="152">
        <v>45616</v>
      </c>
      <c r="S190" s="152"/>
      <c r="T190" s="152"/>
      <c r="U190" s="152"/>
      <c r="V190" s="152"/>
      <c r="W190" s="2">
        <f>VLOOKUP(Table1[[#This Row],[Status]],Auxiliar!$B$16:$D$24,3,0)*Table1[[#This Row],[Estimação (horas)]]</f>
        <v>2.5000000000000001E-2</v>
      </c>
      <c r="X190" s="2"/>
    </row>
    <row r="191" spans="2:24" ht="17.7" customHeight="1" x14ac:dyDescent="0.25">
      <c r="B191" s="2" t="s">
        <v>26</v>
      </c>
      <c r="C191" s="2" t="s">
        <v>54</v>
      </c>
      <c r="D191" s="2" t="s">
        <v>124</v>
      </c>
      <c r="E191" s="2" t="s">
        <v>38</v>
      </c>
      <c r="F191" s="2" t="s">
        <v>123</v>
      </c>
      <c r="G191" s="2" t="s">
        <v>137</v>
      </c>
      <c r="H191" s="57" t="str">
        <f>Table1[[#This Row],[Tabela]]&amp;Table1[[#This Row],[Campo]]</f>
        <v>PROPERTY_ENERGY_CERTIFICATEBUILDING_DOMEST_HOTWATER_VALUE</v>
      </c>
      <c r="I191" s="2" t="s">
        <v>614</v>
      </c>
      <c r="J191" s="43">
        <f>VLOOKUP(Table1[[#This Row],[Status]],Auxiliar!$B$16:$C$24,2,0)</f>
        <v>1</v>
      </c>
      <c r="K191" s="2" t="s">
        <v>1252</v>
      </c>
      <c r="L191" s="29" t="s">
        <v>1250</v>
      </c>
      <c r="M191" s="21" t="s">
        <v>1259</v>
      </c>
      <c r="N191" s="48">
        <v>45485</v>
      </c>
      <c r="O191" s="21">
        <f>INDEX(Auxiliar!$D$5:$F$13,MATCH(Table1[[#This Row],[Tipologia_Testes]],Auxiliar!$B$5:$B$13,0),MATCH(Table1[[#This Row],[Complexidade]],Auxiliar!$D$4:$F$4,0))</f>
        <v>2</v>
      </c>
      <c r="P191" s="2" t="s">
        <v>1276</v>
      </c>
      <c r="Q191" s="2"/>
      <c r="R191" s="152">
        <v>45261</v>
      </c>
      <c r="S191" s="152"/>
      <c r="T191" s="152"/>
      <c r="U191" s="152"/>
      <c r="V191" s="152"/>
      <c r="W191" s="2">
        <f>VLOOKUP(Table1[[#This Row],[Status]],Auxiliar!$B$16:$D$24,3,0)*Table1[[#This Row],[Estimação (horas)]]</f>
        <v>2</v>
      </c>
      <c r="X191" s="2"/>
    </row>
    <row r="192" spans="2:24" ht="17.7" customHeight="1" x14ac:dyDescent="0.25">
      <c r="B192" s="2" t="s">
        <v>26</v>
      </c>
      <c r="C192" s="2" t="s">
        <v>54</v>
      </c>
      <c r="D192" s="2" t="s">
        <v>124</v>
      </c>
      <c r="E192" s="2" t="s">
        <v>38</v>
      </c>
      <c r="F192" s="2" t="s">
        <v>123</v>
      </c>
      <c r="G192" s="2" t="s">
        <v>137</v>
      </c>
      <c r="H192" s="57" t="str">
        <f>Table1[[#This Row],[Tabela]]&amp;Table1[[#This Row],[Campo]]</f>
        <v>PROPERTY_ENERGY_CERTIFICATEBUILDING_DOMEST_HOTWATER_VALUE</v>
      </c>
      <c r="I192" s="2" t="s">
        <v>614</v>
      </c>
      <c r="J192" s="43">
        <f>VLOOKUP(Table1[[#This Row],[Status]],Auxiliar!$B$16:$C$24,2,0)</f>
        <v>1</v>
      </c>
      <c r="K192" s="2" t="s">
        <v>1253</v>
      </c>
      <c r="L192" s="29" t="s">
        <v>1250</v>
      </c>
      <c r="M192" s="21" t="s">
        <v>1259</v>
      </c>
      <c r="N192" s="48">
        <v>45485</v>
      </c>
      <c r="O192" s="21">
        <f>INDEX(Auxiliar!$D$5:$F$13,MATCH(Table1[[#This Row],[Tipologia_Testes]],Auxiliar!$B$5:$B$13,0),MATCH(Table1[[#This Row],[Complexidade]],Auxiliar!$D$4:$F$4,0))</f>
        <v>2</v>
      </c>
      <c r="P192" s="2" t="s">
        <v>1276</v>
      </c>
      <c r="Q192" s="2"/>
      <c r="R192" s="152">
        <v>45261</v>
      </c>
      <c r="S192" s="152"/>
      <c r="T192" s="152"/>
      <c r="U192" s="152"/>
      <c r="V192" s="152"/>
      <c r="W192" s="2">
        <f>VLOOKUP(Table1[[#This Row],[Status]],Auxiliar!$B$16:$D$24,3,0)*Table1[[#This Row],[Estimação (horas)]]</f>
        <v>2</v>
      </c>
      <c r="X192" s="2"/>
    </row>
    <row r="193" spans="2:24" ht="17.7" customHeight="1" x14ac:dyDescent="0.25">
      <c r="B193" s="2" t="s">
        <v>26</v>
      </c>
      <c r="C193" s="2" t="s">
        <v>54</v>
      </c>
      <c r="D193" s="2" t="s">
        <v>124</v>
      </c>
      <c r="E193" s="2" t="s">
        <v>38</v>
      </c>
      <c r="F193" s="2" t="s">
        <v>123</v>
      </c>
      <c r="G193" s="2" t="s">
        <v>137</v>
      </c>
      <c r="H193" s="57" t="str">
        <f>Table1[[#This Row],[Tabela]]&amp;Table1[[#This Row],[Campo]]</f>
        <v>PROPERTY_ENERGY_CERTIFICATEBUILDING_DOMEST_HOTWATER_VALUE</v>
      </c>
      <c r="I193" s="2" t="s">
        <v>614</v>
      </c>
      <c r="J193" s="43">
        <f>VLOOKUP(Table1[[#This Row],[Status]],Auxiliar!$B$16:$C$24,2,0)</f>
        <v>1</v>
      </c>
      <c r="K193" s="2" t="s">
        <v>1255</v>
      </c>
      <c r="L193" s="29" t="s">
        <v>1250</v>
      </c>
      <c r="M193" s="21" t="s">
        <v>1259</v>
      </c>
      <c r="N193" s="48">
        <v>45485</v>
      </c>
      <c r="O193" s="21">
        <f>INDEX(Auxiliar!$D$5:$F$13,MATCH(Table1[[#This Row],[Tipologia_Testes]],Auxiliar!$B$5:$B$13,0),MATCH(Table1[[#This Row],[Complexidade]],Auxiliar!$D$4:$F$4,0))</f>
        <v>0.1</v>
      </c>
      <c r="P193" s="2" t="s">
        <v>1276</v>
      </c>
      <c r="Q193" s="2"/>
      <c r="R193" s="152">
        <v>45261</v>
      </c>
      <c r="S193" s="152"/>
      <c r="T193" s="152"/>
      <c r="U193" s="152"/>
      <c r="V193" s="152"/>
      <c r="W193" s="2">
        <f>VLOOKUP(Table1[[#This Row],[Status]],Auxiliar!$B$16:$D$24,3,0)*Table1[[#This Row],[Estimação (horas)]]</f>
        <v>0.1</v>
      </c>
      <c r="X193" s="2"/>
    </row>
    <row r="194" spans="2:24" ht="17.7" customHeight="1" x14ac:dyDescent="0.25">
      <c r="B194" s="2" t="s">
        <v>26</v>
      </c>
      <c r="C194" s="2" t="s">
        <v>54</v>
      </c>
      <c r="D194" s="2" t="s">
        <v>124</v>
      </c>
      <c r="E194" s="2" t="s">
        <v>38</v>
      </c>
      <c r="F194" s="2" t="s">
        <v>123</v>
      </c>
      <c r="G194" s="2" t="s">
        <v>138</v>
      </c>
      <c r="H194" s="57" t="str">
        <f>Table1[[#This Row],[Tabela]]&amp;Table1[[#This Row],[Campo]]</f>
        <v>PROPERTY_ENERGY_CERTIFICATERENEWABLE_DOMEST_HOTWATER_VALUE</v>
      </c>
      <c r="I194" s="2" t="s">
        <v>614</v>
      </c>
      <c r="J194" s="43">
        <f>VLOOKUP(Table1[[#This Row],[Status]],Auxiliar!$B$16:$C$24,2,0)</f>
        <v>1</v>
      </c>
      <c r="K194" s="2" t="s">
        <v>1252</v>
      </c>
      <c r="L194" s="29" t="s">
        <v>1250</v>
      </c>
      <c r="M194" s="21" t="s">
        <v>1259</v>
      </c>
      <c r="N194" s="48">
        <v>45485</v>
      </c>
      <c r="O194" s="21">
        <f>INDEX(Auxiliar!$D$5:$F$13,MATCH(Table1[[#This Row],[Tipologia_Testes]],Auxiliar!$B$5:$B$13,0),MATCH(Table1[[#This Row],[Complexidade]],Auxiliar!$D$4:$F$4,0))</f>
        <v>2</v>
      </c>
      <c r="P194" s="2" t="s">
        <v>1276</v>
      </c>
      <c r="Q194" s="2"/>
      <c r="R194" s="152">
        <v>45261</v>
      </c>
      <c r="S194" s="152"/>
      <c r="T194" s="152"/>
      <c r="U194" s="152"/>
      <c r="V194" s="152"/>
      <c r="W194" s="2">
        <f>VLOOKUP(Table1[[#This Row],[Status]],Auxiliar!$B$16:$D$24,3,0)*Table1[[#This Row],[Estimação (horas)]]</f>
        <v>2</v>
      </c>
      <c r="X194" s="2"/>
    </row>
    <row r="195" spans="2:24" ht="17.7" customHeight="1" x14ac:dyDescent="0.25">
      <c r="B195" s="2" t="s">
        <v>26</v>
      </c>
      <c r="C195" s="2" t="s">
        <v>54</v>
      </c>
      <c r="D195" s="2" t="s">
        <v>124</v>
      </c>
      <c r="E195" s="2" t="s">
        <v>38</v>
      </c>
      <c r="F195" s="2" t="s">
        <v>123</v>
      </c>
      <c r="G195" s="2" t="s">
        <v>138</v>
      </c>
      <c r="H195" s="57" t="str">
        <f>Table1[[#This Row],[Tabela]]&amp;Table1[[#This Row],[Campo]]</f>
        <v>PROPERTY_ENERGY_CERTIFICATERENEWABLE_DOMEST_HOTWATER_VALUE</v>
      </c>
      <c r="I195" s="2" t="s">
        <v>614</v>
      </c>
      <c r="J195" s="43">
        <f>VLOOKUP(Table1[[#This Row],[Status]],Auxiliar!$B$16:$C$24,2,0)</f>
        <v>1</v>
      </c>
      <c r="K195" s="2" t="s">
        <v>1253</v>
      </c>
      <c r="L195" s="29" t="s">
        <v>1250</v>
      </c>
      <c r="M195" s="21" t="s">
        <v>1259</v>
      </c>
      <c r="N195" s="48">
        <v>45485</v>
      </c>
      <c r="O195" s="21">
        <f>INDEX(Auxiliar!$D$5:$F$13,MATCH(Table1[[#This Row],[Tipologia_Testes]],Auxiliar!$B$5:$B$13,0),MATCH(Table1[[#This Row],[Complexidade]],Auxiliar!$D$4:$F$4,0))</f>
        <v>2</v>
      </c>
      <c r="P195" s="2" t="s">
        <v>1276</v>
      </c>
      <c r="Q195" s="2"/>
      <c r="R195" s="152">
        <v>45261</v>
      </c>
      <c r="S195" s="152"/>
      <c r="T195" s="152"/>
      <c r="U195" s="152"/>
      <c r="V195" s="152"/>
      <c r="W195" s="2">
        <f>VLOOKUP(Table1[[#This Row],[Status]],Auxiliar!$B$16:$D$24,3,0)*Table1[[#This Row],[Estimação (horas)]]</f>
        <v>2</v>
      </c>
      <c r="X195" s="2"/>
    </row>
    <row r="196" spans="2:24" ht="17.7" customHeight="1" x14ac:dyDescent="0.25">
      <c r="B196" s="2" t="s">
        <v>26</v>
      </c>
      <c r="C196" s="2" t="s">
        <v>54</v>
      </c>
      <c r="D196" s="2" t="s">
        <v>124</v>
      </c>
      <c r="E196" s="2" t="s">
        <v>38</v>
      </c>
      <c r="F196" s="2" t="s">
        <v>123</v>
      </c>
      <c r="G196" s="2" t="s">
        <v>138</v>
      </c>
      <c r="H196" s="57" t="str">
        <f>Table1[[#This Row],[Tabela]]&amp;Table1[[#This Row],[Campo]]</f>
        <v>PROPERTY_ENERGY_CERTIFICATERENEWABLE_DOMEST_HOTWATER_VALUE</v>
      </c>
      <c r="I196" s="2" t="s">
        <v>614</v>
      </c>
      <c r="J196" s="43">
        <f>VLOOKUP(Table1[[#This Row],[Status]],Auxiliar!$B$16:$C$24,2,0)</f>
        <v>1</v>
      </c>
      <c r="K196" s="2" t="s">
        <v>1255</v>
      </c>
      <c r="L196" s="29" t="s">
        <v>1250</v>
      </c>
      <c r="M196" s="21" t="s">
        <v>1259</v>
      </c>
      <c r="N196" s="48">
        <v>45485</v>
      </c>
      <c r="O196" s="21">
        <f>INDEX(Auxiliar!$D$5:$F$13,MATCH(Table1[[#This Row],[Tipologia_Testes]],Auxiliar!$B$5:$B$13,0),MATCH(Table1[[#This Row],[Complexidade]],Auxiliar!$D$4:$F$4,0))</f>
        <v>0.1</v>
      </c>
      <c r="P196" s="2" t="s">
        <v>1276</v>
      </c>
      <c r="Q196" s="2"/>
      <c r="R196" s="152">
        <v>45261</v>
      </c>
      <c r="S196" s="152"/>
      <c r="T196" s="152"/>
      <c r="U196" s="152"/>
      <c r="V196" s="152"/>
      <c r="W196" s="2">
        <f>VLOOKUP(Table1[[#This Row],[Status]],Auxiliar!$B$16:$D$24,3,0)*Table1[[#This Row],[Estimação (horas)]]</f>
        <v>0.1</v>
      </c>
      <c r="X196" s="2"/>
    </row>
    <row r="197" spans="2:24" ht="17.7" customHeight="1" x14ac:dyDescent="0.25">
      <c r="B197" s="2" t="s">
        <v>26</v>
      </c>
      <c r="C197" s="2" t="s">
        <v>54</v>
      </c>
      <c r="D197" s="2" t="s">
        <v>124</v>
      </c>
      <c r="E197" s="2" t="s">
        <v>38</v>
      </c>
      <c r="F197" s="2" t="s">
        <v>123</v>
      </c>
      <c r="G197" s="2" t="s">
        <v>139</v>
      </c>
      <c r="H197" s="57" t="str">
        <f>Table1[[#This Row],[Tabela]]&amp;Table1[[#This Row],[Campo]]</f>
        <v>PROPERTY_ENERGY_CERTIFICATEDOMEST_HOTWATER_REF_VALUE</v>
      </c>
      <c r="I197" s="2" t="s">
        <v>614</v>
      </c>
      <c r="J197" s="43">
        <f>VLOOKUP(Table1[[#This Row],[Status]],Auxiliar!$B$16:$C$24,2,0)</f>
        <v>1</v>
      </c>
      <c r="K197" s="2" t="s">
        <v>1252</v>
      </c>
      <c r="L197" s="29" t="s">
        <v>1250</v>
      </c>
      <c r="M197" s="21" t="s">
        <v>1259</v>
      </c>
      <c r="N197" s="48">
        <v>45485</v>
      </c>
      <c r="O197" s="21">
        <f>INDEX(Auxiliar!$D$5:$F$13,MATCH(Table1[[#This Row],[Tipologia_Testes]],Auxiliar!$B$5:$B$13,0),MATCH(Table1[[#This Row],[Complexidade]],Auxiliar!$D$4:$F$4,0))</f>
        <v>2</v>
      </c>
      <c r="P197" s="2" t="s">
        <v>1276</v>
      </c>
      <c r="Q197" s="2"/>
      <c r="R197" s="152">
        <v>45261</v>
      </c>
      <c r="S197" s="152"/>
      <c r="T197" s="152"/>
      <c r="U197" s="152"/>
      <c r="V197" s="152"/>
      <c r="W197" s="2">
        <f>VLOOKUP(Table1[[#This Row],[Status]],Auxiliar!$B$16:$D$24,3,0)*Table1[[#This Row],[Estimação (horas)]]</f>
        <v>2</v>
      </c>
      <c r="X197" s="2"/>
    </row>
    <row r="198" spans="2:24" ht="17.7" customHeight="1" x14ac:dyDescent="0.25">
      <c r="B198" s="2" t="s">
        <v>26</v>
      </c>
      <c r="C198" s="2" t="s">
        <v>54</v>
      </c>
      <c r="D198" s="2" t="s">
        <v>124</v>
      </c>
      <c r="E198" s="2" t="s">
        <v>38</v>
      </c>
      <c r="F198" s="2" t="s">
        <v>123</v>
      </c>
      <c r="G198" s="2" t="s">
        <v>139</v>
      </c>
      <c r="H198" s="57" t="str">
        <f>Table1[[#This Row],[Tabela]]&amp;Table1[[#This Row],[Campo]]</f>
        <v>PROPERTY_ENERGY_CERTIFICATEDOMEST_HOTWATER_REF_VALUE</v>
      </c>
      <c r="I198" s="2" t="s">
        <v>614</v>
      </c>
      <c r="J198" s="43">
        <f>VLOOKUP(Table1[[#This Row],[Status]],Auxiliar!$B$16:$C$24,2,0)</f>
        <v>1</v>
      </c>
      <c r="K198" s="2" t="s">
        <v>1253</v>
      </c>
      <c r="L198" s="29" t="s">
        <v>1250</v>
      </c>
      <c r="M198" s="21" t="s">
        <v>1259</v>
      </c>
      <c r="N198" s="48">
        <v>45485</v>
      </c>
      <c r="O198" s="21">
        <f>INDEX(Auxiliar!$D$5:$F$13,MATCH(Table1[[#This Row],[Tipologia_Testes]],Auxiliar!$B$5:$B$13,0),MATCH(Table1[[#This Row],[Complexidade]],Auxiliar!$D$4:$F$4,0))</f>
        <v>2</v>
      </c>
      <c r="P198" s="2" t="s">
        <v>1276</v>
      </c>
      <c r="Q198" s="2"/>
      <c r="R198" s="152">
        <v>45261</v>
      </c>
      <c r="S198" s="152"/>
      <c r="T198" s="152"/>
      <c r="U198" s="152"/>
      <c r="V198" s="152"/>
      <c r="W198" s="2">
        <f>VLOOKUP(Table1[[#This Row],[Status]],Auxiliar!$B$16:$D$24,3,0)*Table1[[#This Row],[Estimação (horas)]]</f>
        <v>2</v>
      </c>
      <c r="X198" s="2"/>
    </row>
    <row r="199" spans="2:24" ht="17.7" customHeight="1" x14ac:dyDescent="0.25">
      <c r="B199" s="2" t="s">
        <v>26</v>
      </c>
      <c r="C199" s="2" t="s">
        <v>54</v>
      </c>
      <c r="D199" s="2" t="s">
        <v>124</v>
      </c>
      <c r="E199" s="2" t="s">
        <v>38</v>
      </c>
      <c r="F199" s="2" t="s">
        <v>123</v>
      </c>
      <c r="G199" s="2" t="s">
        <v>139</v>
      </c>
      <c r="H199" s="57" t="str">
        <f>Table1[[#This Row],[Tabela]]&amp;Table1[[#This Row],[Campo]]</f>
        <v>PROPERTY_ENERGY_CERTIFICATEDOMEST_HOTWATER_REF_VALUE</v>
      </c>
      <c r="I199" s="2" t="s">
        <v>614</v>
      </c>
      <c r="J199" s="43">
        <f>VLOOKUP(Table1[[#This Row],[Status]],Auxiliar!$B$16:$C$24,2,0)</f>
        <v>1</v>
      </c>
      <c r="K199" s="2" t="s">
        <v>1255</v>
      </c>
      <c r="L199" s="29" t="s">
        <v>1250</v>
      </c>
      <c r="M199" s="21" t="s">
        <v>1259</v>
      </c>
      <c r="N199" s="48">
        <v>45485</v>
      </c>
      <c r="O199" s="21">
        <f>INDEX(Auxiliar!$D$5:$F$13,MATCH(Table1[[#This Row],[Tipologia_Testes]],Auxiliar!$B$5:$B$13,0),MATCH(Table1[[#This Row],[Complexidade]],Auxiliar!$D$4:$F$4,0))</f>
        <v>0.1</v>
      </c>
      <c r="P199" s="2" t="s">
        <v>1276</v>
      </c>
      <c r="Q199" s="2"/>
      <c r="R199" s="152">
        <v>45261</v>
      </c>
      <c r="S199" s="152"/>
      <c r="T199" s="152"/>
      <c r="U199" s="152"/>
      <c r="V199" s="152"/>
      <c r="W199" s="2">
        <f>VLOOKUP(Table1[[#This Row],[Status]],Auxiliar!$B$16:$D$24,3,0)*Table1[[#This Row],[Estimação (horas)]]</f>
        <v>0.1</v>
      </c>
      <c r="X199" s="2"/>
    </row>
    <row r="200" spans="2:24" ht="17.7" customHeight="1" x14ac:dyDescent="0.25">
      <c r="B200" s="2" t="s">
        <v>26</v>
      </c>
      <c r="C200" s="2" t="s">
        <v>54</v>
      </c>
      <c r="D200" s="2" t="s">
        <v>124</v>
      </c>
      <c r="E200" s="2" t="s">
        <v>38</v>
      </c>
      <c r="F200" s="2" t="s">
        <v>123</v>
      </c>
      <c r="G200" s="2" t="s">
        <v>140</v>
      </c>
      <c r="H200" s="57" t="str">
        <f>Table1[[#This Row],[Tabela]]&amp;Table1[[#This Row],[Campo]]</f>
        <v>PROPERTY_ENERGY_CERTIFICATEHEIGHT</v>
      </c>
      <c r="I200" s="2" t="s">
        <v>614</v>
      </c>
      <c r="J200" s="43">
        <f>VLOOKUP(Table1[[#This Row],[Status]],Auxiliar!$B$16:$C$24,2,0)</f>
        <v>1</v>
      </c>
      <c r="K200" s="2" t="s">
        <v>1252</v>
      </c>
      <c r="L200" s="29" t="s">
        <v>1250</v>
      </c>
      <c r="M200" s="21" t="s">
        <v>1259</v>
      </c>
      <c r="N200" s="48">
        <v>45485</v>
      </c>
      <c r="O200" s="21">
        <f>INDEX(Auxiliar!$D$5:$F$13,MATCH(Table1[[#This Row],[Tipologia_Testes]],Auxiliar!$B$5:$B$13,0),MATCH(Table1[[#This Row],[Complexidade]],Auxiliar!$D$4:$F$4,0))</f>
        <v>2</v>
      </c>
      <c r="P200" s="2" t="s">
        <v>1276</v>
      </c>
      <c r="Q200" s="2"/>
      <c r="R200" s="152">
        <v>45261</v>
      </c>
      <c r="S200" s="152"/>
      <c r="T200" s="152"/>
      <c r="U200" s="152"/>
      <c r="V200" s="152"/>
      <c r="W200" s="2">
        <f>VLOOKUP(Table1[[#This Row],[Status]],Auxiliar!$B$16:$D$24,3,0)*Table1[[#This Row],[Estimação (horas)]]</f>
        <v>2</v>
      </c>
      <c r="X200" s="2"/>
    </row>
    <row r="201" spans="2:24" ht="17.7" customHeight="1" x14ac:dyDescent="0.25">
      <c r="B201" s="2" t="s">
        <v>26</v>
      </c>
      <c r="C201" s="2" t="s">
        <v>54</v>
      </c>
      <c r="D201" s="2" t="s">
        <v>124</v>
      </c>
      <c r="E201" s="2" t="s">
        <v>38</v>
      </c>
      <c r="F201" s="2" t="s">
        <v>123</v>
      </c>
      <c r="G201" s="2" t="s">
        <v>140</v>
      </c>
      <c r="H201" s="57" t="str">
        <f>Table1[[#This Row],[Tabela]]&amp;Table1[[#This Row],[Campo]]</f>
        <v>PROPERTY_ENERGY_CERTIFICATEHEIGHT</v>
      </c>
      <c r="I201" s="2" t="s">
        <v>614</v>
      </c>
      <c r="J201" s="43">
        <f>VLOOKUP(Table1[[#This Row],[Status]],Auxiliar!$B$16:$C$24,2,0)</f>
        <v>1</v>
      </c>
      <c r="K201" s="2" t="s">
        <v>1253</v>
      </c>
      <c r="L201" s="29" t="s">
        <v>1250</v>
      </c>
      <c r="M201" s="21" t="s">
        <v>1259</v>
      </c>
      <c r="N201" s="48">
        <v>45485</v>
      </c>
      <c r="O201" s="21">
        <f>INDEX(Auxiliar!$D$5:$F$13,MATCH(Table1[[#This Row],[Tipologia_Testes]],Auxiliar!$B$5:$B$13,0),MATCH(Table1[[#This Row],[Complexidade]],Auxiliar!$D$4:$F$4,0))</f>
        <v>2</v>
      </c>
      <c r="P201" s="2" t="s">
        <v>1276</v>
      </c>
      <c r="Q201" s="2"/>
      <c r="R201" s="152">
        <v>45261</v>
      </c>
      <c r="S201" s="152"/>
      <c r="T201" s="152"/>
      <c r="U201" s="152"/>
      <c r="V201" s="152"/>
      <c r="W201" s="2">
        <f>VLOOKUP(Table1[[#This Row],[Status]],Auxiliar!$B$16:$D$24,3,0)*Table1[[#This Row],[Estimação (horas)]]</f>
        <v>2</v>
      </c>
      <c r="X201" s="2"/>
    </row>
    <row r="202" spans="2:24" ht="17.7" customHeight="1" x14ac:dyDescent="0.25">
      <c r="B202" s="2" t="s">
        <v>26</v>
      </c>
      <c r="C202" s="2" t="s">
        <v>54</v>
      </c>
      <c r="D202" s="2" t="s">
        <v>124</v>
      </c>
      <c r="E202" s="2" t="s">
        <v>38</v>
      </c>
      <c r="F202" s="2" t="s">
        <v>123</v>
      </c>
      <c r="G202" s="2" t="s">
        <v>140</v>
      </c>
      <c r="H202" s="57" t="str">
        <f>Table1[[#This Row],[Tabela]]&amp;Table1[[#This Row],[Campo]]</f>
        <v>PROPERTY_ENERGY_CERTIFICATEHEIGHT</v>
      </c>
      <c r="I202" s="2" t="s">
        <v>614</v>
      </c>
      <c r="J202" s="43">
        <f>VLOOKUP(Table1[[#This Row],[Status]],Auxiliar!$B$16:$C$24,2,0)</f>
        <v>1</v>
      </c>
      <c r="K202" s="2" t="s">
        <v>1255</v>
      </c>
      <c r="L202" s="29" t="s">
        <v>1250</v>
      </c>
      <c r="M202" s="21" t="s">
        <v>1259</v>
      </c>
      <c r="N202" s="48">
        <v>45485</v>
      </c>
      <c r="O202" s="21">
        <f>INDEX(Auxiliar!$D$5:$F$13,MATCH(Table1[[#This Row],[Tipologia_Testes]],Auxiliar!$B$5:$B$13,0),MATCH(Table1[[#This Row],[Complexidade]],Auxiliar!$D$4:$F$4,0))</f>
        <v>0.1</v>
      </c>
      <c r="P202" s="2" t="s">
        <v>1276</v>
      </c>
      <c r="Q202" s="2"/>
      <c r="R202" s="152">
        <v>45261</v>
      </c>
      <c r="S202" s="152"/>
      <c r="T202" s="152"/>
      <c r="U202" s="152"/>
      <c r="V202" s="152"/>
      <c r="W202" s="2">
        <f>VLOOKUP(Table1[[#This Row],[Status]],Auxiliar!$B$16:$D$24,3,0)*Table1[[#This Row],[Estimação (horas)]]</f>
        <v>0.1</v>
      </c>
      <c r="X202" s="2"/>
    </row>
    <row r="203" spans="2:24" ht="17.7" customHeight="1" x14ac:dyDescent="0.25">
      <c r="B203" s="2" t="s">
        <v>26</v>
      </c>
      <c r="C203" s="2" t="s">
        <v>54</v>
      </c>
      <c r="D203" s="2" t="s">
        <v>124</v>
      </c>
      <c r="E203" s="2" t="s">
        <v>38</v>
      </c>
      <c r="F203" s="2" t="s">
        <v>123</v>
      </c>
      <c r="G203" s="2" t="s">
        <v>141</v>
      </c>
      <c r="H203" s="57" t="str">
        <f>Table1[[#This Row],[Tabela]]&amp;Table1[[#This Row],[Campo]]</f>
        <v>PROPERTY_ENERGY_CERTIFICATEBUILDING_SPACE_HEATING_VALUE</v>
      </c>
      <c r="I203" s="2" t="s">
        <v>614</v>
      </c>
      <c r="J203" s="43">
        <f>VLOOKUP(Table1[[#This Row],[Status]],Auxiliar!$B$16:$C$24,2,0)</f>
        <v>1</v>
      </c>
      <c r="K203" s="2" t="s">
        <v>1252</v>
      </c>
      <c r="L203" s="29" t="s">
        <v>1250</v>
      </c>
      <c r="M203" s="21" t="s">
        <v>1259</v>
      </c>
      <c r="N203" s="48">
        <v>45485</v>
      </c>
      <c r="O203" s="21">
        <f>INDEX(Auxiliar!$D$5:$F$13,MATCH(Table1[[#This Row],[Tipologia_Testes]],Auxiliar!$B$5:$B$13,0),MATCH(Table1[[#This Row],[Complexidade]],Auxiliar!$D$4:$F$4,0))</f>
        <v>2</v>
      </c>
      <c r="P203" s="2" t="s">
        <v>1276</v>
      </c>
      <c r="Q203" s="2"/>
      <c r="R203" s="152">
        <v>45261</v>
      </c>
      <c r="S203" s="152"/>
      <c r="T203" s="152"/>
      <c r="U203" s="152"/>
      <c r="V203" s="152"/>
      <c r="W203" s="2">
        <f>VLOOKUP(Table1[[#This Row],[Status]],Auxiliar!$B$16:$D$24,3,0)*Table1[[#This Row],[Estimação (horas)]]</f>
        <v>2</v>
      </c>
      <c r="X203" s="2"/>
    </row>
    <row r="204" spans="2:24" ht="17.7" customHeight="1" x14ac:dyDescent="0.25">
      <c r="B204" s="2" t="s">
        <v>26</v>
      </c>
      <c r="C204" s="2" t="s">
        <v>54</v>
      </c>
      <c r="D204" s="2" t="s">
        <v>124</v>
      </c>
      <c r="E204" s="2" t="s">
        <v>38</v>
      </c>
      <c r="F204" s="2" t="s">
        <v>123</v>
      </c>
      <c r="G204" s="2" t="s">
        <v>141</v>
      </c>
      <c r="H204" s="57" t="str">
        <f>Table1[[#This Row],[Tabela]]&amp;Table1[[#This Row],[Campo]]</f>
        <v>PROPERTY_ENERGY_CERTIFICATEBUILDING_SPACE_HEATING_VALUE</v>
      </c>
      <c r="I204" s="2" t="s">
        <v>614</v>
      </c>
      <c r="J204" s="43">
        <f>VLOOKUP(Table1[[#This Row],[Status]],Auxiliar!$B$16:$C$24,2,0)</f>
        <v>1</v>
      </c>
      <c r="K204" s="2" t="s">
        <v>1253</v>
      </c>
      <c r="L204" s="29" t="s">
        <v>1250</v>
      </c>
      <c r="M204" s="21" t="s">
        <v>1259</v>
      </c>
      <c r="N204" s="48">
        <v>45485</v>
      </c>
      <c r="O204" s="21">
        <f>INDEX(Auxiliar!$D$5:$F$13,MATCH(Table1[[#This Row],[Tipologia_Testes]],Auxiliar!$B$5:$B$13,0),MATCH(Table1[[#This Row],[Complexidade]],Auxiliar!$D$4:$F$4,0))</f>
        <v>2</v>
      </c>
      <c r="P204" s="2" t="s">
        <v>1276</v>
      </c>
      <c r="Q204" s="2"/>
      <c r="R204" s="152">
        <v>45261</v>
      </c>
      <c r="S204" s="152"/>
      <c r="T204" s="152"/>
      <c r="U204" s="152"/>
      <c r="V204" s="152"/>
      <c r="W204" s="2">
        <f>VLOOKUP(Table1[[#This Row],[Status]],Auxiliar!$B$16:$D$24,3,0)*Table1[[#This Row],[Estimação (horas)]]</f>
        <v>2</v>
      </c>
      <c r="X204" s="2"/>
    </row>
    <row r="205" spans="2:24" ht="17.7" customHeight="1" x14ac:dyDescent="0.25">
      <c r="B205" s="2" t="s">
        <v>26</v>
      </c>
      <c r="C205" s="2" t="s">
        <v>54</v>
      </c>
      <c r="D205" s="2" t="s">
        <v>124</v>
      </c>
      <c r="E205" s="2" t="s">
        <v>38</v>
      </c>
      <c r="F205" s="2" t="s">
        <v>123</v>
      </c>
      <c r="G205" s="2" t="s">
        <v>141</v>
      </c>
      <c r="H205" s="57" t="str">
        <f>Table1[[#This Row],[Tabela]]&amp;Table1[[#This Row],[Campo]]</f>
        <v>PROPERTY_ENERGY_CERTIFICATEBUILDING_SPACE_HEATING_VALUE</v>
      </c>
      <c r="I205" s="2" t="s">
        <v>614</v>
      </c>
      <c r="J205" s="43">
        <f>VLOOKUP(Table1[[#This Row],[Status]],Auxiliar!$B$16:$C$24,2,0)</f>
        <v>1</v>
      </c>
      <c r="K205" s="2" t="s">
        <v>1255</v>
      </c>
      <c r="L205" s="29" t="s">
        <v>1250</v>
      </c>
      <c r="M205" s="21" t="s">
        <v>1259</v>
      </c>
      <c r="N205" s="48">
        <v>45485</v>
      </c>
      <c r="O205" s="21">
        <f>INDEX(Auxiliar!$D$5:$F$13,MATCH(Table1[[#This Row],[Tipologia_Testes]],Auxiliar!$B$5:$B$13,0),MATCH(Table1[[#This Row],[Complexidade]],Auxiliar!$D$4:$F$4,0))</f>
        <v>0.1</v>
      </c>
      <c r="P205" s="2" t="s">
        <v>1276</v>
      </c>
      <c r="Q205" s="2"/>
      <c r="R205" s="152">
        <v>45261</v>
      </c>
      <c r="S205" s="152"/>
      <c r="T205" s="152"/>
      <c r="U205" s="152"/>
      <c r="V205" s="152"/>
      <c r="W205" s="2">
        <f>VLOOKUP(Table1[[#This Row],[Status]],Auxiliar!$B$16:$D$24,3,0)*Table1[[#This Row],[Estimação (horas)]]</f>
        <v>0.1</v>
      </c>
      <c r="X205" s="2"/>
    </row>
    <row r="206" spans="2:24" ht="17.7" customHeight="1" x14ac:dyDescent="0.25">
      <c r="B206" s="2" t="s">
        <v>26</v>
      </c>
      <c r="C206" s="2" t="s">
        <v>54</v>
      </c>
      <c r="D206" s="2" t="s">
        <v>124</v>
      </c>
      <c r="E206" s="2" t="s">
        <v>38</v>
      </c>
      <c r="F206" s="2" t="s">
        <v>123</v>
      </c>
      <c r="G206" s="2" t="s">
        <v>142</v>
      </c>
      <c r="H206" s="57" t="str">
        <f>Table1[[#This Row],[Tabela]]&amp;Table1[[#This Row],[Campo]]</f>
        <v>PROPERTY_ENERGY_CERTIFICATESPACE_HEATING_REF_VALUE</v>
      </c>
      <c r="I206" s="2" t="s">
        <v>614</v>
      </c>
      <c r="J206" s="43">
        <f>VLOOKUP(Table1[[#This Row],[Status]],Auxiliar!$B$16:$C$24,2,0)</f>
        <v>1</v>
      </c>
      <c r="K206" s="2" t="s">
        <v>1252</v>
      </c>
      <c r="L206" s="29" t="s">
        <v>1250</v>
      </c>
      <c r="M206" s="21" t="s">
        <v>1259</v>
      </c>
      <c r="N206" s="48">
        <v>45485</v>
      </c>
      <c r="O206" s="21">
        <f>INDEX(Auxiliar!$D$5:$F$13,MATCH(Table1[[#This Row],[Tipologia_Testes]],Auxiliar!$B$5:$B$13,0),MATCH(Table1[[#This Row],[Complexidade]],Auxiliar!$D$4:$F$4,0))</f>
        <v>2</v>
      </c>
      <c r="P206" s="2" t="s">
        <v>1276</v>
      </c>
      <c r="Q206" s="2"/>
      <c r="R206" s="152">
        <v>45261</v>
      </c>
      <c r="S206" s="152"/>
      <c r="T206" s="152"/>
      <c r="U206" s="152"/>
      <c r="V206" s="152"/>
      <c r="W206" s="2">
        <f>VLOOKUP(Table1[[#This Row],[Status]],Auxiliar!$B$16:$D$24,3,0)*Table1[[#This Row],[Estimação (horas)]]</f>
        <v>2</v>
      </c>
      <c r="X206" s="2"/>
    </row>
    <row r="207" spans="2:24" ht="17.7" customHeight="1" x14ac:dyDescent="0.25">
      <c r="B207" s="2" t="s">
        <v>26</v>
      </c>
      <c r="C207" s="2" t="s">
        <v>54</v>
      </c>
      <c r="D207" s="2" t="s">
        <v>124</v>
      </c>
      <c r="E207" s="2" t="s">
        <v>38</v>
      </c>
      <c r="F207" s="2" t="s">
        <v>123</v>
      </c>
      <c r="G207" s="2" t="s">
        <v>142</v>
      </c>
      <c r="H207" s="57" t="str">
        <f>Table1[[#This Row],[Tabela]]&amp;Table1[[#This Row],[Campo]]</f>
        <v>PROPERTY_ENERGY_CERTIFICATESPACE_HEATING_REF_VALUE</v>
      </c>
      <c r="I207" s="2" t="s">
        <v>614</v>
      </c>
      <c r="J207" s="43">
        <f>VLOOKUP(Table1[[#This Row],[Status]],Auxiliar!$B$16:$C$24,2,0)</f>
        <v>1</v>
      </c>
      <c r="K207" s="2" t="s">
        <v>1253</v>
      </c>
      <c r="L207" s="29" t="s">
        <v>1250</v>
      </c>
      <c r="M207" s="21" t="s">
        <v>1259</v>
      </c>
      <c r="N207" s="48">
        <v>45485</v>
      </c>
      <c r="O207" s="21">
        <f>INDEX(Auxiliar!$D$5:$F$13,MATCH(Table1[[#This Row],[Tipologia_Testes]],Auxiliar!$B$5:$B$13,0),MATCH(Table1[[#This Row],[Complexidade]],Auxiliar!$D$4:$F$4,0))</f>
        <v>2</v>
      </c>
      <c r="P207" s="2" t="s">
        <v>1276</v>
      </c>
      <c r="Q207" s="2"/>
      <c r="R207" s="152">
        <v>45261</v>
      </c>
      <c r="S207" s="152"/>
      <c r="T207" s="152"/>
      <c r="U207" s="152"/>
      <c r="V207" s="152"/>
      <c r="W207" s="2">
        <f>VLOOKUP(Table1[[#This Row],[Status]],Auxiliar!$B$16:$D$24,3,0)*Table1[[#This Row],[Estimação (horas)]]</f>
        <v>2</v>
      </c>
      <c r="X207" s="2"/>
    </row>
    <row r="208" spans="2:24" ht="17.7" customHeight="1" x14ac:dyDescent="0.25">
      <c r="B208" s="2" t="s">
        <v>26</v>
      </c>
      <c r="C208" s="2" t="s">
        <v>54</v>
      </c>
      <c r="D208" s="2" t="s">
        <v>124</v>
      </c>
      <c r="E208" s="2" t="s">
        <v>38</v>
      </c>
      <c r="F208" s="2" t="s">
        <v>123</v>
      </c>
      <c r="G208" s="2" t="s">
        <v>142</v>
      </c>
      <c r="H208" s="57" t="str">
        <f>Table1[[#This Row],[Tabela]]&amp;Table1[[#This Row],[Campo]]</f>
        <v>PROPERTY_ENERGY_CERTIFICATESPACE_HEATING_REF_VALUE</v>
      </c>
      <c r="I208" s="2" t="s">
        <v>614</v>
      </c>
      <c r="J208" s="43">
        <f>VLOOKUP(Table1[[#This Row],[Status]],Auxiliar!$B$16:$C$24,2,0)</f>
        <v>1</v>
      </c>
      <c r="K208" s="2" t="s">
        <v>1255</v>
      </c>
      <c r="L208" s="29" t="s">
        <v>1250</v>
      </c>
      <c r="M208" s="21" t="s">
        <v>1259</v>
      </c>
      <c r="N208" s="48">
        <v>45485</v>
      </c>
      <c r="O208" s="21">
        <f>INDEX(Auxiliar!$D$5:$F$13,MATCH(Table1[[#This Row],[Tipologia_Testes]],Auxiliar!$B$5:$B$13,0),MATCH(Table1[[#This Row],[Complexidade]],Auxiliar!$D$4:$F$4,0))</f>
        <v>0.1</v>
      </c>
      <c r="P208" s="2" t="s">
        <v>1276</v>
      </c>
      <c r="Q208" s="2"/>
      <c r="R208" s="152">
        <v>45261</v>
      </c>
      <c r="S208" s="152"/>
      <c r="T208" s="152"/>
      <c r="U208" s="152"/>
      <c r="V208" s="152"/>
      <c r="W208" s="2">
        <f>VLOOKUP(Table1[[#This Row],[Status]],Auxiliar!$B$16:$D$24,3,0)*Table1[[#This Row],[Estimação (horas)]]</f>
        <v>0.1</v>
      </c>
      <c r="X208" s="2"/>
    </row>
    <row r="209" spans="2:24" ht="17.7" customHeight="1" x14ac:dyDescent="0.25">
      <c r="B209" s="2" t="s">
        <v>26</v>
      </c>
      <c r="C209" s="2" t="s">
        <v>54</v>
      </c>
      <c r="D209" s="2" t="s">
        <v>124</v>
      </c>
      <c r="E209" s="2" t="s">
        <v>38</v>
      </c>
      <c r="F209" s="2" t="s">
        <v>123</v>
      </c>
      <c r="G209" s="2" t="s">
        <v>143</v>
      </c>
      <c r="H209" s="57" t="str">
        <f>Table1[[#This Row],[Tabela]]&amp;Table1[[#This Row],[Campo]]</f>
        <v>PROPERTY_ENERGY_CERTIFICATERENEWABLE_SPACE_HEATING_VALUE</v>
      </c>
      <c r="I209" s="2" t="s">
        <v>614</v>
      </c>
      <c r="J209" s="43">
        <f>VLOOKUP(Table1[[#This Row],[Status]],Auxiliar!$B$16:$C$24,2,0)</f>
        <v>1</v>
      </c>
      <c r="K209" s="2" t="s">
        <v>1252</v>
      </c>
      <c r="L209" s="29" t="s">
        <v>1250</v>
      </c>
      <c r="M209" s="21" t="s">
        <v>1259</v>
      </c>
      <c r="N209" s="48">
        <v>45485</v>
      </c>
      <c r="O209" s="21">
        <f>INDEX(Auxiliar!$D$5:$F$13,MATCH(Table1[[#This Row],[Tipologia_Testes]],Auxiliar!$B$5:$B$13,0),MATCH(Table1[[#This Row],[Complexidade]],Auxiliar!$D$4:$F$4,0))</f>
        <v>2</v>
      </c>
      <c r="P209" s="2" t="s">
        <v>1276</v>
      </c>
      <c r="Q209" s="2"/>
      <c r="R209" s="152">
        <v>45261</v>
      </c>
      <c r="S209" s="152"/>
      <c r="T209" s="152"/>
      <c r="U209" s="152"/>
      <c r="V209" s="152"/>
      <c r="W209" s="2">
        <f>VLOOKUP(Table1[[#This Row],[Status]],Auxiliar!$B$16:$D$24,3,0)*Table1[[#This Row],[Estimação (horas)]]</f>
        <v>2</v>
      </c>
      <c r="X209" s="2"/>
    </row>
    <row r="210" spans="2:24" ht="17.7" customHeight="1" x14ac:dyDescent="0.25">
      <c r="B210" s="2" t="s">
        <v>26</v>
      </c>
      <c r="C210" s="2" t="s">
        <v>54</v>
      </c>
      <c r="D210" s="2" t="s">
        <v>124</v>
      </c>
      <c r="E210" s="2" t="s">
        <v>38</v>
      </c>
      <c r="F210" s="2" t="s">
        <v>123</v>
      </c>
      <c r="G210" s="2" t="s">
        <v>143</v>
      </c>
      <c r="H210" s="57" t="str">
        <f>Table1[[#This Row],[Tabela]]&amp;Table1[[#This Row],[Campo]]</f>
        <v>PROPERTY_ENERGY_CERTIFICATERENEWABLE_SPACE_HEATING_VALUE</v>
      </c>
      <c r="I210" s="2" t="s">
        <v>614</v>
      </c>
      <c r="J210" s="43">
        <f>VLOOKUP(Table1[[#This Row],[Status]],Auxiliar!$B$16:$C$24,2,0)</f>
        <v>1</v>
      </c>
      <c r="K210" s="2" t="s">
        <v>1253</v>
      </c>
      <c r="L210" s="29" t="s">
        <v>1250</v>
      </c>
      <c r="M210" s="21" t="s">
        <v>1259</v>
      </c>
      <c r="N210" s="48">
        <v>45485</v>
      </c>
      <c r="O210" s="21">
        <f>INDEX(Auxiliar!$D$5:$F$13,MATCH(Table1[[#This Row],[Tipologia_Testes]],Auxiliar!$B$5:$B$13,0),MATCH(Table1[[#This Row],[Complexidade]],Auxiliar!$D$4:$F$4,0))</f>
        <v>2</v>
      </c>
      <c r="P210" s="2" t="s">
        <v>1276</v>
      </c>
      <c r="Q210" s="2"/>
      <c r="R210" s="152">
        <v>45261</v>
      </c>
      <c r="S210" s="152"/>
      <c r="T210" s="152"/>
      <c r="U210" s="152"/>
      <c r="V210" s="152"/>
      <c r="W210" s="2">
        <f>VLOOKUP(Table1[[#This Row],[Status]],Auxiliar!$B$16:$D$24,3,0)*Table1[[#This Row],[Estimação (horas)]]</f>
        <v>2</v>
      </c>
      <c r="X210" s="2"/>
    </row>
    <row r="211" spans="2:24" ht="17.7" customHeight="1" x14ac:dyDescent="0.25">
      <c r="B211" s="2" t="s">
        <v>26</v>
      </c>
      <c r="C211" s="2" t="s">
        <v>54</v>
      </c>
      <c r="D211" s="2" t="s">
        <v>124</v>
      </c>
      <c r="E211" s="2" t="s">
        <v>38</v>
      </c>
      <c r="F211" s="2" t="s">
        <v>123</v>
      </c>
      <c r="G211" s="2" t="s">
        <v>143</v>
      </c>
      <c r="H211" s="57" t="str">
        <f>Table1[[#This Row],[Tabela]]&amp;Table1[[#This Row],[Campo]]</f>
        <v>PROPERTY_ENERGY_CERTIFICATERENEWABLE_SPACE_HEATING_VALUE</v>
      </c>
      <c r="I211" s="2" t="s">
        <v>614</v>
      </c>
      <c r="J211" s="43">
        <f>VLOOKUP(Table1[[#This Row],[Status]],Auxiliar!$B$16:$C$24,2,0)</f>
        <v>1</v>
      </c>
      <c r="K211" s="2" t="s">
        <v>1255</v>
      </c>
      <c r="L211" s="29" t="s">
        <v>1250</v>
      </c>
      <c r="M211" s="21" t="s">
        <v>1259</v>
      </c>
      <c r="N211" s="48">
        <v>45485</v>
      </c>
      <c r="O211" s="21">
        <f>INDEX(Auxiliar!$D$5:$F$13,MATCH(Table1[[#This Row],[Tipologia_Testes]],Auxiliar!$B$5:$B$13,0),MATCH(Table1[[#This Row],[Complexidade]],Auxiliar!$D$4:$F$4,0))</f>
        <v>0.1</v>
      </c>
      <c r="P211" s="2" t="s">
        <v>1276</v>
      </c>
      <c r="Q211" s="2"/>
      <c r="R211" s="152">
        <v>45261</v>
      </c>
      <c r="S211" s="152"/>
      <c r="T211" s="152"/>
      <c r="U211" s="152"/>
      <c r="V211" s="152"/>
      <c r="W211" s="2">
        <f>VLOOKUP(Table1[[#This Row],[Status]],Auxiliar!$B$16:$D$24,3,0)*Table1[[#This Row],[Estimação (horas)]]</f>
        <v>0.1</v>
      </c>
      <c r="X211" s="2"/>
    </row>
    <row r="212" spans="2:24" ht="17.7" customHeight="1" x14ac:dyDescent="0.25">
      <c r="B212" s="2" t="s">
        <v>26</v>
      </c>
      <c r="C212" s="2" t="s">
        <v>54</v>
      </c>
      <c r="D212" s="2" t="s">
        <v>124</v>
      </c>
      <c r="E212" s="2" t="s">
        <v>38</v>
      </c>
      <c r="F212" s="2" t="s">
        <v>123</v>
      </c>
      <c r="G212" s="2" t="s">
        <v>144</v>
      </c>
      <c r="H212" s="57" t="str">
        <f>Table1[[#This Row],[Tabela]]&amp;Table1[[#This Row],[Campo]]</f>
        <v>PROPERTY_ENERGY_CERTIFICATEBUILDING_SPACE_COOLING_VALUE</v>
      </c>
      <c r="I212" s="2" t="s">
        <v>614</v>
      </c>
      <c r="J212" s="43">
        <f>VLOOKUP(Table1[[#This Row],[Status]],Auxiliar!$B$16:$C$24,2,0)</f>
        <v>1</v>
      </c>
      <c r="K212" s="2" t="s">
        <v>1252</v>
      </c>
      <c r="L212" s="29" t="s">
        <v>1250</v>
      </c>
      <c r="M212" s="21" t="s">
        <v>1259</v>
      </c>
      <c r="N212" s="48">
        <v>45485</v>
      </c>
      <c r="O212" s="21">
        <f>INDEX(Auxiliar!$D$5:$F$13,MATCH(Table1[[#This Row],[Tipologia_Testes]],Auxiliar!$B$5:$B$13,0),MATCH(Table1[[#This Row],[Complexidade]],Auxiliar!$D$4:$F$4,0))</f>
        <v>2</v>
      </c>
      <c r="P212" s="2" t="s">
        <v>1276</v>
      </c>
      <c r="Q212" s="2"/>
      <c r="R212" s="152">
        <v>45261</v>
      </c>
      <c r="S212" s="152"/>
      <c r="T212" s="152"/>
      <c r="U212" s="152"/>
      <c r="V212" s="152"/>
      <c r="W212" s="2">
        <f>VLOOKUP(Table1[[#This Row],[Status]],Auxiliar!$B$16:$D$24,3,0)*Table1[[#This Row],[Estimação (horas)]]</f>
        <v>2</v>
      </c>
      <c r="X212" s="2"/>
    </row>
    <row r="213" spans="2:24" ht="17.7" customHeight="1" x14ac:dyDescent="0.25">
      <c r="B213" s="2" t="s">
        <v>26</v>
      </c>
      <c r="C213" s="2" t="s">
        <v>54</v>
      </c>
      <c r="D213" s="2" t="s">
        <v>124</v>
      </c>
      <c r="E213" s="2" t="s">
        <v>38</v>
      </c>
      <c r="F213" s="2" t="s">
        <v>123</v>
      </c>
      <c r="G213" s="2" t="s">
        <v>144</v>
      </c>
      <c r="H213" s="57" t="str">
        <f>Table1[[#This Row],[Tabela]]&amp;Table1[[#This Row],[Campo]]</f>
        <v>PROPERTY_ENERGY_CERTIFICATEBUILDING_SPACE_COOLING_VALUE</v>
      </c>
      <c r="I213" s="2" t="s">
        <v>614</v>
      </c>
      <c r="J213" s="43">
        <f>VLOOKUP(Table1[[#This Row],[Status]],Auxiliar!$B$16:$C$24,2,0)</f>
        <v>1</v>
      </c>
      <c r="K213" s="2" t="s">
        <v>1253</v>
      </c>
      <c r="L213" s="29" t="s">
        <v>1250</v>
      </c>
      <c r="M213" s="21" t="s">
        <v>1259</v>
      </c>
      <c r="N213" s="48">
        <v>45485</v>
      </c>
      <c r="O213" s="21">
        <f>INDEX(Auxiliar!$D$5:$F$13,MATCH(Table1[[#This Row],[Tipologia_Testes]],Auxiliar!$B$5:$B$13,0),MATCH(Table1[[#This Row],[Complexidade]],Auxiliar!$D$4:$F$4,0))</f>
        <v>2</v>
      </c>
      <c r="P213" s="2" t="s">
        <v>1276</v>
      </c>
      <c r="Q213" s="2"/>
      <c r="R213" s="152">
        <v>45261</v>
      </c>
      <c r="S213" s="152"/>
      <c r="T213" s="152"/>
      <c r="U213" s="152"/>
      <c r="V213" s="152"/>
      <c r="W213" s="2">
        <f>VLOOKUP(Table1[[#This Row],[Status]],Auxiliar!$B$16:$D$24,3,0)*Table1[[#This Row],[Estimação (horas)]]</f>
        <v>2</v>
      </c>
      <c r="X213" s="2"/>
    </row>
    <row r="214" spans="2:24" ht="17.7" customHeight="1" x14ac:dyDescent="0.25">
      <c r="B214" s="2" t="s">
        <v>26</v>
      </c>
      <c r="C214" s="2" t="s">
        <v>54</v>
      </c>
      <c r="D214" s="2" t="s">
        <v>124</v>
      </c>
      <c r="E214" s="2" t="s">
        <v>38</v>
      </c>
      <c r="F214" s="2" t="s">
        <v>123</v>
      </c>
      <c r="G214" s="2" t="s">
        <v>144</v>
      </c>
      <c r="H214" s="57" t="str">
        <f>Table1[[#This Row],[Tabela]]&amp;Table1[[#This Row],[Campo]]</f>
        <v>PROPERTY_ENERGY_CERTIFICATEBUILDING_SPACE_COOLING_VALUE</v>
      </c>
      <c r="I214" s="2" t="s">
        <v>614</v>
      </c>
      <c r="J214" s="43">
        <f>VLOOKUP(Table1[[#This Row],[Status]],Auxiliar!$B$16:$C$24,2,0)</f>
        <v>1</v>
      </c>
      <c r="K214" s="2" t="s">
        <v>1255</v>
      </c>
      <c r="L214" s="29" t="s">
        <v>1250</v>
      </c>
      <c r="M214" s="21" t="s">
        <v>1259</v>
      </c>
      <c r="N214" s="48">
        <v>45485</v>
      </c>
      <c r="O214" s="21">
        <f>INDEX(Auxiliar!$D$5:$F$13,MATCH(Table1[[#This Row],[Tipologia_Testes]],Auxiliar!$B$5:$B$13,0),MATCH(Table1[[#This Row],[Complexidade]],Auxiliar!$D$4:$F$4,0))</f>
        <v>0.1</v>
      </c>
      <c r="P214" s="2" t="s">
        <v>1276</v>
      </c>
      <c r="Q214" s="2"/>
      <c r="R214" s="152">
        <v>45261</v>
      </c>
      <c r="S214" s="152"/>
      <c r="T214" s="152"/>
      <c r="U214" s="152"/>
      <c r="V214" s="152"/>
      <c r="W214" s="2">
        <f>VLOOKUP(Table1[[#This Row],[Status]],Auxiliar!$B$16:$D$24,3,0)*Table1[[#This Row],[Estimação (horas)]]</f>
        <v>0.1</v>
      </c>
      <c r="X214" s="2"/>
    </row>
    <row r="215" spans="2:24" ht="17.7" customHeight="1" x14ac:dyDescent="0.25">
      <c r="B215" s="2" t="s">
        <v>26</v>
      </c>
      <c r="C215" s="2" t="s">
        <v>54</v>
      </c>
      <c r="D215" s="2" t="s">
        <v>124</v>
      </c>
      <c r="E215" s="2" t="s">
        <v>38</v>
      </c>
      <c r="F215" s="2" t="s">
        <v>123</v>
      </c>
      <c r="G215" s="2" t="s">
        <v>145</v>
      </c>
      <c r="H215" s="57" t="str">
        <f>Table1[[#This Row],[Tabela]]&amp;Table1[[#This Row],[Campo]]</f>
        <v>PROPERTY_ENERGY_CERTIFICATERENEWABLE_SPACE_COOLING_VALUE</v>
      </c>
      <c r="I215" s="2" t="s">
        <v>614</v>
      </c>
      <c r="J215" s="43">
        <f>VLOOKUP(Table1[[#This Row],[Status]],Auxiliar!$B$16:$C$24,2,0)</f>
        <v>1</v>
      </c>
      <c r="K215" s="2" t="s">
        <v>1252</v>
      </c>
      <c r="L215" s="29" t="s">
        <v>1250</v>
      </c>
      <c r="M215" s="21" t="s">
        <v>1259</v>
      </c>
      <c r="N215" s="48">
        <v>45485</v>
      </c>
      <c r="O215" s="21">
        <f>INDEX(Auxiliar!$D$5:$F$13,MATCH(Table1[[#This Row],[Tipologia_Testes]],Auxiliar!$B$5:$B$13,0),MATCH(Table1[[#This Row],[Complexidade]],Auxiliar!$D$4:$F$4,0))</f>
        <v>2</v>
      </c>
      <c r="P215" s="2" t="s">
        <v>1276</v>
      </c>
      <c r="Q215" s="2"/>
      <c r="R215" s="152">
        <v>45261</v>
      </c>
      <c r="S215" s="152"/>
      <c r="T215" s="152"/>
      <c r="U215" s="152"/>
      <c r="V215" s="152"/>
      <c r="W215" s="2">
        <f>VLOOKUP(Table1[[#This Row],[Status]],Auxiliar!$B$16:$D$24,3,0)*Table1[[#This Row],[Estimação (horas)]]</f>
        <v>2</v>
      </c>
      <c r="X215" s="2"/>
    </row>
    <row r="216" spans="2:24" ht="17.7" customHeight="1" x14ac:dyDescent="0.25">
      <c r="B216" s="2" t="s">
        <v>26</v>
      </c>
      <c r="C216" s="2" t="s">
        <v>54</v>
      </c>
      <c r="D216" s="2" t="s">
        <v>124</v>
      </c>
      <c r="E216" s="2" t="s">
        <v>38</v>
      </c>
      <c r="F216" s="2" t="s">
        <v>123</v>
      </c>
      <c r="G216" s="2" t="s">
        <v>145</v>
      </c>
      <c r="H216" s="57" t="str">
        <f>Table1[[#This Row],[Tabela]]&amp;Table1[[#This Row],[Campo]]</f>
        <v>PROPERTY_ENERGY_CERTIFICATERENEWABLE_SPACE_COOLING_VALUE</v>
      </c>
      <c r="I216" s="2" t="s">
        <v>614</v>
      </c>
      <c r="J216" s="43">
        <f>VLOOKUP(Table1[[#This Row],[Status]],Auxiliar!$B$16:$C$24,2,0)</f>
        <v>1</v>
      </c>
      <c r="K216" s="2" t="s">
        <v>1253</v>
      </c>
      <c r="L216" s="29" t="s">
        <v>1250</v>
      </c>
      <c r="M216" s="21" t="s">
        <v>1259</v>
      </c>
      <c r="N216" s="48">
        <v>45485</v>
      </c>
      <c r="O216" s="21">
        <f>INDEX(Auxiliar!$D$5:$F$13,MATCH(Table1[[#This Row],[Tipologia_Testes]],Auxiliar!$B$5:$B$13,0),MATCH(Table1[[#This Row],[Complexidade]],Auxiliar!$D$4:$F$4,0))</f>
        <v>2</v>
      </c>
      <c r="P216" s="2" t="s">
        <v>1276</v>
      </c>
      <c r="Q216" s="2"/>
      <c r="R216" s="152">
        <v>45261</v>
      </c>
      <c r="S216" s="152"/>
      <c r="T216" s="152"/>
      <c r="U216" s="152"/>
      <c r="V216" s="152"/>
      <c r="W216" s="2">
        <f>VLOOKUP(Table1[[#This Row],[Status]],Auxiliar!$B$16:$D$24,3,0)*Table1[[#This Row],[Estimação (horas)]]</f>
        <v>2</v>
      </c>
      <c r="X216" s="2"/>
    </row>
    <row r="217" spans="2:24" ht="17.7" customHeight="1" x14ac:dyDescent="0.25">
      <c r="B217" s="2" t="s">
        <v>26</v>
      </c>
      <c r="C217" s="2" t="s">
        <v>54</v>
      </c>
      <c r="D217" s="2" t="s">
        <v>124</v>
      </c>
      <c r="E217" s="2" t="s">
        <v>38</v>
      </c>
      <c r="F217" s="2" t="s">
        <v>123</v>
      </c>
      <c r="G217" s="2" t="s">
        <v>145</v>
      </c>
      <c r="H217" s="57" t="str">
        <f>Table1[[#This Row],[Tabela]]&amp;Table1[[#This Row],[Campo]]</f>
        <v>PROPERTY_ENERGY_CERTIFICATERENEWABLE_SPACE_COOLING_VALUE</v>
      </c>
      <c r="I217" s="2" t="s">
        <v>614</v>
      </c>
      <c r="J217" s="43">
        <f>VLOOKUP(Table1[[#This Row],[Status]],Auxiliar!$B$16:$C$24,2,0)</f>
        <v>1</v>
      </c>
      <c r="K217" s="2" t="s">
        <v>1255</v>
      </c>
      <c r="L217" s="29" t="s">
        <v>1250</v>
      </c>
      <c r="M217" s="21" t="s">
        <v>1259</v>
      </c>
      <c r="N217" s="48">
        <v>45485</v>
      </c>
      <c r="O217" s="21">
        <f>INDEX(Auxiliar!$D$5:$F$13,MATCH(Table1[[#This Row],[Tipologia_Testes]],Auxiliar!$B$5:$B$13,0),MATCH(Table1[[#This Row],[Complexidade]],Auxiliar!$D$4:$F$4,0))</f>
        <v>0.1</v>
      </c>
      <c r="P217" s="2" t="s">
        <v>1276</v>
      </c>
      <c r="Q217" s="2"/>
      <c r="R217" s="152">
        <v>45261</v>
      </c>
      <c r="S217" s="152"/>
      <c r="T217" s="152"/>
      <c r="U217" s="152"/>
      <c r="V217" s="152"/>
      <c r="W217" s="2">
        <f>VLOOKUP(Table1[[#This Row],[Status]],Auxiliar!$B$16:$D$24,3,0)*Table1[[#This Row],[Estimação (horas)]]</f>
        <v>0.1</v>
      </c>
      <c r="X217" s="2"/>
    </row>
    <row r="218" spans="2:24" ht="17.7" customHeight="1" x14ac:dyDescent="0.25">
      <c r="B218" s="2" t="s">
        <v>26</v>
      </c>
      <c r="C218" s="2" t="s">
        <v>54</v>
      </c>
      <c r="D218" s="2" t="s">
        <v>124</v>
      </c>
      <c r="E218" s="2" t="s">
        <v>38</v>
      </c>
      <c r="F218" s="2" t="s">
        <v>123</v>
      </c>
      <c r="G218" s="2" t="s">
        <v>146</v>
      </c>
      <c r="H218" s="57" t="str">
        <f>Table1[[#This Row],[Tabela]]&amp;Table1[[#This Row],[Campo]]</f>
        <v>PROPERTY_ENERGY_CERTIFICATESPACE_COOLING_REF_VALUE</v>
      </c>
      <c r="I218" s="2" t="s">
        <v>614</v>
      </c>
      <c r="J218" s="43">
        <f>VLOOKUP(Table1[[#This Row],[Status]],Auxiliar!$B$16:$C$24,2,0)</f>
        <v>1</v>
      </c>
      <c r="K218" s="2" t="s">
        <v>1252</v>
      </c>
      <c r="L218" s="29" t="s">
        <v>1250</v>
      </c>
      <c r="M218" s="21" t="s">
        <v>1259</v>
      </c>
      <c r="N218" s="48">
        <v>45485</v>
      </c>
      <c r="O218" s="21">
        <f>INDEX(Auxiliar!$D$5:$F$13,MATCH(Table1[[#This Row],[Tipologia_Testes]],Auxiliar!$B$5:$B$13,0),MATCH(Table1[[#This Row],[Complexidade]],Auxiliar!$D$4:$F$4,0))</f>
        <v>2</v>
      </c>
      <c r="P218" s="2" t="s">
        <v>1276</v>
      </c>
      <c r="Q218" s="2"/>
      <c r="R218" s="152">
        <v>45261</v>
      </c>
      <c r="S218" s="152"/>
      <c r="T218" s="152"/>
      <c r="U218" s="152"/>
      <c r="V218" s="152"/>
      <c r="W218" s="2">
        <f>VLOOKUP(Table1[[#This Row],[Status]],Auxiliar!$B$16:$D$24,3,0)*Table1[[#This Row],[Estimação (horas)]]</f>
        <v>2</v>
      </c>
      <c r="X218" s="2"/>
    </row>
    <row r="219" spans="2:24" ht="17.7" customHeight="1" x14ac:dyDescent="0.25">
      <c r="B219" s="2" t="s">
        <v>26</v>
      </c>
      <c r="C219" s="2" t="s">
        <v>54</v>
      </c>
      <c r="D219" s="2" t="s">
        <v>124</v>
      </c>
      <c r="E219" s="2" t="s">
        <v>38</v>
      </c>
      <c r="F219" s="2" t="s">
        <v>123</v>
      </c>
      <c r="G219" s="2" t="s">
        <v>146</v>
      </c>
      <c r="H219" s="57" t="str">
        <f>Table1[[#This Row],[Tabela]]&amp;Table1[[#This Row],[Campo]]</f>
        <v>PROPERTY_ENERGY_CERTIFICATESPACE_COOLING_REF_VALUE</v>
      </c>
      <c r="I219" s="2" t="s">
        <v>614</v>
      </c>
      <c r="J219" s="43">
        <f>VLOOKUP(Table1[[#This Row],[Status]],Auxiliar!$B$16:$C$24,2,0)</f>
        <v>1</v>
      </c>
      <c r="K219" s="2" t="s">
        <v>1253</v>
      </c>
      <c r="L219" s="29" t="s">
        <v>1250</v>
      </c>
      <c r="M219" s="21" t="s">
        <v>1259</v>
      </c>
      <c r="N219" s="48">
        <v>45485</v>
      </c>
      <c r="O219" s="21">
        <f>INDEX(Auxiliar!$D$5:$F$13,MATCH(Table1[[#This Row],[Tipologia_Testes]],Auxiliar!$B$5:$B$13,0),MATCH(Table1[[#This Row],[Complexidade]],Auxiliar!$D$4:$F$4,0))</f>
        <v>2</v>
      </c>
      <c r="P219" s="2" t="s">
        <v>1276</v>
      </c>
      <c r="Q219" s="2"/>
      <c r="R219" s="152">
        <v>45261</v>
      </c>
      <c r="S219" s="152"/>
      <c r="T219" s="152"/>
      <c r="U219" s="152"/>
      <c r="V219" s="152"/>
      <c r="W219" s="2">
        <f>VLOOKUP(Table1[[#This Row],[Status]],Auxiliar!$B$16:$D$24,3,0)*Table1[[#This Row],[Estimação (horas)]]</f>
        <v>2</v>
      </c>
      <c r="X219" s="2"/>
    </row>
    <row r="220" spans="2:24" ht="17.7" customHeight="1" x14ac:dyDescent="0.25">
      <c r="B220" s="2" t="s">
        <v>26</v>
      </c>
      <c r="C220" s="2" t="s">
        <v>54</v>
      </c>
      <c r="D220" s="2" t="s">
        <v>124</v>
      </c>
      <c r="E220" s="2" t="s">
        <v>38</v>
      </c>
      <c r="F220" s="2" t="s">
        <v>123</v>
      </c>
      <c r="G220" s="2" t="s">
        <v>146</v>
      </c>
      <c r="H220" s="57" t="str">
        <f>Table1[[#This Row],[Tabela]]&amp;Table1[[#This Row],[Campo]]</f>
        <v>PROPERTY_ENERGY_CERTIFICATESPACE_COOLING_REF_VALUE</v>
      </c>
      <c r="I220" s="2" t="s">
        <v>614</v>
      </c>
      <c r="J220" s="43">
        <f>VLOOKUP(Table1[[#This Row],[Status]],Auxiliar!$B$16:$C$24,2,0)</f>
        <v>1</v>
      </c>
      <c r="K220" s="2" t="s">
        <v>1255</v>
      </c>
      <c r="L220" s="29" t="s">
        <v>1250</v>
      </c>
      <c r="M220" s="21" t="s">
        <v>1259</v>
      </c>
      <c r="N220" s="48">
        <v>45485</v>
      </c>
      <c r="O220" s="21">
        <f>INDEX(Auxiliar!$D$5:$F$13,MATCH(Table1[[#This Row],[Tipologia_Testes]],Auxiliar!$B$5:$B$13,0),MATCH(Table1[[#This Row],[Complexidade]],Auxiliar!$D$4:$F$4,0))</f>
        <v>0.1</v>
      </c>
      <c r="P220" s="2" t="s">
        <v>1276</v>
      </c>
      <c r="Q220" s="2"/>
      <c r="R220" s="152">
        <v>45261</v>
      </c>
      <c r="S220" s="152"/>
      <c r="T220" s="152"/>
      <c r="U220" s="152"/>
      <c r="V220" s="152"/>
      <c r="W220" s="2">
        <f>VLOOKUP(Table1[[#This Row],[Status]],Auxiliar!$B$16:$D$24,3,0)*Table1[[#This Row],[Estimação (horas)]]</f>
        <v>0.1</v>
      </c>
      <c r="X220" s="2"/>
    </row>
    <row r="221" spans="2:24" ht="17.7" customHeight="1" x14ac:dyDescent="0.25">
      <c r="B221" s="2" t="s">
        <v>26</v>
      </c>
      <c r="C221" s="2" t="s">
        <v>54</v>
      </c>
      <c r="D221" s="2" t="s">
        <v>124</v>
      </c>
      <c r="E221" s="2" t="s">
        <v>38</v>
      </c>
      <c r="F221" s="2" t="s">
        <v>123</v>
      </c>
      <c r="G221" s="2" t="s">
        <v>147</v>
      </c>
      <c r="H221" s="57" t="str">
        <f>Table1[[#This Row],[Tabela]]&amp;Table1[[#This Row],[Campo]]</f>
        <v>PROPERTY_ENERGY_CERTIFICATEENERGY_CLASS_AFTER_MEASUREMENT</v>
      </c>
      <c r="I221" s="2" t="s">
        <v>614</v>
      </c>
      <c r="J221" s="43">
        <f>VLOOKUP(Table1[[#This Row],[Status]],Auxiliar!$B$16:$C$24,2,0)</f>
        <v>1</v>
      </c>
      <c r="K221" s="2" t="s">
        <v>1252</v>
      </c>
      <c r="L221" s="29" t="s">
        <v>1250</v>
      </c>
      <c r="M221" s="21" t="s">
        <v>1259</v>
      </c>
      <c r="N221" s="48">
        <v>45485</v>
      </c>
      <c r="O221" s="21">
        <f>INDEX(Auxiliar!$D$5:$F$13,MATCH(Table1[[#This Row],[Tipologia_Testes]],Auxiliar!$B$5:$B$13,0),MATCH(Table1[[#This Row],[Complexidade]],Auxiliar!$D$4:$F$4,0))</f>
        <v>2</v>
      </c>
      <c r="P221" s="2" t="s">
        <v>1276</v>
      </c>
      <c r="Q221" s="2"/>
      <c r="R221" s="152">
        <v>45261</v>
      </c>
      <c r="S221" s="152"/>
      <c r="T221" s="152"/>
      <c r="U221" s="152"/>
      <c r="V221" s="152"/>
      <c r="W221" s="2">
        <f>VLOOKUP(Table1[[#This Row],[Status]],Auxiliar!$B$16:$D$24,3,0)*Table1[[#This Row],[Estimação (horas)]]</f>
        <v>2</v>
      </c>
      <c r="X221" s="2"/>
    </row>
    <row r="222" spans="2:24" ht="17.7" customHeight="1" x14ac:dyDescent="0.25">
      <c r="B222" s="2" t="s">
        <v>26</v>
      </c>
      <c r="C222" s="2" t="s">
        <v>54</v>
      </c>
      <c r="D222" s="2" t="s">
        <v>124</v>
      </c>
      <c r="E222" s="2" t="s">
        <v>38</v>
      </c>
      <c r="F222" s="2" t="s">
        <v>123</v>
      </c>
      <c r="G222" s="2" t="s">
        <v>147</v>
      </c>
      <c r="H222" s="57" t="str">
        <f>Table1[[#This Row],[Tabela]]&amp;Table1[[#This Row],[Campo]]</f>
        <v>PROPERTY_ENERGY_CERTIFICATEENERGY_CLASS_AFTER_MEASUREMENT</v>
      </c>
      <c r="I222" s="2" t="s">
        <v>614</v>
      </c>
      <c r="J222" s="43">
        <f>VLOOKUP(Table1[[#This Row],[Status]],Auxiliar!$B$16:$C$24,2,0)</f>
        <v>1</v>
      </c>
      <c r="K222" s="2" t="s">
        <v>1253</v>
      </c>
      <c r="L222" s="29" t="s">
        <v>1250</v>
      </c>
      <c r="M222" s="21" t="s">
        <v>1259</v>
      </c>
      <c r="N222" s="48">
        <v>45485</v>
      </c>
      <c r="O222" s="21">
        <f>INDEX(Auxiliar!$D$5:$F$13,MATCH(Table1[[#This Row],[Tipologia_Testes]],Auxiliar!$B$5:$B$13,0),MATCH(Table1[[#This Row],[Complexidade]],Auxiliar!$D$4:$F$4,0))</f>
        <v>2</v>
      </c>
      <c r="P222" s="2" t="s">
        <v>1276</v>
      </c>
      <c r="Q222" s="2"/>
      <c r="R222" s="152">
        <v>45261</v>
      </c>
      <c r="S222" s="152"/>
      <c r="T222" s="152"/>
      <c r="U222" s="152"/>
      <c r="V222" s="152"/>
      <c r="W222" s="2">
        <f>VLOOKUP(Table1[[#This Row],[Status]],Auxiliar!$B$16:$D$24,3,0)*Table1[[#This Row],[Estimação (horas)]]</f>
        <v>2</v>
      </c>
      <c r="X222" s="2"/>
    </row>
    <row r="223" spans="2:24" ht="17.7" customHeight="1" x14ac:dyDescent="0.25">
      <c r="B223" s="2" t="s">
        <v>26</v>
      </c>
      <c r="C223" s="2" t="s">
        <v>54</v>
      </c>
      <c r="D223" s="2" t="s">
        <v>124</v>
      </c>
      <c r="E223" s="2" t="s">
        <v>38</v>
      </c>
      <c r="F223" s="2" t="s">
        <v>123</v>
      </c>
      <c r="G223" s="2" t="s">
        <v>147</v>
      </c>
      <c r="H223" s="57" t="str">
        <f>Table1[[#This Row],[Tabela]]&amp;Table1[[#This Row],[Campo]]</f>
        <v>PROPERTY_ENERGY_CERTIFICATEENERGY_CLASS_AFTER_MEASUREMENT</v>
      </c>
      <c r="I223" s="2" t="s">
        <v>614</v>
      </c>
      <c r="J223" s="43">
        <f>VLOOKUP(Table1[[#This Row],[Status]],Auxiliar!$B$16:$C$24,2,0)</f>
        <v>1</v>
      </c>
      <c r="K223" s="2" t="s">
        <v>1255</v>
      </c>
      <c r="L223" s="29" t="s">
        <v>1250</v>
      </c>
      <c r="M223" s="21" t="s">
        <v>1259</v>
      </c>
      <c r="N223" s="48">
        <v>45485</v>
      </c>
      <c r="O223" s="21">
        <f>INDEX(Auxiliar!$D$5:$F$13,MATCH(Table1[[#This Row],[Tipologia_Testes]],Auxiliar!$B$5:$B$13,0),MATCH(Table1[[#This Row],[Complexidade]],Auxiliar!$D$4:$F$4,0))</f>
        <v>0.1</v>
      </c>
      <c r="P223" s="2" t="s">
        <v>1276</v>
      </c>
      <c r="Q223" s="2"/>
      <c r="R223" s="152">
        <v>45261</v>
      </c>
      <c r="S223" s="152"/>
      <c r="T223" s="152"/>
      <c r="U223" s="152"/>
      <c r="V223" s="152"/>
      <c r="W223" s="2">
        <f>VLOOKUP(Table1[[#This Row],[Status]],Auxiliar!$B$16:$D$24,3,0)*Table1[[#This Row],[Estimação (horas)]]</f>
        <v>0.1</v>
      </c>
      <c r="X223" s="2"/>
    </row>
    <row r="224" spans="2:24" ht="17.7" customHeight="1" x14ac:dyDescent="0.25">
      <c r="B224" s="2" t="s">
        <v>26</v>
      </c>
      <c r="C224" s="2" t="s">
        <v>54</v>
      </c>
      <c r="D224" s="2" t="s">
        <v>124</v>
      </c>
      <c r="E224" s="2" t="s">
        <v>38</v>
      </c>
      <c r="F224" s="2" t="s">
        <v>123</v>
      </c>
      <c r="G224" s="2" t="s">
        <v>51</v>
      </c>
      <c r="H224" s="57" t="str">
        <f>Table1[[#This Row],[Tabela]]&amp;Table1[[#This Row],[Campo]]</f>
        <v>PROPERTY_ENERGY_CERTIFICATEENERGY_CONSUMPTION_VALUE_YEAR</v>
      </c>
      <c r="I224" s="2" t="s">
        <v>619</v>
      </c>
      <c r="J224" s="43">
        <f>VLOOKUP(Table1[[#This Row],[Status]],Auxiliar!$B$16:$C$24,2,0)</f>
        <v>7</v>
      </c>
      <c r="K224" s="2" t="s">
        <v>1252</v>
      </c>
      <c r="L224" s="29" t="s">
        <v>1250</v>
      </c>
      <c r="M224" s="21" t="s">
        <v>1259</v>
      </c>
      <c r="N224" s="48">
        <v>45618</v>
      </c>
      <c r="O224" s="21">
        <f>INDEX(Auxiliar!$D$5:$F$13,MATCH(Table1[[#This Row],[Tipologia_Testes]],Auxiliar!$B$5:$B$13,0),MATCH(Table1[[#This Row],[Complexidade]],Auxiliar!$D$4:$F$4,0))</f>
        <v>2</v>
      </c>
      <c r="P224" s="2"/>
      <c r="Q224" s="2"/>
      <c r="R224" s="152">
        <v>45616</v>
      </c>
      <c r="S224" s="152"/>
      <c r="T224" s="152"/>
      <c r="U224" s="152"/>
      <c r="V224" s="152"/>
      <c r="W224" s="2">
        <f>VLOOKUP(Table1[[#This Row],[Status]],Auxiliar!$B$16:$D$24,3,0)*Table1[[#This Row],[Estimação (horas)]]</f>
        <v>0.5</v>
      </c>
      <c r="X224" s="2"/>
    </row>
    <row r="225" spans="2:24" ht="17.7" customHeight="1" x14ac:dyDescent="0.25">
      <c r="B225" s="2" t="s">
        <v>26</v>
      </c>
      <c r="C225" s="2" t="s">
        <v>54</v>
      </c>
      <c r="D225" s="2" t="s">
        <v>124</v>
      </c>
      <c r="E225" s="2" t="s">
        <v>38</v>
      </c>
      <c r="F225" s="2" t="s">
        <v>123</v>
      </c>
      <c r="G225" s="2" t="s">
        <v>51</v>
      </c>
      <c r="H225" s="57" t="str">
        <f>Table1[[#This Row],[Tabela]]&amp;Table1[[#This Row],[Campo]]</f>
        <v>PROPERTY_ENERGY_CERTIFICATEENERGY_CONSUMPTION_VALUE_YEAR</v>
      </c>
      <c r="I225" s="2" t="s">
        <v>619</v>
      </c>
      <c r="J225" s="43">
        <f>VLOOKUP(Table1[[#This Row],[Status]],Auxiliar!$B$16:$C$24,2,0)</f>
        <v>7</v>
      </c>
      <c r="K225" s="2" t="s">
        <v>1253</v>
      </c>
      <c r="L225" s="29" t="s">
        <v>1250</v>
      </c>
      <c r="M225" s="21" t="s">
        <v>1259</v>
      </c>
      <c r="N225" s="48">
        <v>45618</v>
      </c>
      <c r="O225" s="21">
        <f>INDEX(Auxiliar!$D$5:$F$13,MATCH(Table1[[#This Row],[Tipologia_Testes]],Auxiliar!$B$5:$B$13,0),MATCH(Table1[[#This Row],[Complexidade]],Auxiliar!$D$4:$F$4,0))</f>
        <v>2</v>
      </c>
      <c r="P225" s="2"/>
      <c r="Q225" s="2"/>
      <c r="R225" s="152">
        <v>45616</v>
      </c>
      <c r="S225" s="152"/>
      <c r="T225" s="152"/>
      <c r="U225" s="152"/>
      <c r="V225" s="152"/>
      <c r="W225" s="2">
        <f>VLOOKUP(Table1[[#This Row],[Status]],Auxiliar!$B$16:$D$24,3,0)*Table1[[#This Row],[Estimação (horas)]]</f>
        <v>0.5</v>
      </c>
      <c r="X225" s="2"/>
    </row>
    <row r="226" spans="2:24" ht="17.7" customHeight="1" x14ac:dyDescent="0.25">
      <c r="B226" s="2" t="s">
        <v>26</v>
      </c>
      <c r="C226" s="2" t="s">
        <v>54</v>
      </c>
      <c r="D226" s="2" t="s">
        <v>124</v>
      </c>
      <c r="E226" s="2" t="s">
        <v>38</v>
      </c>
      <c r="F226" s="2" t="s">
        <v>123</v>
      </c>
      <c r="G226" s="2" t="s">
        <v>51</v>
      </c>
      <c r="H226" s="57" t="str">
        <f>Table1[[#This Row],[Tabela]]&amp;Table1[[#This Row],[Campo]]</f>
        <v>PROPERTY_ENERGY_CERTIFICATEENERGY_CONSUMPTION_VALUE_YEAR</v>
      </c>
      <c r="I226" s="2" t="s">
        <v>619</v>
      </c>
      <c r="J226" s="43">
        <f>VLOOKUP(Table1[[#This Row],[Status]],Auxiliar!$B$16:$C$24,2,0)</f>
        <v>7</v>
      </c>
      <c r="K226" s="2" t="s">
        <v>1255</v>
      </c>
      <c r="L226" s="29" t="s">
        <v>1250</v>
      </c>
      <c r="M226" s="21" t="s">
        <v>1259</v>
      </c>
      <c r="N226" s="48">
        <v>45618</v>
      </c>
      <c r="O226" s="21">
        <f>INDEX(Auxiliar!$D$5:$F$13,MATCH(Table1[[#This Row],[Tipologia_Testes]],Auxiliar!$B$5:$B$13,0),MATCH(Table1[[#This Row],[Complexidade]],Auxiliar!$D$4:$F$4,0))</f>
        <v>0.1</v>
      </c>
      <c r="P226" s="2"/>
      <c r="Q226" s="2"/>
      <c r="R226" s="152">
        <v>45616</v>
      </c>
      <c r="S226" s="152"/>
      <c r="T226" s="152"/>
      <c r="U226" s="152"/>
      <c r="V226" s="152"/>
      <c r="W226" s="2">
        <f>VLOOKUP(Table1[[#This Row],[Status]],Auxiliar!$B$16:$D$24,3,0)*Table1[[#This Row],[Estimação (horas)]]</f>
        <v>2.5000000000000001E-2</v>
      </c>
      <c r="X226" s="2"/>
    </row>
    <row r="227" spans="2:24" ht="17.7" customHeight="1" x14ac:dyDescent="0.25">
      <c r="B227" s="2" t="s">
        <v>26</v>
      </c>
      <c r="C227" s="2" t="s">
        <v>54</v>
      </c>
      <c r="D227" s="2" t="s">
        <v>124</v>
      </c>
      <c r="E227" s="2" t="s">
        <v>38</v>
      </c>
      <c r="F227" s="2" t="s">
        <v>123</v>
      </c>
      <c r="G227" s="2" t="s">
        <v>148</v>
      </c>
      <c r="H227" s="57" t="str">
        <f>Table1[[#This Row],[Tabela]]&amp;Table1[[#This Row],[Campo]]</f>
        <v>PROPERTY_ENERGY_CERTIFICATETHERMAL_BEHAVIOUR_ROOF</v>
      </c>
      <c r="I227" s="2" t="s">
        <v>614</v>
      </c>
      <c r="J227" s="43">
        <f>VLOOKUP(Table1[[#This Row],[Status]],Auxiliar!$B$16:$C$24,2,0)</f>
        <v>1</v>
      </c>
      <c r="K227" s="2" t="s">
        <v>1252</v>
      </c>
      <c r="L227" s="29" t="s">
        <v>1250</v>
      </c>
      <c r="M227" s="21" t="s">
        <v>1259</v>
      </c>
      <c r="N227" s="48">
        <v>45485</v>
      </c>
      <c r="O227" s="21">
        <f>INDEX(Auxiliar!$D$5:$F$13,MATCH(Table1[[#This Row],[Tipologia_Testes]],Auxiliar!$B$5:$B$13,0),MATCH(Table1[[#This Row],[Complexidade]],Auxiliar!$D$4:$F$4,0))</f>
        <v>2</v>
      </c>
      <c r="P227" s="2" t="s">
        <v>1276</v>
      </c>
      <c r="Q227" s="2"/>
      <c r="R227" s="152">
        <v>45261</v>
      </c>
      <c r="S227" s="152"/>
      <c r="T227" s="152"/>
      <c r="U227" s="152"/>
      <c r="V227" s="152"/>
      <c r="W227" s="2">
        <f>VLOOKUP(Table1[[#This Row],[Status]],Auxiliar!$B$16:$D$24,3,0)*Table1[[#This Row],[Estimação (horas)]]</f>
        <v>2</v>
      </c>
      <c r="X227" s="2"/>
    </row>
    <row r="228" spans="2:24" ht="17.7" customHeight="1" x14ac:dyDescent="0.25">
      <c r="B228" s="2" t="s">
        <v>26</v>
      </c>
      <c r="C228" s="2" t="s">
        <v>54</v>
      </c>
      <c r="D228" s="2" t="s">
        <v>124</v>
      </c>
      <c r="E228" s="2" t="s">
        <v>38</v>
      </c>
      <c r="F228" s="2" t="s">
        <v>123</v>
      </c>
      <c r="G228" s="2" t="s">
        <v>148</v>
      </c>
      <c r="H228" s="57" t="str">
        <f>Table1[[#This Row],[Tabela]]&amp;Table1[[#This Row],[Campo]]</f>
        <v>PROPERTY_ENERGY_CERTIFICATETHERMAL_BEHAVIOUR_ROOF</v>
      </c>
      <c r="I228" s="2" t="s">
        <v>614</v>
      </c>
      <c r="J228" s="43">
        <f>VLOOKUP(Table1[[#This Row],[Status]],Auxiliar!$B$16:$C$24,2,0)</f>
        <v>1</v>
      </c>
      <c r="K228" s="2" t="s">
        <v>1253</v>
      </c>
      <c r="L228" s="29" t="s">
        <v>1250</v>
      </c>
      <c r="M228" s="21" t="s">
        <v>1259</v>
      </c>
      <c r="N228" s="48">
        <v>45485</v>
      </c>
      <c r="O228" s="21">
        <f>INDEX(Auxiliar!$D$5:$F$13,MATCH(Table1[[#This Row],[Tipologia_Testes]],Auxiliar!$B$5:$B$13,0),MATCH(Table1[[#This Row],[Complexidade]],Auxiliar!$D$4:$F$4,0))</f>
        <v>2</v>
      </c>
      <c r="P228" s="2" t="s">
        <v>1276</v>
      </c>
      <c r="Q228" s="2"/>
      <c r="R228" s="152">
        <v>45261</v>
      </c>
      <c r="S228" s="152"/>
      <c r="T228" s="152"/>
      <c r="U228" s="152"/>
      <c r="V228" s="152"/>
      <c r="W228" s="2">
        <f>VLOOKUP(Table1[[#This Row],[Status]],Auxiliar!$B$16:$D$24,3,0)*Table1[[#This Row],[Estimação (horas)]]</f>
        <v>2</v>
      </c>
      <c r="X228" s="2"/>
    </row>
    <row r="229" spans="2:24" ht="17.7" customHeight="1" x14ac:dyDescent="0.25">
      <c r="B229" s="2" t="s">
        <v>26</v>
      </c>
      <c r="C229" s="2" t="s">
        <v>54</v>
      </c>
      <c r="D229" s="2" t="s">
        <v>124</v>
      </c>
      <c r="E229" s="2" t="s">
        <v>38</v>
      </c>
      <c r="F229" s="2" t="s">
        <v>123</v>
      </c>
      <c r="G229" s="2" t="s">
        <v>148</v>
      </c>
      <c r="H229" s="57" t="str">
        <f>Table1[[#This Row],[Tabela]]&amp;Table1[[#This Row],[Campo]]</f>
        <v>PROPERTY_ENERGY_CERTIFICATETHERMAL_BEHAVIOUR_ROOF</v>
      </c>
      <c r="I229" s="2" t="s">
        <v>614</v>
      </c>
      <c r="J229" s="43">
        <f>VLOOKUP(Table1[[#This Row],[Status]],Auxiliar!$B$16:$C$24,2,0)</f>
        <v>1</v>
      </c>
      <c r="K229" s="2" t="s">
        <v>1255</v>
      </c>
      <c r="L229" s="29" t="s">
        <v>1250</v>
      </c>
      <c r="M229" s="21" t="s">
        <v>1259</v>
      </c>
      <c r="N229" s="48">
        <v>45485</v>
      </c>
      <c r="O229" s="21">
        <f>INDEX(Auxiliar!$D$5:$F$13,MATCH(Table1[[#This Row],[Tipologia_Testes]],Auxiliar!$B$5:$B$13,0),MATCH(Table1[[#This Row],[Complexidade]],Auxiliar!$D$4:$F$4,0))</f>
        <v>0.1</v>
      </c>
      <c r="P229" s="2" t="s">
        <v>1276</v>
      </c>
      <c r="Q229" s="2"/>
      <c r="R229" s="152">
        <v>45261</v>
      </c>
      <c r="S229" s="152"/>
      <c r="T229" s="152"/>
      <c r="U229" s="152"/>
      <c r="V229" s="152"/>
      <c r="W229" s="2">
        <f>VLOOKUP(Table1[[#This Row],[Status]],Auxiliar!$B$16:$D$24,3,0)*Table1[[#This Row],[Estimação (horas)]]</f>
        <v>0.1</v>
      </c>
      <c r="X229" s="2"/>
    </row>
    <row r="230" spans="2:24" ht="17.7" customHeight="1" x14ac:dyDescent="0.25">
      <c r="B230" s="2" t="s">
        <v>26</v>
      </c>
      <c r="C230" s="2" t="s">
        <v>54</v>
      </c>
      <c r="D230" s="2" t="s">
        <v>124</v>
      </c>
      <c r="E230" s="2" t="s">
        <v>38</v>
      </c>
      <c r="F230" s="2" t="s">
        <v>123</v>
      </c>
      <c r="G230" s="2" t="s">
        <v>149</v>
      </c>
      <c r="H230" s="57" t="str">
        <f>Table1[[#This Row],[Tabela]]&amp;Table1[[#This Row],[Campo]]</f>
        <v>PROPERTY_ENERGY_CERTIFICATETHERMAL_BEHAVIOUR_WINDOWS</v>
      </c>
      <c r="I230" s="2" t="s">
        <v>614</v>
      </c>
      <c r="J230" s="43">
        <f>VLOOKUP(Table1[[#This Row],[Status]],Auxiliar!$B$16:$C$24,2,0)</f>
        <v>1</v>
      </c>
      <c r="K230" s="2" t="s">
        <v>1252</v>
      </c>
      <c r="L230" s="29" t="s">
        <v>1250</v>
      </c>
      <c r="M230" s="21" t="s">
        <v>1259</v>
      </c>
      <c r="N230" s="48">
        <v>45485</v>
      </c>
      <c r="O230" s="21">
        <f>INDEX(Auxiliar!$D$5:$F$13,MATCH(Table1[[#This Row],[Tipologia_Testes]],Auxiliar!$B$5:$B$13,0),MATCH(Table1[[#This Row],[Complexidade]],Auxiliar!$D$4:$F$4,0))</f>
        <v>2</v>
      </c>
      <c r="P230" s="2" t="s">
        <v>1276</v>
      </c>
      <c r="Q230" s="2"/>
      <c r="R230" s="152">
        <v>45261</v>
      </c>
      <c r="S230" s="152"/>
      <c r="T230" s="152"/>
      <c r="U230" s="152"/>
      <c r="V230" s="152"/>
      <c r="W230" s="2">
        <f>VLOOKUP(Table1[[#This Row],[Status]],Auxiliar!$B$16:$D$24,3,0)*Table1[[#This Row],[Estimação (horas)]]</f>
        <v>2</v>
      </c>
      <c r="X230" s="2"/>
    </row>
    <row r="231" spans="2:24" ht="17.7" customHeight="1" x14ac:dyDescent="0.25">
      <c r="B231" s="2" t="s">
        <v>26</v>
      </c>
      <c r="C231" s="2" t="s">
        <v>54</v>
      </c>
      <c r="D231" s="2" t="s">
        <v>124</v>
      </c>
      <c r="E231" s="2" t="s">
        <v>38</v>
      </c>
      <c r="F231" s="2" t="s">
        <v>123</v>
      </c>
      <c r="G231" s="2" t="s">
        <v>149</v>
      </c>
      <c r="H231" s="57" t="str">
        <f>Table1[[#This Row],[Tabela]]&amp;Table1[[#This Row],[Campo]]</f>
        <v>PROPERTY_ENERGY_CERTIFICATETHERMAL_BEHAVIOUR_WINDOWS</v>
      </c>
      <c r="I231" s="2" t="s">
        <v>614</v>
      </c>
      <c r="J231" s="43">
        <f>VLOOKUP(Table1[[#This Row],[Status]],Auxiliar!$B$16:$C$24,2,0)</f>
        <v>1</v>
      </c>
      <c r="K231" s="2" t="s">
        <v>1253</v>
      </c>
      <c r="L231" s="29" t="s">
        <v>1250</v>
      </c>
      <c r="M231" s="21" t="s">
        <v>1259</v>
      </c>
      <c r="N231" s="48">
        <v>45485</v>
      </c>
      <c r="O231" s="21">
        <f>INDEX(Auxiliar!$D$5:$F$13,MATCH(Table1[[#This Row],[Tipologia_Testes]],Auxiliar!$B$5:$B$13,0),MATCH(Table1[[#This Row],[Complexidade]],Auxiliar!$D$4:$F$4,0))</f>
        <v>2</v>
      </c>
      <c r="P231" s="2" t="s">
        <v>1276</v>
      </c>
      <c r="Q231" s="2"/>
      <c r="R231" s="152">
        <v>45261</v>
      </c>
      <c r="S231" s="152"/>
      <c r="T231" s="152"/>
      <c r="U231" s="152"/>
      <c r="V231" s="152"/>
      <c r="W231" s="2">
        <f>VLOOKUP(Table1[[#This Row],[Status]],Auxiliar!$B$16:$D$24,3,0)*Table1[[#This Row],[Estimação (horas)]]</f>
        <v>2</v>
      </c>
      <c r="X231" s="2"/>
    </row>
    <row r="232" spans="2:24" ht="17.7" customHeight="1" x14ac:dyDescent="0.25">
      <c r="B232" s="2" t="s">
        <v>26</v>
      </c>
      <c r="C232" s="2" t="s">
        <v>54</v>
      </c>
      <c r="D232" s="2" t="s">
        <v>124</v>
      </c>
      <c r="E232" s="2" t="s">
        <v>38</v>
      </c>
      <c r="F232" s="2" t="s">
        <v>123</v>
      </c>
      <c r="G232" s="2" t="s">
        <v>149</v>
      </c>
      <c r="H232" s="57" t="str">
        <f>Table1[[#This Row],[Tabela]]&amp;Table1[[#This Row],[Campo]]</f>
        <v>PROPERTY_ENERGY_CERTIFICATETHERMAL_BEHAVIOUR_WINDOWS</v>
      </c>
      <c r="I232" s="2" t="s">
        <v>614</v>
      </c>
      <c r="J232" s="43">
        <f>VLOOKUP(Table1[[#This Row],[Status]],Auxiliar!$B$16:$C$24,2,0)</f>
        <v>1</v>
      </c>
      <c r="K232" s="2" t="s">
        <v>1255</v>
      </c>
      <c r="L232" s="29" t="s">
        <v>1250</v>
      </c>
      <c r="M232" s="21" t="s">
        <v>1259</v>
      </c>
      <c r="N232" s="48">
        <v>45485</v>
      </c>
      <c r="O232" s="21">
        <f>INDEX(Auxiliar!$D$5:$F$13,MATCH(Table1[[#This Row],[Tipologia_Testes]],Auxiliar!$B$5:$B$13,0),MATCH(Table1[[#This Row],[Complexidade]],Auxiliar!$D$4:$F$4,0))</f>
        <v>0.1</v>
      </c>
      <c r="P232" s="2" t="s">
        <v>1276</v>
      </c>
      <c r="Q232" s="2"/>
      <c r="R232" s="152">
        <v>45261</v>
      </c>
      <c r="S232" s="152"/>
      <c r="T232" s="152"/>
      <c r="U232" s="152"/>
      <c r="V232" s="152"/>
      <c r="W232" s="2">
        <f>VLOOKUP(Table1[[#This Row],[Status]],Auxiliar!$B$16:$D$24,3,0)*Table1[[#This Row],[Estimação (horas)]]</f>
        <v>0.1</v>
      </c>
      <c r="X232" s="2"/>
    </row>
    <row r="233" spans="2:24" ht="17.7" customHeight="1" x14ac:dyDescent="0.25">
      <c r="B233" s="2" t="s">
        <v>26</v>
      </c>
      <c r="C233" s="2" t="s">
        <v>54</v>
      </c>
      <c r="D233" s="2" t="s">
        <v>124</v>
      </c>
      <c r="E233" s="2" t="s">
        <v>38</v>
      </c>
      <c r="F233" s="2" t="s">
        <v>123</v>
      </c>
      <c r="G233" s="2" t="s">
        <v>150</v>
      </c>
      <c r="H233" s="57" t="str">
        <f>Table1[[#This Row],[Tabela]]&amp;Table1[[#This Row],[Campo]]</f>
        <v>PROPERTY_ENERGY_CERTIFICATETHERMAL_BEHAVIOUR_WALL</v>
      </c>
      <c r="I233" s="2" t="s">
        <v>614</v>
      </c>
      <c r="J233" s="43">
        <f>VLOOKUP(Table1[[#This Row],[Status]],Auxiliar!$B$16:$C$24,2,0)</f>
        <v>1</v>
      </c>
      <c r="K233" s="2" t="s">
        <v>1252</v>
      </c>
      <c r="L233" s="29" t="s">
        <v>1250</v>
      </c>
      <c r="M233" s="21" t="s">
        <v>1259</v>
      </c>
      <c r="N233" s="48">
        <v>45485</v>
      </c>
      <c r="O233" s="21">
        <f>INDEX(Auxiliar!$D$5:$F$13,MATCH(Table1[[#This Row],[Tipologia_Testes]],Auxiliar!$B$5:$B$13,0),MATCH(Table1[[#This Row],[Complexidade]],Auxiliar!$D$4:$F$4,0))</f>
        <v>2</v>
      </c>
      <c r="P233" s="2" t="s">
        <v>1276</v>
      </c>
      <c r="Q233" s="2"/>
      <c r="R233" s="152">
        <v>45261</v>
      </c>
      <c r="S233" s="152"/>
      <c r="T233" s="152"/>
      <c r="U233" s="152"/>
      <c r="V233" s="152"/>
      <c r="W233" s="2">
        <f>VLOOKUP(Table1[[#This Row],[Status]],Auxiliar!$B$16:$D$24,3,0)*Table1[[#This Row],[Estimação (horas)]]</f>
        <v>2</v>
      </c>
      <c r="X233" s="2"/>
    </row>
    <row r="234" spans="2:24" ht="17.7" customHeight="1" x14ac:dyDescent="0.25">
      <c r="B234" s="2" t="s">
        <v>26</v>
      </c>
      <c r="C234" s="2" t="s">
        <v>54</v>
      </c>
      <c r="D234" s="2" t="s">
        <v>124</v>
      </c>
      <c r="E234" s="2" t="s">
        <v>38</v>
      </c>
      <c r="F234" s="2" t="s">
        <v>123</v>
      </c>
      <c r="G234" s="2" t="s">
        <v>150</v>
      </c>
      <c r="H234" s="57" t="str">
        <f>Table1[[#This Row],[Tabela]]&amp;Table1[[#This Row],[Campo]]</f>
        <v>PROPERTY_ENERGY_CERTIFICATETHERMAL_BEHAVIOUR_WALL</v>
      </c>
      <c r="I234" s="2" t="s">
        <v>614</v>
      </c>
      <c r="J234" s="43">
        <f>VLOOKUP(Table1[[#This Row],[Status]],Auxiliar!$B$16:$C$24,2,0)</f>
        <v>1</v>
      </c>
      <c r="K234" s="2" t="s">
        <v>1253</v>
      </c>
      <c r="L234" s="29" t="s">
        <v>1250</v>
      </c>
      <c r="M234" s="21" t="s">
        <v>1259</v>
      </c>
      <c r="N234" s="48">
        <v>45485</v>
      </c>
      <c r="O234" s="21">
        <f>INDEX(Auxiliar!$D$5:$F$13,MATCH(Table1[[#This Row],[Tipologia_Testes]],Auxiliar!$B$5:$B$13,0),MATCH(Table1[[#This Row],[Complexidade]],Auxiliar!$D$4:$F$4,0))</f>
        <v>2</v>
      </c>
      <c r="P234" s="2" t="s">
        <v>1276</v>
      </c>
      <c r="Q234" s="2"/>
      <c r="R234" s="152">
        <v>45261</v>
      </c>
      <c r="S234" s="152"/>
      <c r="T234" s="152"/>
      <c r="U234" s="152"/>
      <c r="V234" s="152"/>
      <c r="W234" s="2">
        <f>VLOOKUP(Table1[[#This Row],[Status]],Auxiliar!$B$16:$D$24,3,0)*Table1[[#This Row],[Estimação (horas)]]</f>
        <v>2</v>
      </c>
      <c r="X234" s="2"/>
    </row>
    <row r="235" spans="2:24" ht="17.7" customHeight="1" x14ac:dyDescent="0.25">
      <c r="B235" s="2" t="s">
        <v>26</v>
      </c>
      <c r="C235" s="2" t="s">
        <v>54</v>
      </c>
      <c r="D235" s="2" t="s">
        <v>124</v>
      </c>
      <c r="E235" s="2" t="s">
        <v>38</v>
      </c>
      <c r="F235" s="2" t="s">
        <v>123</v>
      </c>
      <c r="G235" s="2" t="s">
        <v>150</v>
      </c>
      <c r="H235" s="57" t="str">
        <f>Table1[[#This Row],[Tabela]]&amp;Table1[[#This Row],[Campo]]</f>
        <v>PROPERTY_ENERGY_CERTIFICATETHERMAL_BEHAVIOUR_WALL</v>
      </c>
      <c r="I235" s="2" t="s">
        <v>614</v>
      </c>
      <c r="J235" s="43">
        <f>VLOOKUP(Table1[[#This Row],[Status]],Auxiliar!$B$16:$C$24,2,0)</f>
        <v>1</v>
      </c>
      <c r="K235" s="2" t="s">
        <v>1255</v>
      </c>
      <c r="L235" s="29" t="s">
        <v>1250</v>
      </c>
      <c r="M235" s="21" t="s">
        <v>1259</v>
      </c>
      <c r="N235" s="48">
        <v>45485</v>
      </c>
      <c r="O235" s="21">
        <f>INDEX(Auxiliar!$D$5:$F$13,MATCH(Table1[[#This Row],[Tipologia_Testes]],Auxiliar!$B$5:$B$13,0),MATCH(Table1[[#This Row],[Complexidade]],Auxiliar!$D$4:$F$4,0))</f>
        <v>0.1</v>
      </c>
      <c r="P235" s="2" t="s">
        <v>1276</v>
      </c>
      <c r="Q235" s="2"/>
      <c r="R235" s="152">
        <v>45261</v>
      </c>
      <c r="S235" s="152"/>
      <c r="T235" s="152"/>
      <c r="U235" s="152"/>
      <c r="V235" s="152"/>
      <c r="W235" s="2">
        <f>VLOOKUP(Table1[[#This Row],[Status]],Auxiliar!$B$16:$D$24,3,0)*Table1[[#This Row],[Estimação (horas)]]</f>
        <v>0.1</v>
      </c>
      <c r="X235" s="2"/>
    </row>
    <row r="236" spans="2:24" ht="17.7" customHeight="1" x14ac:dyDescent="0.25">
      <c r="B236" s="2" t="s">
        <v>26</v>
      </c>
      <c r="C236" s="2" t="s">
        <v>54</v>
      </c>
      <c r="D236" s="2" t="s">
        <v>124</v>
      </c>
      <c r="E236" s="2" t="s">
        <v>38</v>
      </c>
      <c r="F236" s="2" t="s">
        <v>123</v>
      </c>
      <c r="G236" s="2" t="s">
        <v>151</v>
      </c>
      <c r="H236" s="57" t="str">
        <f>Table1[[#This Row],[Tabela]]&amp;Table1[[#This Row],[Campo]]</f>
        <v>PROPERTY_ENERGY_CERTIFICATETHERMAL_BEHAVIOUR_FLOORS</v>
      </c>
      <c r="I236" s="2" t="s">
        <v>614</v>
      </c>
      <c r="J236" s="43">
        <f>VLOOKUP(Table1[[#This Row],[Status]],Auxiliar!$B$16:$C$24,2,0)</f>
        <v>1</v>
      </c>
      <c r="K236" s="2" t="s">
        <v>1252</v>
      </c>
      <c r="L236" s="29" t="s">
        <v>1250</v>
      </c>
      <c r="M236" s="21" t="s">
        <v>1259</v>
      </c>
      <c r="N236" s="48">
        <v>45485</v>
      </c>
      <c r="O236" s="21">
        <f>INDEX(Auxiliar!$D$5:$F$13,MATCH(Table1[[#This Row],[Tipologia_Testes]],Auxiliar!$B$5:$B$13,0),MATCH(Table1[[#This Row],[Complexidade]],Auxiliar!$D$4:$F$4,0))</f>
        <v>2</v>
      </c>
      <c r="P236" s="2" t="s">
        <v>1276</v>
      </c>
      <c r="Q236" s="2"/>
      <c r="R236" s="152">
        <v>45261</v>
      </c>
      <c r="S236" s="152"/>
      <c r="T236" s="152"/>
      <c r="U236" s="152"/>
      <c r="V236" s="152"/>
      <c r="W236" s="2">
        <f>VLOOKUP(Table1[[#This Row],[Status]],Auxiliar!$B$16:$D$24,3,0)*Table1[[#This Row],[Estimação (horas)]]</f>
        <v>2</v>
      </c>
      <c r="X236" s="2"/>
    </row>
    <row r="237" spans="2:24" ht="17.7" customHeight="1" x14ac:dyDescent="0.25">
      <c r="B237" s="2" t="s">
        <v>26</v>
      </c>
      <c r="C237" s="2" t="s">
        <v>54</v>
      </c>
      <c r="D237" s="2" t="s">
        <v>124</v>
      </c>
      <c r="E237" s="2" t="s">
        <v>38</v>
      </c>
      <c r="F237" s="2" t="s">
        <v>123</v>
      </c>
      <c r="G237" s="2" t="s">
        <v>151</v>
      </c>
      <c r="H237" s="57" t="str">
        <f>Table1[[#This Row],[Tabela]]&amp;Table1[[#This Row],[Campo]]</f>
        <v>PROPERTY_ENERGY_CERTIFICATETHERMAL_BEHAVIOUR_FLOORS</v>
      </c>
      <c r="I237" s="2" t="s">
        <v>614</v>
      </c>
      <c r="J237" s="43">
        <f>VLOOKUP(Table1[[#This Row],[Status]],Auxiliar!$B$16:$C$24,2,0)</f>
        <v>1</v>
      </c>
      <c r="K237" s="2" t="s">
        <v>1253</v>
      </c>
      <c r="L237" s="29" t="s">
        <v>1250</v>
      </c>
      <c r="M237" s="21" t="s">
        <v>1259</v>
      </c>
      <c r="N237" s="48">
        <v>45485</v>
      </c>
      <c r="O237" s="21">
        <f>INDEX(Auxiliar!$D$5:$F$13,MATCH(Table1[[#This Row],[Tipologia_Testes]],Auxiliar!$B$5:$B$13,0),MATCH(Table1[[#This Row],[Complexidade]],Auxiliar!$D$4:$F$4,0))</f>
        <v>2</v>
      </c>
      <c r="P237" s="2" t="s">
        <v>1276</v>
      </c>
      <c r="Q237" s="2"/>
      <c r="R237" s="152">
        <v>45261</v>
      </c>
      <c r="S237" s="152"/>
      <c r="T237" s="152"/>
      <c r="U237" s="152"/>
      <c r="V237" s="152"/>
      <c r="W237" s="2">
        <f>VLOOKUP(Table1[[#This Row],[Status]],Auxiliar!$B$16:$D$24,3,0)*Table1[[#This Row],[Estimação (horas)]]</f>
        <v>2</v>
      </c>
      <c r="X237" s="2"/>
    </row>
    <row r="238" spans="2:24" ht="17.7" customHeight="1" x14ac:dyDescent="0.25">
      <c r="B238" s="2" t="s">
        <v>26</v>
      </c>
      <c r="C238" s="2" t="s">
        <v>54</v>
      </c>
      <c r="D238" s="2" t="s">
        <v>124</v>
      </c>
      <c r="E238" s="2" t="s">
        <v>38</v>
      </c>
      <c r="F238" s="2" t="s">
        <v>123</v>
      </c>
      <c r="G238" s="2" t="s">
        <v>151</v>
      </c>
      <c r="H238" s="57" t="str">
        <f>Table1[[#This Row],[Tabela]]&amp;Table1[[#This Row],[Campo]]</f>
        <v>PROPERTY_ENERGY_CERTIFICATETHERMAL_BEHAVIOUR_FLOORS</v>
      </c>
      <c r="I238" s="2" t="s">
        <v>614</v>
      </c>
      <c r="J238" s="43">
        <f>VLOOKUP(Table1[[#This Row],[Status]],Auxiliar!$B$16:$C$24,2,0)</f>
        <v>1</v>
      </c>
      <c r="K238" s="2" t="s">
        <v>1255</v>
      </c>
      <c r="L238" s="29" t="s">
        <v>1250</v>
      </c>
      <c r="M238" s="21" t="s">
        <v>1259</v>
      </c>
      <c r="N238" s="48">
        <v>45485</v>
      </c>
      <c r="O238" s="21">
        <f>INDEX(Auxiliar!$D$5:$F$13,MATCH(Table1[[#This Row],[Tipologia_Testes]],Auxiliar!$B$5:$B$13,0),MATCH(Table1[[#This Row],[Complexidade]],Auxiliar!$D$4:$F$4,0))</f>
        <v>0.1</v>
      </c>
      <c r="P238" s="2" t="s">
        <v>1276</v>
      </c>
      <c r="Q238" s="2"/>
      <c r="R238" s="152">
        <v>45261</v>
      </c>
      <c r="S238" s="152"/>
      <c r="T238" s="152"/>
      <c r="U238" s="152"/>
      <c r="V238" s="152"/>
      <c r="W238" s="2">
        <f>VLOOKUP(Table1[[#This Row],[Status]],Auxiliar!$B$16:$D$24,3,0)*Table1[[#This Row],[Estimação (horas)]]</f>
        <v>0.1</v>
      </c>
      <c r="X238" s="2"/>
    </row>
    <row r="239" spans="2:24" ht="17.7" customHeight="1" x14ac:dyDescent="0.25">
      <c r="B239" s="2" t="s">
        <v>26</v>
      </c>
      <c r="C239" s="2" t="s">
        <v>54</v>
      </c>
      <c r="D239" s="2" t="s">
        <v>124</v>
      </c>
      <c r="E239" s="2" t="s">
        <v>38</v>
      </c>
      <c r="F239" s="2" t="s">
        <v>123</v>
      </c>
      <c r="G239" s="2" t="s">
        <v>152</v>
      </c>
      <c r="H239" s="57" t="str">
        <f>Table1[[#This Row],[Tabela]]&amp;Table1[[#This Row],[Campo]]</f>
        <v>PROPERTY_ENERGY_CERTIFICATETHERMAL_BEHAVIOUR_TECH_SYS_VENT</v>
      </c>
      <c r="I239" s="2" t="s">
        <v>614</v>
      </c>
      <c r="J239" s="43">
        <f>VLOOKUP(Table1[[#This Row],[Status]],Auxiliar!$B$16:$C$24,2,0)</f>
        <v>1</v>
      </c>
      <c r="K239" s="2" t="s">
        <v>1252</v>
      </c>
      <c r="L239" s="29" t="s">
        <v>1250</v>
      </c>
      <c r="M239" s="21" t="s">
        <v>1259</v>
      </c>
      <c r="N239" s="48">
        <v>45485</v>
      </c>
      <c r="O239" s="21">
        <f>INDEX(Auxiliar!$D$5:$F$13,MATCH(Table1[[#This Row],[Tipologia_Testes]],Auxiliar!$B$5:$B$13,0),MATCH(Table1[[#This Row],[Complexidade]],Auxiliar!$D$4:$F$4,0))</f>
        <v>2</v>
      </c>
      <c r="P239" s="2" t="s">
        <v>1276</v>
      </c>
      <c r="Q239" s="2"/>
      <c r="R239" s="152">
        <v>45261</v>
      </c>
      <c r="S239" s="152"/>
      <c r="T239" s="152"/>
      <c r="U239" s="152"/>
      <c r="V239" s="152"/>
      <c r="W239" s="2">
        <f>VLOOKUP(Table1[[#This Row],[Status]],Auxiliar!$B$16:$D$24,3,0)*Table1[[#This Row],[Estimação (horas)]]</f>
        <v>2</v>
      </c>
      <c r="X239" s="2"/>
    </row>
    <row r="240" spans="2:24" ht="17.7" customHeight="1" x14ac:dyDescent="0.25">
      <c r="B240" s="2" t="s">
        <v>26</v>
      </c>
      <c r="C240" s="2" t="s">
        <v>54</v>
      </c>
      <c r="D240" s="2" t="s">
        <v>124</v>
      </c>
      <c r="E240" s="2" t="s">
        <v>38</v>
      </c>
      <c r="F240" s="2" t="s">
        <v>123</v>
      </c>
      <c r="G240" s="2" t="s">
        <v>152</v>
      </c>
      <c r="H240" s="57" t="str">
        <f>Table1[[#This Row],[Tabela]]&amp;Table1[[#This Row],[Campo]]</f>
        <v>PROPERTY_ENERGY_CERTIFICATETHERMAL_BEHAVIOUR_TECH_SYS_VENT</v>
      </c>
      <c r="I240" s="2" t="s">
        <v>614</v>
      </c>
      <c r="J240" s="43">
        <f>VLOOKUP(Table1[[#This Row],[Status]],Auxiliar!$B$16:$C$24,2,0)</f>
        <v>1</v>
      </c>
      <c r="K240" s="2" t="s">
        <v>1253</v>
      </c>
      <c r="L240" s="29" t="s">
        <v>1250</v>
      </c>
      <c r="M240" s="21" t="s">
        <v>1259</v>
      </c>
      <c r="N240" s="48">
        <v>45485</v>
      </c>
      <c r="O240" s="21">
        <f>INDEX(Auxiliar!$D$5:$F$13,MATCH(Table1[[#This Row],[Tipologia_Testes]],Auxiliar!$B$5:$B$13,0),MATCH(Table1[[#This Row],[Complexidade]],Auxiliar!$D$4:$F$4,0))</f>
        <v>2</v>
      </c>
      <c r="P240" s="2" t="s">
        <v>1276</v>
      </c>
      <c r="Q240" s="2"/>
      <c r="R240" s="152">
        <v>45261</v>
      </c>
      <c r="S240" s="152"/>
      <c r="T240" s="152"/>
      <c r="U240" s="152"/>
      <c r="V240" s="152"/>
      <c r="W240" s="2">
        <f>VLOOKUP(Table1[[#This Row],[Status]],Auxiliar!$B$16:$D$24,3,0)*Table1[[#This Row],[Estimação (horas)]]</f>
        <v>2</v>
      </c>
      <c r="X240" s="2"/>
    </row>
    <row r="241" spans="2:24" ht="17.7" customHeight="1" x14ac:dyDescent="0.25">
      <c r="B241" s="2" t="s">
        <v>26</v>
      </c>
      <c r="C241" s="2" t="s">
        <v>54</v>
      </c>
      <c r="D241" s="2" t="s">
        <v>124</v>
      </c>
      <c r="E241" s="2" t="s">
        <v>38</v>
      </c>
      <c r="F241" s="2" t="s">
        <v>123</v>
      </c>
      <c r="G241" s="2" t="s">
        <v>152</v>
      </c>
      <c r="H241" s="57" t="str">
        <f>Table1[[#This Row],[Tabela]]&amp;Table1[[#This Row],[Campo]]</f>
        <v>PROPERTY_ENERGY_CERTIFICATETHERMAL_BEHAVIOUR_TECH_SYS_VENT</v>
      </c>
      <c r="I241" s="2" t="s">
        <v>614</v>
      </c>
      <c r="J241" s="43">
        <f>VLOOKUP(Table1[[#This Row],[Status]],Auxiliar!$B$16:$C$24,2,0)</f>
        <v>1</v>
      </c>
      <c r="K241" s="2" t="s">
        <v>1255</v>
      </c>
      <c r="L241" s="29" t="s">
        <v>1250</v>
      </c>
      <c r="M241" s="21" t="s">
        <v>1259</v>
      </c>
      <c r="N241" s="48">
        <v>45485</v>
      </c>
      <c r="O241" s="21">
        <f>INDEX(Auxiliar!$D$5:$F$13,MATCH(Table1[[#This Row],[Tipologia_Testes]],Auxiliar!$B$5:$B$13,0),MATCH(Table1[[#This Row],[Complexidade]],Auxiliar!$D$4:$F$4,0))</f>
        <v>0.1</v>
      </c>
      <c r="P241" s="2" t="s">
        <v>1276</v>
      </c>
      <c r="Q241" s="2"/>
      <c r="R241" s="152">
        <v>45261</v>
      </c>
      <c r="S241" s="152"/>
      <c r="T241" s="152"/>
      <c r="U241" s="152"/>
      <c r="V241" s="152"/>
      <c r="W241" s="2">
        <f>VLOOKUP(Table1[[#This Row],[Status]],Auxiliar!$B$16:$D$24,3,0)*Table1[[#This Row],[Estimação (horas)]]</f>
        <v>0.1</v>
      </c>
      <c r="X241" s="2"/>
    </row>
    <row r="242" spans="2:24" ht="17.7" customHeight="1" x14ac:dyDescent="0.25">
      <c r="B242" s="2" t="s">
        <v>26</v>
      </c>
      <c r="C242" s="2" t="s">
        <v>54</v>
      </c>
      <c r="D242" s="2" t="s">
        <v>124</v>
      </c>
      <c r="E242" s="2" t="s">
        <v>38</v>
      </c>
      <c r="F242" s="2" t="s">
        <v>123</v>
      </c>
      <c r="G242" s="2" t="s">
        <v>153</v>
      </c>
      <c r="H242" s="57" t="str">
        <f>Table1[[#This Row],[Tabela]]&amp;Table1[[#This Row],[Campo]]</f>
        <v>PROPERTY_ENERGY_CERTIFICATETOTAL_INVSTMNT_ESTMTD_VALUE</v>
      </c>
      <c r="I242" s="2" t="s">
        <v>614</v>
      </c>
      <c r="J242" s="43">
        <f>VLOOKUP(Table1[[#This Row],[Status]],Auxiliar!$B$16:$C$24,2,0)</f>
        <v>1</v>
      </c>
      <c r="K242" s="2" t="s">
        <v>1252</v>
      </c>
      <c r="L242" s="29" t="s">
        <v>1250</v>
      </c>
      <c r="M242" s="21" t="s">
        <v>1259</v>
      </c>
      <c r="N242" s="48">
        <v>45485</v>
      </c>
      <c r="O242" s="21">
        <f>INDEX(Auxiliar!$D$5:$F$13,MATCH(Table1[[#This Row],[Tipologia_Testes]],Auxiliar!$B$5:$B$13,0),MATCH(Table1[[#This Row],[Complexidade]],Auxiliar!$D$4:$F$4,0))</f>
        <v>2</v>
      </c>
      <c r="P242" s="2" t="s">
        <v>1276</v>
      </c>
      <c r="Q242" s="2"/>
      <c r="R242" s="152">
        <v>45261</v>
      </c>
      <c r="S242" s="152"/>
      <c r="T242" s="152"/>
      <c r="U242" s="152"/>
      <c r="V242" s="152"/>
      <c r="W242" s="2">
        <f>VLOOKUP(Table1[[#This Row],[Status]],Auxiliar!$B$16:$D$24,3,0)*Table1[[#This Row],[Estimação (horas)]]</f>
        <v>2</v>
      </c>
      <c r="X242" s="2"/>
    </row>
    <row r="243" spans="2:24" ht="17.7" customHeight="1" x14ac:dyDescent="0.25">
      <c r="B243" s="2" t="s">
        <v>26</v>
      </c>
      <c r="C243" s="2" t="s">
        <v>54</v>
      </c>
      <c r="D243" s="2" t="s">
        <v>124</v>
      </c>
      <c r="E243" s="2" t="s">
        <v>38</v>
      </c>
      <c r="F243" s="2" t="s">
        <v>123</v>
      </c>
      <c r="G243" s="2" t="s">
        <v>153</v>
      </c>
      <c r="H243" s="57" t="str">
        <f>Table1[[#This Row],[Tabela]]&amp;Table1[[#This Row],[Campo]]</f>
        <v>PROPERTY_ENERGY_CERTIFICATETOTAL_INVSTMNT_ESTMTD_VALUE</v>
      </c>
      <c r="I243" s="2" t="s">
        <v>614</v>
      </c>
      <c r="J243" s="43">
        <f>VLOOKUP(Table1[[#This Row],[Status]],Auxiliar!$B$16:$C$24,2,0)</f>
        <v>1</v>
      </c>
      <c r="K243" s="2" t="s">
        <v>1253</v>
      </c>
      <c r="L243" s="29" t="s">
        <v>1250</v>
      </c>
      <c r="M243" s="21" t="s">
        <v>1259</v>
      </c>
      <c r="N243" s="48">
        <v>45485</v>
      </c>
      <c r="O243" s="21">
        <f>INDEX(Auxiliar!$D$5:$F$13,MATCH(Table1[[#This Row],[Tipologia_Testes]],Auxiliar!$B$5:$B$13,0),MATCH(Table1[[#This Row],[Complexidade]],Auxiliar!$D$4:$F$4,0))</f>
        <v>2</v>
      </c>
      <c r="P243" s="2" t="s">
        <v>1276</v>
      </c>
      <c r="Q243" s="2"/>
      <c r="R243" s="152">
        <v>45261</v>
      </c>
      <c r="S243" s="152"/>
      <c r="T243" s="152"/>
      <c r="U243" s="152"/>
      <c r="V243" s="152"/>
      <c r="W243" s="2">
        <f>VLOOKUP(Table1[[#This Row],[Status]],Auxiliar!$B$16:$D$24,3,0)*Table1[[#This Row],[Estimação (horas)]]</f>
        <v>2</v>
      </c>
      <c r="X243" s="2"/>
    </row>
    <row r="244" spans="2:24" ht="17.7" customHeight="1" x14ac:dyDescent="0.25">
      <c r="B244" s="2" t="s">
        <v>26</v>
      </c>
      <c r="C244" s="2" t="s">
        <v>54</v>
      </c>
      <c r="D244" s="2" t="s">
        <v>124</v>
      </c>
      <c r="E244" s="2" t="s">
        <v>38</v>
      </c>
      <c r="F244" s="2" t="s">
        <v>123</v>
      </c>
      <c r="G244" s="2" t="s">
        <v>153</v>
      </c>
      <c r="H244" s="57" t="str">
        <f>Table1[[#This Row],[Tabela]]&amp;Table1[[#This Row],[Campo]]</f>
        <v>PROPERTY_ENERGY_CERTIFICATETOTAL_INVSTMNT_ESTMTD_VALUE</v>
      </c>
      <c r="I244" s="2" t="s">
        <v>614</v>
      </c>
      <c r="J244" s="43">
        <f>VLOOKUP(Table1[[#This Row],[Status]],Auxiliar!$B$16:$C$24,2,0)</f>
        <v>1</v>
      </c>
      <c r="K244" s="2" t="s">
        <v>1255</v>
      </c>
      <c r="L244" s="29" t="s">
        <v>1250</v>
      </c>
      <c r="M244" s="21" t="s">
        <v>1259</v>
      </c>
      <c r="N244" s="48">
        <v>45485</v>
      </c>
      <c r="O244" s="21">
        <f>INDEX(Auxiliar!$D$5:$F$13,MATCH(Table1[[#This Row],[Tipologia_Testes]],Auxiliar!$B$5:$B$13,0),MATCH(Table1[[#This Row],[Complexidade]],Auxiliar!$D$4:$F$4,0))</f>
        <v>0.1</v>
      </c>
      <c r="P244" s="2" t="s">
        <v>1276</v>
      </c>
      <c r="Q244" s="2"/>
      <c r="R244" s="152">
        <v>45261</v>
      </c>
      <c r="S244" s="152"/>
      <c r="T244" s="152"/>
      <c r="U244" s="152"/>
      <c r="V244" s="152"/>
      <c r="W244" s="2">
        <f>VLOOKUP(Table1[[#This Row],[Status]],Auxiliar!$B$16:$D$24,3,0)*Table1[[#This Row],[Estimação (horas)]]</f>
        <v>0.1</v>
      </c>
      <c r="X244" s="2"/>
    </row>
    <row r="245" spans="2:24" ht="17.7" customHeight="1" x14ac:dyDescent="0.25">
      <c r="B245" s="2" t="s">
        <v>26</v>
      </c>
      <c r="C245" s="2" t="s">
        <v>54</v>
      </c>
      <c r="D245" s="2" t="s">
        <v>124</v>
      </c>
      <c r="E245" s="2" t="s">
        <v>38</v>
      </c>
      <c r="F245" s="2" t="s">
        <v>123</v>
      </c>
      <c r="G245" s="2" t="s">
        <v>154</v>
      </c>
      <c r="H245" s="57" t="str">
        <f>Table1[[#This Row],[Tabela]]&amp;Table1[[#This Row],[Campo]]</f>
        <v>PROPERTY_ENERGY_CERTIFICATEDURATION_SUMMER</v>
      </c>
      <c r="I245" s="2" t="s">
        <v>614</v>
      </c>
      <c r="J245" s="43">
        <f>VLOOKUP(Table1[[#This Row],[Status]],Auxiliar!$B$16:$C$24,2,0)</f>
        <v>1</v>
      </c>
      <c r="K245" s="2" t="s">
        <v>1252</v>
      </c>
      <c r="L245" s="29" t="s">
        <v>1250</v>
      </c>
      <c r="M245" s="21" t="s">
        <v>1259</v>
      </c>
      <c r="N245" s="48">
        <v>45485</v>
      </c>
      <c r="O245" s="21">
        <f>INDEX(Auxiliar!$D$5:$F$13,MATCH(Table1[[#This Row],[Tipologia_Testes]],Auxiliar!$B$5:$B$13,0),MATCH(Table1[[#This Row],[Complexidade]],Auxiliar!$D$4:$F$4,0))</f>
        <v>2</v>
      </c>
      <c r="P245" s="2" t="s">
        <v>1276</v>
      </c>
      <c r="Q245" s="2"/>
      <c r="R245" s="152">
        <v>45261</v>
      </c>
      <c r="S245" s="152"/>
      <c r="T245" s="152"/>
      <c r="U245" s="152"/>
      <c r="V245" s="152"/>
      <c r="W245" s="2">
        <f>VLOOKUP(Table1[[#This Row],[Status]],Auxiliar!$B$16:$D$24,3,0)*Table1[[#This Row],[Estimação (horas)]]</f>
        <v>2</v>
      </c>
      <c r="X245" s="2"/>
    </row>
    <row r="246" spans="2:24" ht="17.7" customHeight="1" x14ac:dyDescent="0.25">
      <c r="B246" s="2" t="s">
        <v>26</v>
      </c>
      <c r="C246" s="2" t="s">
        <v>54</v>
      </c>
      <c r="D246" s="2" t="s">
        <v>124</v>
      </c>
      <c r="E246" s="2" t="s">
        <v>38</v>
      </c>
      <c r="F246" s="2" t="s">
        <v>123</v>
      </c>
      <c r="G246" s="2" t="s">
        <v>154</v>
      </c>
      <c r="H246" s="57" t="str">
        <f>Table1[[#This Row],[Tabela]]&amp;Table1[[#This Row],[Campo]]</f>
        <v>PROPERTY_ENERGY_CERTIFICATEDURATION_SUMMER</v>
      </c>
      <c r="I246" s="2" t="s">
        <v>614</v>
      </c>
      <c r="J246" s="43">
        <f>VLOOKUP(Table1[[#This Row],[Status]],Auxiliar!$B$16:$C$24,2,0)</f>
        <v>1</v>
      </c>
      <c r="K246" s="2" t="s">
        <v>1253</v>
      </c>
      <c r="L246" s="29" t="s">
        <v>1250</v>
      </c>
      <c r="M246" s="21" t="s">
        <v>1259</v>
      </c>
      <c r="N246" s="48">
        <v>45485</v>
      </c>
      <c r="O246" s="21">
        <f>INDEX(Auxiliar!$D$5:$F$13,MATCH(Table1[[#This Row],[Tipologia_Testes]],Auxiliar!$B$5:$B$13,0),MATCH(Table1[[#This Row],[Complexidade]],Auxiliar!$D$4:$F$4,0))</f>
        <v>2</v>
      </c>
      <c r="P246" s="2" t="s">
        <v>1276</v>
      </c>
      <c r="Q246" s="2"/>
      <c r="R246" s="152">
        <v>45261</v>
      </c>
      <c r="S246" s="152"/>
      <c r="T246" s="152"/>
      <c r="U246" s="152"/>
      <c r="V246" s="152"/>
      <c r="W246" s="2">
        <f>VLOOKUP(Table1[[#This Row],[Status]],Auxiliar!$B$16:$D$24,3,0)*Table1[[#This Row],[Estimação (horas)]]</f>
        <v>2</v>
      </c>
      <c r="X246" s="2"/>
    </row>
    <row r="247" spans="2:24" ht="17.7" customHeight="1" x14ac:dyDescent="0.25">
      <c r="B247" s="2" t="s">
        <v>26</v>
      </c>
      <c r="C247" s="2" t="s">
        <v>54</v>
      </c>
      <c r="D247" s="2" t="s">
        <v>124</v>
      </c>
      <c r="E247" s="2" t="s">
        <v>38</v>
      </c>
      <c r="F247" s="2" t="s">
        <v>123</v>
      </c>
      <c r="G247" s="2" t="s">
        <v>154</v>
      </c>
      <c r="H247" s="57" t="str">
        <f>Table1[[#This Row],[Tabela]]&amp;Table1[[#This Row],[Campo]]</f>
        <v>PROPERTY_ENERGY_CERTIFICATEDURATION_SUMMER</v>
      </c>
      <c r="I247" s="2" t="s">
        <v>614</v>
      </c>
      <c r="J247" s="43">
        <f>VLOOKUP(Table1[[#This Row],[Status]],Auxiliar!$B$16:$C$24,2,0)</f>
        <v>1</v>
      </c>
      <c r="K247" s="2" t="s">
        <v>1255</v>
      </c>
      <c r="L247" s="29" t="s">
        <v>1250</v>
      </c>
      <c r="M247" s="21" t="s">
        <v>1259</v>
      </c>
      <c r="N247" s="48">
        <v>45485</v>
      </c>
      <c r="O247" s="21">
        <f>INDEX(Auxiliar!$D$5:$F$13,MATCH(Table1[[#This Row],[Tipologia_Testes]],Auxiliar!$B$5:$B$13,0),MATCH(Table1[[#This Row],[Complexidade]],Auxiliar!$D$4:$F$4,0))</f>
        <v>0.1</v>
      </c>
      <c r="P247" s="2" t="s">
        <v>1276</v>
      </c>
      <c r="Q247" s="2"/>
      <c r="R247" s="152">
        <v>45261</v>
      </c>
      <c r="S247" s="152"/>
      <c r="T247" s="152"/>
      <c r="U247" s="152"/>
      <c r="V247" s="152"/>
      <c r="W247" s="2">
        <f>VLOOKUP(Table1[[#This Row],[Status]],Auxiliar!$B$16:$D$24,3,0)*Table1[[#This Row],[Estimação (horas)]]</f>
        <v>0.1</v>
      </c>
      <c r="X247" s="2"/>
    </row>
    <row r="248" spans="2:24" ht="17.7" customHeight="1" x14ac:dyDescent="0.25">
      <c r="B248" s="2" t="s">
        <v>26</v>
      </c>
      <c r="C248" s="2" t="s">
        <v>54</v>
      </c>
      <c r="D248" s="2" t="s">
        <v>124</v>
      </c>
      <c r="E248" s="2" t="s">
        <v>38</v>
      </c>
      <c r="F248" s="2" t="s">
        <v>123</v>
      </c>
      <c r="G248" s="2" t="s">
        <v>155</v>
      </c>
      <c r="H248" s="57" t="str">
        <f>Table1[[#This Row],[Tabela]]&amp;Table1[[#This Row],[Campo]]</f>
        <v>PROPERTY_ENERGY_CERTIFICATEDURATION_WINTER</v>
      </c>
      <c r="I248" s="2" t="s">
        <v>614</v>
      </c>
      <c r="J248" s="43">
        <f>VLOOKUP(Table1[[#This Row],[Status]],Auxiliar!$B$16:$C$24,2,0)</f>
        <v>1</v>
      </c>
      <c r="K248" s="2" t="s">
        <v>1252</v>
      </c>
      <c r="L248" s="29" t="s">
        <v>1250</v>
      </c>
      <c r="M248" s="21" t="s">
        <v>1259</v>
      </c>
      <c r="N248" s="48">
        <v>45485</v>
      </c>
      <c r="O248" s="21">
        <f>INDEX(Auxiliar!$D$5:$F$13,MATCH(Table1[[#This Row],[Tipologia_Testes]],Auxiliar!$B$5:$B$13,0),MATCH(Table1[[#This Row],[Complexidade]],Auxiliar!$D$4:$F$4,0))</f>
        <v>2</v>
      </c>
      <c r="P248" s="2" t="s">
        <v>1276</v>
      </c>
      <c r="Q248" s="2"/>
      <c r="R248" s="152">
        <v>45261</v>
      </c>
      <c r="S248" s="152"/>
      <c r="T248" s="152"/>
      <c r="U248" s="152"/>
      <c r="V248" s="152"/>
      <c r="W248" s="2">
        <f>VLOOKUP(Table1[[#This Row],[Status]],Auxiliar!$B$16:$D$24,3,0)*Table1[[#This Row],[Estimação (horas)]]</f>
        <v>2</v>
      </c>
      <c r="X248" s="2"/>
    </row>
    <row r="249" spans="2:24" ht="17.7" customHeight="1" x14ac:dyDescent="0.25">
      <c r="B249" s="2" t="s">
        <v>26</v>
      </c>
      <c r="C249" s="2" t="s">
        <v>54</v>
      </c>
      <c r="D249" s="2" t="s">
        <v>124</v>
      </c>
      <c r="E249" s="2" t="s">
        <v>38</v>
      </c>
      <c r="F249" s="2" t="s">
        <v>123</v>
      </c>
      <c r="G249" s="2" t="s">
        <v>155</v>
      </c>
      <c r="H249" s="57" t="str">
        <f>Table1[[#This Row],[Tabela]]&amp;Table1[[#This Row],[Campo]]</f>
        <v>PROPERTY_ENERGY_CERTIFICATEDURATION_WINTER</v>
      </c>
      <c r="I249" s="2" t="s">
        <v>614</v>
      </c>
      <c r="J249" s="43">
        <f>VLOOKUP(Table1[[#This Row],[Status]],Auxiliar!$B$16:$C$24,2,0)</f>
        <v>1</v>
      </c>
      <c r="K249" s="2" t="s">
        <v>1253</v>
      </c>
      <c r="L249" s="29" t="s">
        <v>1250</v>
      </c>
      <c r="M249" s="21" t="s">
        <v>1259</v>
      </c>
      <c r="N249" s="48">
        <v>45485</v>
      </c>
      <c r="O249" s="21">
        <f>INDEX(Auxiliar!$D$5:$F$13,MATCH(Table1[[#This Row],[Tipologia_Testes]],Auxiliar!$B$5:$B$13,0),MATCH(Table1[[#This Row],[Complexidade]],Auxiliar!$D$4:$F$4,0))</f>
        <v>2</v>
      </c>
      <c r="P249" s="2" t="s">
        <v>1276</v>
      </c>
      <c r="Q249" s="2"/>
      <c r="R249" s="152">
        <v>45261</v>
      </c>
      <c r="S249" s="152"/>
      <c r="T249" s="152"/>
      <c r="U249" s="152"/>
      <c r="V249" s="152"/>
      <c r="W249" s="2">
        <f>VLOOKUP(Table1[[#This Row],[Status]],Auxiliar!$B$16:$D$24,3,0)*Table1[[#This Row],[Estimação (horas)]]</f>
        <v>2</v>
      </c>
      <c r="X249" s="2"/>
    </row>
    <row r="250" spans="2:24" ht="17.7" customHeight="1" x14ac:dyDescent="0.25">
      <c r="B250" s="2" t="s">
        <v>26</v>
      </c>
      <c r="C250" s="2" t="s">
        <v>54</v>
      </c>
      <c r="D250" s="2" t="s">
        <v>124</v>
      </c>
      <c r="E250" s="2" t="s">
        <v>38</v>
      </c>
      <c r="F250" s="2" t="s">
        <v>123</v>
      </c>
      <c r="G250" s="2" t="s">
        <v>155</v>
      </c>
      <c r="H250" s="57" t="str">
        <f>Table1[[#This Row],[Tabela]]&amp;Table1[[#This Row],[Campo]]</f>
        <v>PROPERTY_ENERGY_CERTIFICATEDURATION_WINTER</v>
      </c>
      <c r="I250" s="2" t="s">
        <v>614</v>
      </c>
      <c r="J250" s="43">
        <f>VLOOKUP(Table1[[#This Row],[Status]],Auxiliar!$B$16:$C$24,2,0)</f>
        <v>1</v>
      </c>
      <c r="K250" s="2" t="s">
        <v>1255</v>
      </c>
      <c r="L250" s="29" t="s">
        <v>1250</v>
      </c>
      <c r="M250" s="21" t="s">
        <v>1259</v>
      </c>
      <c r="N250" s="48">
        <v>45485</v>
      </c>
      <c r="O250" s="21">
        <f>INDEX(Auxiliar!$D$5:$F$13,MATCH(Table1[[#This Row],[Tipologia_Testes]],Auxiliar!$B$5:$B$13,0),MATCH(Table1[[#This Row],[Complexidade]],Auxiliar!$D$4:$F$4,0))</f>
        <v>0.1</v>
      </c>
      <c r="P250" s="2" t="s">
        <v>1276</v>
      </c>
      <c r="Q250" s="2"/>
      <c r="R250" s="152">
        <v>45261</v>
      </c>
      <c r="S250" s="152"/>
      <c r="T250" s="152"/>
      <c r="U250" s="152"/>
      <c r="V250" s="152"/>
      <c r="W250" s="2">
        <f>VLOOKUP(Table1[[#This Row],[Status]],Auxiliar!$B$16:$D$24,3,0)*Table1[[#This Row],[Estimação (horas)]]</f>
        <v>0.1</v>
      </c>
      <c r="X250" s="2"/>
    </row>
    <row r="251" spans="2:24" ht="17.7" customHeight="1" x14ac:dyDescent="0.25">
      <c r="B251" s="2" t="s">
        <v>26</v>
      </c>
      <c r="C251" s="2" t="s">
        <v>54</v>
      </c>
      <c r="D251" s="2" t="s">
        <v>124</v>
      </c>
      <c r="E251" s="2" t="s">
        <v>38</v>
      </c>
      <c r="F251" s="2" t="s">
        <v>123</v>
      </c>
      <c r="G251" s="2" t="s">
        <v>52</v>
      </c>
      <c r="H251" s="57" t="str">
        <f>Table1[[#This Row],[Tabela]]&amp;Table1[[#This Row],[Campo]]</f>
        <v>PROPERTY_ENERGY_CERTIFICATECARBON_EMISSION_VALUE_YEAR</v>
      </c>
      <c r="I251" s="2" t="s">
        <v>619</v>
      </c>
      <c r="J251" s="43">
        <f>VLOOKUP(Table1[[#This Row],[Status]],Auxiliar!$B$16:$C$24,2,0)</f>
        <v>7</v>
      </c>
      <c r="K251" s="2" t="s">
        <v>1252</v>
      </c>
      <c r="L251" s="29" t="s">
        <v>1250</v>
      </c>
      <c r="M251" s="21" t="s">
        <v>1259</v>
      </c>
      <c r="N251" s="48">
        <v>45618</v>
      </c>
      <c r="O251" s="21">
        <f>INDEX(Auxiliar!$D$5:$F$13,MATCH(Table1[[#This Row],[Tipologia_Testes]],Auxiliar!$B$5:$B$13,0),MATCH(Table1[[#This Row],[Complexidade]],Auxiliar!$D$4:$F$4,0))</f>
        <v>2</v>
      </c>
      <c r="P251" s="2"/>
      <c r="Q251" s="2"/>
      <c r="R251" s="152">
        <v>45616</v>
      </c>
      <c r="S251" s="152"/>
      <c r="T251" s="152"/>
      <c r="U251" s="152"/>
      <c r="V251" s="152"/>
      <c r="W251" s="2">
        <f>VLOOKUP(Table1[[#This Row],[Status]],Auxiliar!$B$16:$D$24,3,0)*Table1[[#This Row],[Estimação (horas)]]</f>
        <v>0.5</v>
      </c>
      <c r="X251" s="2"/>
    </row>
    <row r="252" spans="2:24" ht="17.7" customHeight="1" x14ac:dyDescent="0.25">
      <c r="B252" s="2" t="s">
        <v>26</v>
      </c>
      <c r="C252" s="2" t="s">
        <v>54</v>
      </c>
      <c r="D252" s="2" t="s">
        <v>124</v>
      </c>
      <c r="E252" s="2" t="s">
        <v>38</v>
      </c>
      <c r="F252" s="2" t="s">
        <v>123</v>
      </c>
      <c r="G252" s="2" t="s">
        <v>52</v>
      </c>
      <c r="H252" s="57" t="str">
        <f>Table1[[#This Row],[Tabela]]&amp;Table1[[#This Row],[Campo]]</f>
        <v>PROPERTY_ENERGY_CERTIFICATECARBON_EMISSION_VALUE_YEAR</v>
      </c>
      <c r="I252" s="2" t="s">
        <v>619</v>
      </c>
      <c r="J252" s="43">
        <f>VLOOKUP(Table1[[#This Row],[Status]],Auxiliar!$B$16:$C$24,2,0)</f>
        <v>7</v>
      </c>
      <c r="K252" s="2" t="s">
        <v>1253</v>
      </c>
      <c r="L252" s="29" t="s">
        <v>1250</v>
      </c>
      <c r="M252" s="21" t="s">
        <v>1259</v>
      </c>
      <c r="N252" s="48">
        <v>45618</v>
      </c>
      <c r="O252" s="21">
        <f>INDEX(Auxiliar!$D$5:$F$13,MATCH(Table1[[#This Row],[Tipologia_Testes]],Auxiliar!$B$5:$B$13,0),MATCH(Table1[[#This Row],[Complexidade]],Auxiliar!$D$4:$F$4,0))</f>
        <v>2</v>
      </c>
      <c r="P252" s="2"/>
      <c r="Q252" s="2"/>
      <c r="R252" s="152">
        <v>45616</v>
      </c>
      <c r="S252" s="152"/>
      <c r="T252" s="152"/>
      <c r="U252" s="152"/>
      <c r="V252" s="152"/>
      <c r="W252" s="2">
        <f>VLOOKUP(Table1[[#This Row],[Status]],Auxiliar!$B$16:$D$24,3,0)*Table1[[#This Row],[Estimação (horas)]]</f>
        <v>0.5</v>
      </c>
      <c r="X252" s="2"/>
    </row>
    <row r="253" spans="2:24" ht="17.7" customHeight="1" x14ac:dyDescent="0.25">
      <c r="B253" s="2" t="s">
        <v>26</v>
      </c>
      <c r="C253" s="2" t="s">
        <v>54</v>
      </c>
      <c r="D253" s="2" t="s">
        <v>124</v>
      </c>
      <c r="E253" s="2" t="s">
        <v>38</v>
      </c>
      <c r="F253" s="2" t="s">
        <v>123</v>
      </c>
      <c r="G253" s="2" t="s">
        <v>52</v>
      </c>
      <c r="H253" s="57" t="str">
        <f>Table1[[#This Row],[Tabela]]&amp;Table1[[#This Row],[Campo]]</f>
        <v>PROPERTY_ENERGY_CERTIFICATECARBON_EMISSION_VALUE_YEAR</v>
      </c>
      <c r="I253" s="2" t="s">
        <v>619</v>
      </c>
      <c r="J253" s="43">
        <f>VLOOKUP(Table1[[#This Row],[Status]],Auxiliar!$B$16:$C$24,2,0)</f>
        <v>7</v>
      </c>
      <c r="K253" s="2" t="s">
        <v>1255</v>
      </c>
      <c r="L253" s="29" t="s">
        <v>1250</v>
      </c>
      <c r="M253" s="21" t="s">
        <v>1259</v>
      </c>
      <c r="N253" s="48">
        <v>45618</v>
      </c>
      <c r="O253" s="21">
        <f>INDEX(Auxiliar!$D$5:$F$13,MATCH(Table1[[#This Row],[Tipologia_Testes]],Auxiliar!$B$5:$B$13,0),MATCH(Table1[[#This Row],[Complexidade]],Auxiliar!$D$4:$F$4,0))</f>
        <v>0.1</v>
      </c>
      <c r="P253" s="2"/>
      <c r="Q253" s="2"/>
      <c r="R253" s="152">
        <v>45616</v>
      </c>
      <c r="S253" s="152"/>
      <c r="T253" s="152"/>
      <c r="U253" s="152"/>
      <c r="V253" s="152"/>
      <c r="W253" s="2">
        <f>VLOOKUP(Table1[[#This Row],[Status]],Auxiliar!$B$16:$D$24,3,0)*Table1[[#This Row],[Estimação (horas)]]</f>
        <v>2.5000000000000001E-2</v>
      </c>
      <c r="X253" s="2"/>
    </row>
    <row r="254" spans="2:24" ht="17.7" customHeight="1" x14ac:dyDescent="0.25">
      <c r="B254" s="2" t="s">
        <v>26</v>
      </c>
      <c r="C254" s="2" t="s">
        <v>54</v>
      </c>
      <c r="D254" s="2" t="s">
        <v>124</v>
      </c>
      <c r="E254" s="2" t="s">
        <v>38</v>
      </c>
      <c r="F254" s="2" t="s">
        <v>123</v>
      </c>
      <c r="G254" s="2" t="s">
        <v>156</v>
      </c>
      <c r="H254" s="57" t="str">
        <f>Table1[[#This Row],[Tabela]]&amp;Table1[[#This Row],[Campo]]</f>
        <v>PROPERTY_ENERGY_CERTIFICATECARBON_EMISSION_VALUE</v>
      </c>
      <c r="I254" s="2" t="s">
        <v>614</v>
      </c>
      <c r="J254" s="43">
        <f>VLOOKUP(Table1[[#This Row],[Status]],Auxiliar!$B$16:$C$24,2,0)</f>
        <v>1</v>
      </c>
      <c r="K254" s="2" t="s">
        <v>1252</v>
      </c>
      <c r="L254" s="29" t="s">
        <v>1250</v>
      </c>
      <c r="M254" s="21" t="s">
        <v>1259</v>
      </c>
      <c r="N254" s="48">
        <v>45485</v>
      </c>
      <c r="O254" s="21">
        <f>INDEX(Auxiliar!$D$5:$F$13,MATCH(Table1[[#This Row],[Tipologia_Testes]],Auxiliar!$B$5:$B$13,0),MATCH(Table1[[#This Row],[Complexidade]],Auxiliar!$D$4:$F$4,0))</f>
        <v>2</v>
      </c>
      <c r="P254" s="2" t="s">
        <v>1276</v>
      </c>
      <c r="Q254" s="2"/>
      <c r="R254" s="152">
        <v>45261</v>
      </c>
      <c r="S254" s="152"/>
      <c r="T254" s="152"/>
      <c r="U254" s="152"/>
      <c r="V254" s="152"/>
      <c r="W254" s="2">
        <f>VLOOKUP(Table1[[#This Row],[Status]],Auxiliar!$B$16:$D$24,3,0)*Table1[[#This Row],[Estimação (horas)]]</f>
        <v>2</v>
      </c>
      <c r="X254" s="2"/>
    </row>
    <row r="255" spans="2:24" ht="17.7" customHeight="1" x14ac:dyDescent="0.25">
      <c r="B255" s="2" t="s">
        <v>26</v>
      </c>
      <c r="C255" s="2" t="s">
        <v>54</v>
      </c>
      <c r="D255" s="2" t="s">
        <v>124</v>
      </c>
      <c r="E255" s="2" t="s">
        <v>38</v>
      </c>
      <c r="F255" s="2" t="s">
        <v>123</v>
      </c>
      <c r="G255" s="2" t="s">
        <v>156</v>
      </c>
      <c r="H255" s="57" t="str">
        <f>Table1[[#This Row],[Tabela]]&amp;Table1[[#This Row],[Campo]]</f>
        <v>PROPERTY_ENERGY_CERTIFICATECARBON_EMISSION_VALUE</v>
      </c>
      <c r="I255" s="2" t="s">
        <v>614</v>
      </c>
      <c r="J255" s="43">
        <f>VLOOKUP(Table1[[#This Row],[Status]],Auxiliar!$B$16:$C$24,2,0)</f>
        <v>1</v>
      </c>
      <c r="K255" s="2" t="s">
        <v>1253</v>
      </c>
      <c r="L255" s="29" t="s">
        <v>1250</v>
      </c>
      <c r="M255" s="21" t="s">
        <v>1259</v>
      </c>
      <c r="N255" s="48">
        <v>45485</v>
      </c>
      <c r="O255" s="21">
        <f>INDEX(Auxiliar!$D$5:$F$13,MATCH(Table1[[#This Row],[Tipologia_Testes]],Auxiliar!$B$5:$B$13,0),MATCH(Table1[[#This Row],[Complexidade]],Auxiliar!$D$4:$F$4,0))</f>
        <v>2</v>
      </c>
      <c r="P255" s="2" t="s">
        <v>1276</v>
      </c>
      <c r="Q255" s="2"/>
      <c r="R255" s="152">
        <v>45261</v>
      </c>
      <c r="S255" s="152"/>
      <c r="T255" s="152"/>
      <c r="U255" s="152"/>
      <c r="V255" s="152"/>
      <c r="W255" s="2">
        <f>VLOOKUP(Table1[[#This Row],[Status]],Auxiliar!$B$16:$D$24,3,0)*Table1[[#This Row],[Estimação (horas)]]</f>
        <v>2</v>
      </c>
      <c r="X255" s="2"/>
    </row>
    <row r="256" spans="2:24" ht="17.7" customHeight="1" x14ac:dyDescent="0.25">
      <c r="B256" s="2" t="s">
        <v>26</v>
      </c>
      <c r="C256" s="2" t="s">
        <v>54</v>
      </c>
      <c r="D256" s="2" t="s">
        <v>124</v>
      </c>
      <c r="E256" s="2" t="s">
        <v>38</v>
      </c>
      <c r="F256" s="2" t="s">
        <v>123</v>
      </c>
      <c r="G256" s="2" t="s">
        <v>156</v>
      </c>
      <c r="H256" s="57" t="str">
        <f>Table1[[#This Row],[Tabela]]&amp;Table1[[#This Row],[Campo]]</f>
        <v>PROPERTY_ENERGY_CERTIFICATECARBON_EMISSION_VALUE</v>
      </c>
      <c r="I256" s="2" t="s">
        <v>614</v>
      </c>
      <c r="J256" s="43">
        <f>VLOOKUP(Table1[[#This Row],[Status]],Auxiliar!$B$16:$C$24,2,0)</f>
        <v>1</v>
      </c>
      <c r="K256" s="2" t="s">
        <v>1255</v>
      </c>
      <c r="L256" s="29" t="s">
        <v>1250</v>
      </c>
      <c r="M256" s="21" t="s">
        <v>1259</v>
      </c>
      <c r="N256" s="48">
        <v>45485</v>
      </c>
      <c r="O256" s="21">
        <f>INDEX(Auxiliar!$D$5:$F$13,MATCH(Table1[[#This Row],[Tipologia_Testes]],Auxiliar!$B$5:$B$13,0),MATCH(Table1[[#This Row],[Complexidade]],Auxiliar!$D$4:$F$4,0))</f>
        <v>0.1</v>
      </c>
      <c r="P256" s="2" t="s">
        <v>1276</v>
      </c>
      <c r="Q256" s="2"/>
      <c r="R256" s="152">
        <v>45261</v>
      </c>
      <c r="S256" s="152"/>
      <c r="T256" s="152"/>
      <c r="U256" s="152"/>
      <c r="V256" s="152"/>
      <c r="W256" s="2">
        <f>VLOOKUP(Table1[[#This Row],[Status]],Auxiliar!$B$16:$D$24,3,0)*Table1[[#This Row],[Estimação (horas)]]</f>
        <v>0.1</v>
      </c>
      <c r="X256" s="2"/>
    </row>
    <row r="257" spans="2:24" ht="17.7" customHeight="1" x14ac:dyDescent="0.25">
      <c r="B257" s="2" t="s">
        <v>26</v>
      </c>
      <c r="C257" s="2" t="s">
        <v>54</v>
      </c>
      <c r="D257" s="2" t="s">
        <v>124</v>
      </c>
      <c r="E257" s="2" t="s">
        <v>38</v>
      </c>
      <c r="F257" s="2" t="s">
        <v>123</v>
      </c>
      <c r="G257" s="2" t="s">
        <v>157</v>
      </c>
      <c r="H257" s="57" t="str">
        <f>Table1[[#This Row],[Tabela]]&amp;Table1[[#This Row],[Campo]]</f>
        <v>PROPERTY_ENERGY_CERTIFICATEUSEFUL_ENERGY_FANS_REQ_VALUE</v>
      </c>
      <c r="I257" s="2" t="s">
        <v>614</v>
      </c>
      <c r="J257" s="43">
        <f>VLOOKUP(Table1[[#This Row],[Status]],Auxiliar!$B$16:$C$24,2,0)</f>
        <v>1</v>
      </c>
      <c r="K257" s="2" t="s">
        <v>1252</v>
      </c>
      <c r="L257" s="29" t="s">
        <v>1250</v>
      </c>
      <c r="M257" s="21" t="s">
        <v>1259</v>
      </c>
      <c r="N257" s="48">
        <v>45485</v>
      </c>
      <c r="O257" s="21">
        <f>INDEX(Auxiliar!$D$5:$F$13,MATCH(Table1[[#This Row],[Tipologia_Testes]],Auxiliar!$B$5:$B$13,0),MATCH(Table1[[#This Row],[Complexidade]],Auxiliar!$D$4:$F$4,0))</f>
        <v>2</v>
      </c>
      <c r="P257" s="2" t="s">
        <v>1276</v>
      </c>
      <c r="Q257" s="2"/>
      <c r="R257" s="152">
        <v>45261</v>
      </c>
      <c r="S257" s="152"/>
      <c r="T257" s="152"/>
      <c r="U257" s="152"/>
      <c r="V257" s="152"/>
      <c r="W257" s="2">
        <f>VLOOKUP(Table1[[#This Row],[Status]],Auxiliar!$B$16:$D$24,3,0)*Table1[[#This Row],[Estimação (horas)]]</f>
        <v>2</v>
      </c>
      <c r="X257" s="2"/>
    </row>
    <row r="258" spans="2:24" ht="17.7" customHeight="1" x14ac:dyDescent="0.25">
      <c r="B258" s="2" t="s">
        <v>26</v>
      </c>
      <c r="C258" s="2" t="s">
        <v>54</v>
      </c>
      <c r="D258" s="2" t="s">
        <v>124</v>
      </c>
      <c r="E258" s="2" t="s">
        <v>38</v>
      </c>
      <c r="F258" s="2" t="s">
        <v>123</v>
      </c>
      <c r="G258" s="2" t="s">
        <v>157</v>
      </c>
      <c r="H258" s="57" t="str">
        <f>Table1[[#This Row],[Tabela]]&amp;Table1[[#This Row],[Campo]]</f>
        <v>PROPERTY_ENERGY_CERTIFICATEUSEFUL_ENERGY_FANS_REQ_VALUE</v>
      </c>
      <c r="I258" s="2" t="s">
        <v>614</v>
      </c>
      <c r="J258" s="43">
        <f>VLOOKUP(Table1[[#This Row],[Status]],Auxiliar!$B$16:$C$24,2,0)</f>
        <v>1</v>
      </c>
      <c r="K258" s="2" t="s">
        <v>1253</v>
      </c>
      <c r="L258" s="29" t="s">
        <v>1250</v>
      </c>
      <c r="M258" s="21" t="s">
        <v>1259</v>
      </c>
      <c r="N258" s="48">
        <v>45485</v>
      </c>
      <c r="O258" s="21">
        <f>INDEX(Auxiliar!$D$5:$F$13,MATCH(Table1[[#This Row],[Tipologia_Testes]],Auxiliar!$B$5:$B$13,0),MATCH(Table1[[#This Row],[Complexidade]],Auxiliar!$D$4:$F$4,0))</f>
        <v>2</v>
      </c>
      <c r="P258" s="2" t="s">
        <v>1276</v>
      </c>
      <c r="Q258" s="2"/>
      <c r="R258" s="152">
        <v>45261</v>
      </c>
      <c r="S258" s="152"/>
      <c r="T258" s="152"/>
      <c r="U258" s="152"/>
      <c r="V258" s="152"/>
      <c r="W258" s="2">
        <f>VLOOKUP(Table1[[#This Row],[Status]],Auxiliar!$B$16:$D$24,3,0)*Table1[[#This Row],[Estimação (horas)]]</f>
        <v>2</v>
      </c>
      <c r="X258" s="2"/>
    </row>
    <row r="259" spans="2:24" ht="17.7" customHeight="1" x14ac:dyDescent="0.25">
      <c r="B259" s="2" t="s">
        <v>26</v>
      </c>
      <c r="C259" s="2" t="s">
        <v>54</v>
      </c>
      <c r="D259" s="2" t="s">
        <v>124</v>
      </c>
      <c r="E259" s="2" t="s">
        <v>38</v>
      </c>
      <c r="F259" s="2" t="s">
        <v>123</v>
      </c>
      <c r="G259" s="2" t="s">
        <v>157</v>
      </c>
      <c r="H259" s="57" t="str">
        <f>Table1[[#This Row],[Tabela]]&amp;Table1[[#This Row],[Campo]]</f>
        <v>PROPERTY_ENERGY_CERTIFICATEUSEFUL_ENERGY_FANS_REQ_VALUE</v>
      </c>
      <c r="I259" s="2" t="s">
        <v>614</v>
      </c>
      <c r="J259" s="43">
        <f>VLOOKUP(Table1[[#This Row],[Status]],Auxiliar!$B$16:$C$24,2,0)</f>
        <v>1</v>
      </c>
      <c r="K259" s="2" t="s">
        <v>1255</v>
      </c>
      <c r="L259" s="29" t="s">
        <v>1250</v>
      </c>
      <c r="M259" s="21" t="s">
        <v>1259</v>
      </c>
      <c r="N259" s="48">
        <v>45485</v>
      </c>
      <c r="O259" s="21">
        <f>INDEX(Auxiliar!$D$5:$F$13,MATCH(Table1[[#This Row],[Tipologia_Testes]],Auxiliar!$B$5:$B$13,0),MATCH(Table1[[#This Row],[Complexidade]],Auxiliar!$D$4:$F$4,0))</f>
        <v>0.1</v>
      </c>
      <c r="P259" s="2" t="s">
        <v>1276</v>
      </c>
      <c r="Q259" s="2"/>
      <c r="R259" s="152">
        <v>45261</v>
      </c>
      <c r="S259" s="152"/>
      <c r="T259" s="152"/>
      <c r="U259" s="152"/>
      <c r="V259" s="152"/>
      <c r="W259" s="2">
        <f>VLOOKUP(Table1[[#This Row],[Status]],Auxiliar!$B$16:$D$24,3,0)*Table1[[#This Row],[Estimação (horas)]]</f>
        <v>0.1</v>
      </c>
      <c r="X259" s="2"/>
    </row>
    <row r="260" spans="2:24" ht="17.7" customHeight="1" x14ac:dyDescent="0.25">
      <c r="B260" s="2" t="s">
        <v>26</v>
      </c>
      <c r="C260" s="2" t="s">
        <v>54</v>
      </c>
      <c r="D260" s="2" t="s">
        <v>124</v>
      </c>
      <c r="E260" s="2" t="s">
        <v>38</v>
      </c>
      <c r="F260" s="2" t="s">
        <v>123</v>
      </c>
      <c r="G260" s="2" t="s">
        <v>158</v>
      </c>
      <c r="H260" s="57" t="str">
        <f>Table1[[#This Row],[Tabela]]&amp;Table1[[#This Row],[Campo]]</f>
        <v>PROPERTY_ENERGY_CERTIFICATEREN_ENERGY_PRODUCED_OTHER_VALUE</v>
      </c>
      <c r="I260" s="2" t="s">
        <v>614</v>
      </c>
      <c r="J260" s="43">
        <f>VLOOKUP(Table1[[#This Row],[Status]],Auxiliar!$B$16:$C$24,2,0)</f>
        <v>1</v>
      </c>
      <c r="K260" s="2" t="s">
        <v>1252</v>
      </c>
      <c r="L260" s="29" t="s">
        <v>1250</v>
      </c>
      <c r="M260" s="21" t="s">
        <v>1259</v>
      </c>
      <c r="N260" s="48">
        <v>45485</v>
      </c>
      <c r="O260" s="21">
        <f>INDEX(Auxiliar!$D$5:$F$13,MATCH(Table1[[#This Row],[Tipologia_Testes]],Auxiliar!$B$5:$B$13,0),MATCH(Table1[[#This Row],[Complexidade]],Auxiliar!$D$4:$F$4,0))</f>
        <v>2</v>
      </c>
      <c r="P260" s="2" t="s">
        <v>1276</v>
      </c>
      <c r="Q260" s="2"/>
      <c r="R260" s="152">
        <v>45261</v>
      </c>
      <c r="S260" s="152"/>
      <c r="T260" s="152"/>
      <c r="U260" s="152"/>
      <c r="V260" s="152"/>
      <c r="W260" s="2">
        <f>VLOOKUP(Table1[[#This Row],[Status]],Auxiliar!$B$16:$D$24,3,0)*Table1[[#This Row],[Estimação (horas)]]</f>
        <v>2</v>
      </c>
      <c r="X260" s="2"/>
    </row>
    <row r="261" spans="2:24" ht="17.7" customHeight="1" x14ac:dyDescent="0.25">
      <c r="B261" s="2" t="s">
        <v>26</v>
      </c>
      <c r="C261" s="2" t="s">
        <v>54</v>
      </c>
      <c r="D261" s="2" t="s">
        <v>124</v>
      </c>
      <c r="E261" s="2" t="s">
        <v>38</v>
      </c>
      <c r="F261" s="2" t="s">
        <v>123</v>
      </c>
      <c r="G261" s="2" t="s">
        <v>158</v>
      </c>
      <c r="H261" s="57" t="str">
        <f>Table1[[#This Row],[Tabela]]&amp;Table1[[#This Row],[Campo]]</f>
        <v>PROPERTY_ENERGY_CERTIFICATEREN_ENERGY_PRODUCED_OTHER_VALUE</v>
      </c>
      <c r="I261" s="2" t="s">
        <v>614</v>
      </c>
      <c r="J261" s="43">
        <f>VLOOKUP(Table1[[#This Row],[Status]],Auxiliar!$B$16:$C$24,2,0)</f>
        <v>1</v>
      </c>
      <c r="K261" s="2" t="s">
        <v>1253</v>
      </c>
      <c r="L261" s="29" t="s">
        <v>1250</v>
      </c>
      <c r="M261" s="21" t="s">
        <v>1259</v>
      </c>
      <c r="N261" s="48">
        <v>45485</v>
      </c>
      <c r="O261" s="21">
        <f>INDEX(Auxiliar!$D$5:$F$13,MATCH(Table1[[#This Row],[Tipologia_Testes]],Auxiliar!$B$5:$B$13,0),MATCH(Table1[[#This Row],[Complexidade]],Auxiliar!$D$4:$F$4,0))</f>
        <v>2</v>
      </c>
      <c r="P261" s="2" t="s">
        <v>1276</v>
      </c>
      <c r="Q261" s="2"/>
      <c r="R261" s="152">
        <v>45261</v>
      </c>
      <c r="S261" s="152"/>
      <c r="T261" s="152"/>
      <c r="U261" s="152"/>
      <c r="V261" s="152"/>
      <c r="W261" s="2">
        <f>VLOOKUP(Table1[[#This Row],[Status]],Auxiliar!$B$16:$D$24,3,0)*Table1[[#This Row],[Estimação (horas)]]</f>
        <v>2</v>
      </c>
      <c r="X261" s="2"/>
    </row>
    <row r="262" spans="2:24" ht="17.7" customHeight="1" x14ac:dyDescent="0.25">
      <c r="B262" s="2" t="s">
        <v>26</v>
      </c>
      <c r="C262" s="2" t="s">
        <v>54</v>
      </c>
      <c r="D262" s="2" t="s">
        <v>124</v>
      </c>
      <c r="E262" s="2" t="s">
        <v>38</v>
      </c>
      <c r="F262" s="2" t="s">
        <v>123</v>
      </c>
      <c r="G262" s="2" t="s">
        <v>158</v>
      </c>
      <c r="H262" s="57" t="str">
        <f>Table1[[#This Row],[Tabela]]&amp;Table1[[#This Row],[Campo]]</f>
        <v>PROPERTY_ENERGY_CERTIFICATEREN_ENERGY_PRODUCED_OTHER_VALUE</v>
      </c>
      <c r="I262" s="2" t="s">
        <v>614</v>
      </c>
      <c r="J262" s="43">
        <f>VLOOKUP(Table1[[#This Row],[Status]],Auxiliar!$B$16:$C$24,2,0)</f>
        <v>1</v>
      </c>
      <c r="K262" s="2" t="s">
        <v>1255</v>
      </c>
      <c r="L262" s="29" t="s">
        <v>1250</v>
      </c>
      <c r="M262" s="21" t="s">
        <v>1259</v>
      </c>
      <c r="N262" s="48">
        <v>45485</v>
      </c>
      <c r="O262" s="21">
        <f>INDEX(Auxiliar!$D$5:$F$13,MATCH(Table1[[#This Row],[Tipologia_Testes]],Auxiliar!$B$5:$B$13,0),MATCH(Table1[[#This Row],[Complexidade]],Auxiliar!$D$4:$F$4,0))</f>
        <v>0.1</v>
      </c>
      <c r="P262" s="2" t="s">
        <v>1276</v>
      </c>
      <c r="Q262" s="2"/>
      <c r="R262" s="152">
        <v>45261</v>
      </c>
      <c r="S262" s="152"/>
      <c r="T262" s="152"/>
      <c r="U262" s="152"/>
      <c r="V262" s="152"/>
      <c r="W262" s="2">
        <f>VLOOKUP(Table1[[#This Row],[Status]],Auxiliar!$B$16:$D$24,3,0)*Table1[[#This Row],[Estimação (horas)]]</f>
        <v>0.1</v>
      </c>
      <c r="X262" s="2"/>
    </row>
    <row r="263" spans="2:24" ht="17.7" customHeight="1" x14ac:dyDescent="0.25">
      <c r="B263" s="2" t="s">
        <v>26</v>
      </c>
      <c r="C263" s="2" t="s">
        <v>54</v>
      </c>
      <c r="D263" s="2" t="s">
        <v>124</v>
      </c>
      <c r="E263" s="2" t="s">
        <v>38</v>
      </c>
      <c r="F263" s="2" t="s">
        <v>123</v>
      </c>
      <c r="G263" s="2" t="s">
        <v>159</v>
      </c>
      <c r="H263" s="57" t="str">
        <f>Table1[[#This Row],[Tabela]]&amp;Table1[[#This Row],[Campo]]</f>
        <v>PROPERTY_ENERGY_CERTIFICATEREN_ENERGY_PRODUCED_REG_VALUE</v>
      </c>
      <c r="I263" s="2" t="s">
        <v>614</v>
      </c>
      <c r="J263" s="43">
        <f>VLOOKUP(Table1[[#This Row],[Status]],Auxiliar!$B$16:$C$24,2,0)</f>
        <v>1</v>
      </c>
      <c r="K263" s="2" t="s">
        <v>1252</v>
      </c>
      <c r="L263" s="29" t="s">
        <v>1250</v>
      </c>
      <c r="M263" s="21" t="s">
        <v>1259</v>
      </c>
      <c r="N263" s="48">
        <v>45485</v>
      </c>
      <c r="O263" s="21">
        <f>INDEX(Auxiliar!$D$5:$F$13,MATCH(Table1[[#This Row],[Tipologia_Testes]],Auxiliar!$B$5:$B$13,0),MATCH(Table1[[#This Row],[Complexidade]],Auxiliar!$D$4:$F$4,0))</f>
        <v>2</v>
      </c>
      <c r="P263" s="2" t="s">
        <v>1276</v>
      </c>
      <c r="Q263" s="2"/>
      <c r="R263" s="152">
        <v>45261</v>
      </c>
      <c r="S263" s="152"/>
      <c r="T263" s="152"/>
      <c r="U263" s="152"/>
      <c r="V263" s="152"/>
      <c r="W263" s="2">
        <f>VLOOKUP(Table1[[#This Row],[Status]],Auxiliar!$B$16:$D$24,3,0)*Table1[[#This Row],[Estimação (horas)]]</f>
        <v>2</v>
      </c>
      <c r="X263" s="2"/>
    </row>
    <row r="264" spans="2:24" ht="17.7" customHeight="1" x14ac:dyDescent="0.25">
      <c r="B264" s="2" t="s">
        <v>26</v>
      </c>
      <c r="C264" s="2" t="s">
        <v>54</v>
      </c>
      <c r="D264" s="2" t="s">
        <v>124</v>
      </c>
      <c r="E264" s="2" t="s">
        <v>38</v>
      </c>
      <c r="F264" s="2" t="s">
        <v>123</v>
      </c>
      <c r="G264" s="2" t="s">
        <v>159</v>
      </c>
      <c r="H264" s="57" t="str">
        <f>Table1[[#This Row],[Tabela]]&amp;Table1[[#This Row],[Campo]]</f>
        <v>PROPERTY_ENERGY_CERTIFICATEREN_ENERGY_PRODUCED_REG_VALUE</v>
      </c>
      <c r="I264" s="2" t="s">
        <v>614</v>
      </c>
      <c r="J264" s="43">
        <f>VLOOKUP(Table1[[#This Row],[Status]],Auxiliar!$B$16:$C$24,2,0)</f>
        <v>1</v>
      </c>
      <c r="K264" s="2" t="s">
        <v>1253</v>
      </c>
      <c r="L264" s="29" t="s">
        <v>1250</v>
      </c>
      <c r="M264" s="21" t="s">
        <v>1259</v>
      </c>
      <c r="N264" s="48">
        <v>45485</v>
      </c>
      <c r="O264" s="21">
        <f>INDEX(Auxiliar!$D$5:$F$13,MATCH(Table1[[#This Row],[Tipologia_Testes]],Auxiliar!$B$5:$B$13,0),MATCH(Table1[[#This Row],[Complexidade]],Auxiliar!$D$4:$F$4,0))</f>
        <v>2</v>
      </c>
      <c r="P264" s="2" t="s">
        <v>1276</v>
      </c>
      <c r="Q264" s="2"/>
      <c r="R264" s="152">
        <v>45261</v>
      </c>
      <c r="S264" s="152"/>
      <c r="T264" s="152"/>
      <c r="U264" s="152"/>
      <c r="V264" s="152"/>
      <c r="W264" s="2">
        <f>VLOOKUP(Table1[[#This Row],[Status]],Auxiliar!$B$16:$D$24,3,0)*Table1[[#This Row],[Estimação (horas)]]</f>
        <v>2</v>
      </c>
      <c r="X264" s="2"/>
    </row>
    <row r="265" spans="2:24" ht="17.7" customHeight="1" x14ac:dyDescent="0.25">
      <c r="B265" s="2" t="s">
        <v>26</v>
      </c>
      <c r="C265" s="2" t="s">
        <v>54</v>
      </c>
      <c r="D265" s="2" t="s">
        <v>124</v>
      </c>
      <c r="E265" s="2" t="s">
        <v>38</v>
      </c>
      <c r="F265" s="2" t="s">
        <v>123</v>
      </c>
      <c r="G265" s="2" t="s">
        <v>159</v>
      </c>
      <c r="H265" s="57" t="str">
        <f>Table1[[#This Row],[Tabela]]&amp;Table1[[#This Row],[Campo]]</f>
        <v>PROPERTY_ENERGY_CERTIFICATEREN_ENERGY_PRODUCED_REG_VALUE</v>
      </c>
      <c r="I265" s="2" t="s">
        <v>614</v>
      </c>
      <c r="J265" s="43">
        <f>VLOOKUP(Table1[[#This Row],[Status]],Auxiliar!$B$16:$C$24,2,0)</f>
        <v>1</v>
      </c>
      <c r="K265" s="2" t="s">
        <v>1255</v>
      </c>
      <c r="L265" s="29" t="s">
        <v>1250</v>
      </c>
      <c r="M265" s="21" t="s">
        <v>1259</v>
      </c>
      <c r="N265" s="48">
        <v>45485</v>
      </c>
      <c r="O265" s="21">
        <f>INDEX(Auxiliar!$D$5:$F$13,MATCH(Table1[[#This Row],[Tipologia_Testes]],Auxiliar!$B$5:$B$13,0),MATCH(Table1[[#This Row],[Complexidade]],Auxiliar!$D$4:$F$4,0))</f>
        <v>0.1</v>
      </c>
      <c r="P265" s="2" t="s">
        <v>1276</v>
      </c>
      <c r="Q265" s="2"/>
      <c r="R265" s="152">
        <v>45261</v>
      </c>
      <c r="S265" s="152"/>
      <c r="T265" s="152"/>
      <c r="U265" s="152"/>
      <c r="V265" s="152"/>
      <c r="W265" s="2">
        <f>VLOOKUP(Table1[[#This Row],[Status]],Auxiliar!$B$16:$D$24,3,0)*Table1[[#This Row],[Estimação (horas)]]</f>
        <v>0.1</v>
      </c>
      <c r="X265" s="2"/>
    </row>
    <row r="266" spans="2:24" ht="17.7" customHeight="1" x14ac:dyDescent="0.25">
      <c r="B266" s="2" t="s">
        <v>26</v>
      </c>
      <c r="C266" s="2" t="s">
        <v>54</v>
      </c>
      <c r="D266" s="2" t="s">
        <v>124</v>
      </c>
      <c r="E266" s="2" t="s">
        <v>38</v>
      </c>
      <c r="F266" s="2" t="s">
        <v>123</v>
      </c>
      <c r="G266" s="2" t="s">
        <v>160</v>
      </c>
      <c r="H266" s="57" t="str">
        <f>Table1[[#This Row],[Tabela]]&amp;Table1[[#This Row],[Campo]]</f>
        <v>PROPERTY_ENERGY_CERTIFICATEREN_ENERGY_PRODUCED_VALUE</v>
      </c>
      <c r="I266" s="2" t="s">
        <v>619</v>
      </c>
      <c r="J266" s="43">
        <f>VLOOKUP(Table1[[#This Row],[Status]],Auxiliar!$B$16:$C$24,2,0)</f>
        <v>7</v>
      </c>
      <c r="K266" s="2" t="s">
        <v>1252</v>
      </c>
      <c r="L266" s="29" t="s">
        <v>1250</v>
      </c>
      <c r="M266" s="21" t="s">
        <v>1259</v>
      </c>
      <c r="N266" s="48">
        <v>45618</v>
      </c>
      <c r="O266" s="21">
        <f>INDEX(Auxiliar!$D$5:$F$13,MATCH(Table1[[#This Row],[Tipologia_Testes]],Auxiliar!$B$5:$B$13,0),MATCH(Table1[[#This Row],[Complexidade]],Auxiliar!$D$4:$F$4,0))</f>
        <v>2</v>
      </c>
      <c r="P266" s="2"/>
      <c r="Q266" s="2"/>
      <c r="R266" s="152">
        <v>45616</v>
      </c>
      <c r="S266" s="152"/>
      <c r="T266" s="152"/>
      <c r="U266" s="152"/>
      <c r="V266" s="152"/>
      <c r="W266" s="2">
        <f>VLOOKUP(Table1[[#This Row],[Status]],Auxiliar!$B$16:$D$24,3,0)*Table1[[#This Row],[Estimação (horas)]]</f>
        <v>0.5</v>
      </c>
      <c r="X266" s="2"/>
    </row>
    <row r="267" spans="2:24" ht="17.7" customHeight="1" x14ac:dyDescent="0.25">
      <c r="B267" s="2" t="s">
        <v>26</v>
      </c>
      <c r="C267" s="2" t="s">
        <v>54</v>
      </c>
      <c r="D267" s="2" t="s">
        <v>124</v>
      </c>
      <c r="E267" s="2" t="s">
        <v>38</v>
      </c>
      <c r="F267" s="2" t="s">
        <v>123</v>
      </c>
      <c r="G267" s="2" t="s">
        <v>160</v>
      </c>
      <c r="H267" s="57" t="str">
        <f>Table1[[#This Row],[Tabela]]&amp;Table1[[#This Row],[Campo]]</f>
        <v>PROPERTY_ENERGY_CERTIFICATEREN_ENERGY_PRODUCED_VALUE</v>
      </c>
      <c r="I267" s="2" t="s">
        <v>619</v>
      </c>
      <c r="J267" s="43">
        <f>VLOOKUP(Table1[[#This Row],[Status]],Auxiliar!$B$16:$C$24,2,0)</f>
        <v>7</v>
      </c>
      <c r="K267" s="2" t="s">
        <v>1253</v>
      </c>
      <c r="L267" s="29" t="s">
        <v>1250</v>
      </c>
      <c r="M267" s="21" t="s">
        <v>1259</v>
      </c>
      <c r="N267" s="48">
        <v>45618</v>
      </c>
      <c r="O267" s="21">
        <f>INDEX(Auxiliar!$D$5:$F$13,MATCH(Table1[[#This Row],[Tipologia_Testes]],Auxiliar!$B$5:$B$13,0),MATCH(Table1[[#This Row],[Complexidade]],Auxiliar!$D$4:$F$4,0))</f>
        <v>2</v>
      </c>
      <c r="P267" s="2"/>
      <c r="Q267" s="2"/>
      <c r="R267" s="152">
        <v>45616</v>
      </c>
      <c r="S267" s="152"/>
      <c r="T267" s="152"/>
      <c r="U267" s="152"/>
      <c r="V267" s="152"/>
      <c r="W267" s="2">
        <f>VLOOKUP(Table1[[#This Row],[Status]],Auxiliar!$B$16:$D$24,3,0)*Table1[[#This Row],[Estimação (horas)]]</f>
        <v>0.5</v>
      </c>
      <c r="X267" s="2"/>
    </row>
    <row r="268" spans="2:24" ht="17.7" customHeight="1" x14ac:dyDescent="0.25">
      <c r="B268" s="2" t="s">
        <v>26</v>
      </c>
      <c r="C268" s="2" t="s">
        <v>54</v>
      </c>
      <c r="D268" s="2" t="s">
        <v>124</v>
      </c>
      <c r="E268" s="2" t="s">
        <v>38</v>
      </c>
      <c r="F268" s="2" t="s">
        <v>123</v>
      </c>
      <c r="G268" s="2" t="s">
        <v>160</v>
      </c>
      <c r="H268" s="57" t="str">
        <f>Table1[[#This Row],[Tabela]]&amp;Table1[[#This Row],[Campo]]</f>
        <v>PROPERTY_ENERGY_CERTIFICATEREN_ENERGY_PRODUCED_VALUE</v>
      </c>
      <c r="I268" s="2" t="s">
        <v>619</v>
      </c>
      <c r="J268" s="43">
        <f>VLOOKUP(Table1[[#This Row],[Status]],Auxiliar!$B$16:$C$24,2,0)</f>
        <v>7</v>
      </c>
      <c r="K268" s="2" t="s">
        <v>1255</v>
      </c>
      <c r="L268" s="29" t="s">
        <v>1250</v>
      </c>
      <c r="M268" s="21" t="s">
        <v>1259</v>
      </c>
      <c r="N268" s="48">
        <v>45618</v>
      </c>
      <c r="O268" s="21">
        <f>INDEX(Auxiliar!$D$5:$F$13,MATCH(Table1[[#This Row],[Tipologia_Testes]],Auxiliar!$B$5:$B$13,0),MATCH(Table1[[#This Row],[Complexidade]],Auxiliar!$D$4:$F$4,0))</f>
        <v>0.1</v>
      </c>
      <c r="P268" s="2"/>
      <c r="Q268" s="2"/>
      <c r="R268" s="152">
        <v>45616</v>
      </c>
      <c r="S268" s="152"/>
      <c r="T268" s="152"/>
      <c r="U268" s="152"/>
      <c r="V268" s="152"/>
      <c r="W268" s="2">
        <f>VLOOKUP(Table1[[#This Row],[Status]],Auxiliar!$B$16:$D$24,3,0)*Table1[[#This Row],[Estimação (horas)]]</f>
        <v>2.5000000000000001E-2</v>
      </c>
      <c r="X268" s="2"/>
    </row>
    <row r="269" spans="2:24" ht="17.7" customHeight="1" x14ac:dyDescent="0.25">
      <c r="B269" s="2" t="s">
        <v>26</v>
      </c>
      <c r="C269" s="2" t="s">
        <v>54</v>
      </c>
      <c r="D269" s="2" t="s">
        <v>124</v>
      </c>
      <c r="E269" s="2" t="s">
        <v>38</v>
      </c>
      <c r="F269" s="2" t="s">
        <v>123</v>
      </c>
      <c r="G269" s="2" t="s">
        <v>161</v>
      </c>
      <c r="H269" s="57" t="str">
        <f>Table1[[#This Row],[Tabela]]&amp;Table1[[#This Row],[Campo]]</f>
        <v>PROPERTY_ENERGY_CERTIFICATEUSEFUL_ENERGY_DOM_HOTWATER_VALUE</v>
      </c>
      <c r="I269" s="2" t="s">
        <v>614</v>
      </c>
      <c r="J269" s="43">
        <f>VLOOKUP(Table1[[#This Row],[Status]],Auxiliar!$B$16:$C$24,2,0)</f>
        <v>1</v>
      </c>
      <c r="K269" s="2" t="s">
        <v>1252</v>
      </c>
      <c r="L269" s="29" t="s">
        <v>1250</v>
      </c>
      <c r="M269" s="21" t="s">
        <v>1259</v>
      </c>
      <c r="N269" s="48">
        <v>45485</v>
      </c>
      <c r="O269" s="21">
        <f>INDEX(Auxiliar!$D$5:$F$13,MATCH(Table1[[#This Row],[Tipologia_Testes]],Auxiliar!$B$5:$B$13,0),MATCH(Table1[[#This Row],[Complexidade]],Auxiliar!$D$4:$F$4,0))</f>
        <v>2</v>
      </c>
      <c r="P269" s="2" t="s">
        <v>1276</v>
      </c>
      <c r="Q269" s="2"/>
      <c r="R269" s="152">
        <v>45261</v>
      </c>
      <c r="S269" s="152"/>
      <c r="T269" s="152"/>
      <c r="U269" s="152"/>
      <c r="V269" s="152"/>
      <c r="W269" s="2">
        <f>VLOOKUP(Table1[[#This Row],[Status]],Auxiliar!$B$16:$D$24,3,0)*Table1[[#This Row],[Estimação (horas)]]</f>
        <v>2</v>
      </c>
      <c r="X269" s="2"/>
    </row>
    <row r="270" spans="2:24" ht="17.7" customHeight="1" x14ac:dyDescent="0.25">
      <c r="B270" s="2" t="s">
        <v>26</v>
      </c>
      <c r="C270" s="2" t="s">
        <v>54</v>
      </c>
      <c r="D270" s="2" t="s">
        <v>124</v>
      </c>
      <c r="E270" s="2" t="s">
        <v>38</v>
      </c>
      <c r="F270" s="2" t="s">
        <v>123</v>
      </c>
      <c r="G270" s="2" t="s">
        <v>161</v>
      </c>
      <c r="H270" s="57" t="str">
        <f>Table1[[#This Row],[Tabela]]&amp;Table1[[#This Row],[Campo]]</f>
        <v>PROPERTY_ENERGY_CERTIFICATEUSEFUL_ENERGY_DOM_HOTWATER_VALUE</v>
      </c>
      <c r="I270" s="2" t="s">
        <v>614</v>
      </c>
      <c r="J270" s="43">
        <f>VLOOKUP(Table1[[#This Row],[Status]],Auxiliar!$B$16:$C$24,2,0)</f>
        <v>1</v>
      </c>
      <c r="K270" s="2" t="s">
        <v>1253</v>
      </c>
      <c r="L270" s="29" t="s">
        <v>1250</v>
      </c>
      <c r="M270" s="21" t="s">
        <v>1259</v>
      </c>
      <c r="N270" s="48">
        <v>45485</v>
      </c>
      <c r="O270" s="21">
        <f>INDEX(Auxiliar!$D$5:$F$13,MATCH(Table1[[#This Row],[Tipologia_Testes]],Auxiliar!$B$5:$B$13,0),MATCH(Table1[[#This Row],[Complexidade]],Auxiliar!$D$4:$F$4,0))</f>
        <v>2</v>
      </c>
      <c r="P270" s="2" t="s">
        <v>1276</v>
      </c>
      <c r="Q270" s="2"/>
      <c r="R270" s="152">
        <v>45261</v>
      </c>
      <c r="S270" s="152"/>
      <c r="T270" s="152"/>
      <c r="U270" s="152"/>
      <c r="V270" s="152"/>
      <c r="W270" s="2">
        <f>VLOOKUP(Table1[[#This Row],[Status]],Auxiliar!$B$16:$D$24,3,0)*Table1[[#This Row],[Estimação (horas)]]</f>
        <v>2</v>
      </c>
      <c r="X270" s="2"/>
    </row>
    <row r="271" spans="2:24" ht="17.7" customHeight="1" x14ac:dyDescent="0.25">
      <c r="B271" s="2" t="s">
        <v>26</v>
      </c>
      <c r="C271" s="2" t="s">
        <v>54</v>
      </c>
      <c r="D271" s="2" t="s">
        <v>124</v>
      </c>
      <c r="E271" s="2" t="s">
        <v>38</v>
      </c>
      <c r="F271" s="2" t="s">
        <v>123</v>
      </c>
      <c r="G271" s="2" t="s">
        <v>161</v>
      </c>
      <c r="H271" s="57" t="str">
        <f>Table1[[#This Row],[Tabela]]&amp;Table1[[#This Row],[Campo]]</f>
        <v>PROPERTY_ENERGY_CERTIFICATEUSEFUL_ENERGY_DOM_HOTWATER_VALUE</v>
      </c>
      <c r="I271" s="2" t="s">
        <v>614</v>
      </c>
      <c r="J271" s="43">
        <f>VLOOKUP(Table1[[#This Row],[Status]],Auxiliar!$B$16:$C$24,2,0)</f>
        <v>1</v>
      </c>
      <c r="K271" s="2" t="s">
        <v>1255</v>
      </c>
      <c r="L271" s="29" t="s">
        <v>1250</v>
      </c>
      <c r="M271" s="21" t="s">
        <v>1259</v>
      </c>
      <c r="N271" s="48">
        <v>45485</v>
      </c>
      <c r="O271" s="21">
        <f>INDEX(Auxiliar!$D$5:$F$13,MATCH(Table1[[#This Row],[Tipologia_Testes]],Auxiliar!$B$5:$B$13,0),MATCH(Table1[[#This Row],[Complexidade]],Auxiliar!$D$4:$F$4,0))</f>
        <v>0.1</v>
      </c>
      <c r="P271" s="2" t="s">
        <v>1276</v>
      </c>
      <c r="Q271" s="2"/>
      <c r="R271" s="152">
        <v>45261</v>
      </c>
      <c r="S271" s="152"/>
      <c r="T271" s="152"/>
      <c r="U271" s="152"/>
      <c r="V271" s="152"/>
      <c r="W271" s="2">
        <f>VLOOKUP(Table1[[#This Row],[Status]],Auxiliar!$B$16:$D$24,3,0)*Table1[[#This Row],[Estimação (horas)]]</f>
        <v>0.1</v>
      </c>
      <c r="X271" s="2"/>
    </row>
    <row r="272" spans="2:24" ht="17.7" customHeight="1" x14ac:dyDescent="0.25">
      <c r="B272" s="2" t="s">
        <v>26</v>
      </c>
      <c r="C272" s="2" t="s">
        <v>54</v>
      </c>
      <c r="D272" s="2" t="s">
        <v>124</v>
      </c>
      <c r="E272" s="2" t="s">
        <v>38</v>
      </c>
      <c r="F272" s="2" t="s">
        <v>123</v>
      </c>
      <c r="G272" s="2" t="s">
        <v>162</v>
      </c>
      <c r="H272" s="57" t="str">
        <f>Table1[[#This Row],[Tabela]]&amp;Table1[[#This Row],[Campo]]</f>
        <v>PROPERTY_ENERGY_CERTIFICATEUSEFUL_ENERGY_COOLING_VALUE</v>
      </c>
      <c r="I272" s="2" t="s">
        <v>614</v>
      </c>
      <c r="J272" s="43">
        <f>VLOOKUP(Table1[[#This Row],[Status]],Auxiliar!$B$16:$C$24,2,0)</f>
        <v>1</v>
      </c>
      <c r="K272" s="2" t="s">
        <v>1252</v>
      </c>
      <c r="L272" s="29" t="s">
        <v>1250</v>
      </c>
      <c r="M272" s="21" t="s">
        <v>1259</v>
      </c>
      <c r="N272" s="48">
        <v>45485</v>
      </c>
      <c r="O272" s="21">
        <f>INDEX(Auxiliar!$D$5:$F$13,MATCH(Table1[[#This Row],[Tipologia_Testes]],Auxiliar!$B$5:$B$13,0),MATCH(Table1[[#This Row],[Complexidade]],Auxiliar!$D$4:$F$4,0))</f>
        <v>2</v>
      </c>
      <c r="P272" s="2" t="s">
        <v>1276</v>
      </c>
      <c r="Q272" s="2"/>
      <c r="R272" s="152">
        <v>45261</v>
      </c>
      <c r="S272" s="152"/>
      <c r="T272" s="152"/>
      <c r="U272" s="152"/>
      <c r="V272" s="152"/>
      <c r="W272" s="2">
        <f>VLOOKUP(Table1[[#This Row],[Status]],Auxiliar!$B$16:$D$24,3,0)*Table1[[#This Row],[Estimação (horas)]]</f>
        <v>2</v>
      </c>
      <c r="X272" s="2"/>
    </row>
    <row r="273" spans="2:24" ht="17.7" customHeight="1" x14ac:dyDescent="0.25">
      <c r="B273" s="2" t="s">
        <v>26</v>
      </c>
      <c r="C273" s="2" t="s">
        <v>54</v>
      </c>
      <c r="D273" s="2" t="s">
        <v>124</v>
      </c>
      <c r="E273" s="2" t="s">
        <v>38</v>
      </c>
      <c r="F273" s="2" t="s">
        <v>123</v>
      </c>
      <c r="G273" s="2" t="s">
        <v>162</v>
      </c>
      <c r="H273" s="57" t="str">
        <f>Table1[[#This Row],[Tabela]]&amp;Table1[[#This Row],[Campo]]</f>
        <v>PROPERTY_ENERGY_CERTIFICATEUSEFUL_ENERGY_COOLING_VALUE</v>
      </c>
      <c r="I273" s="2" t="s">
        <v>614</v>
      </c>
      <c r="J273" s="43">
        <f>VLOOKUP(Table1[[#This Row],[Status]],Auxiliar!$B$16:$C$24,2,0)</f>
        <v>1</v>
      </c>
      <c r="K273" s="2" t="s">
        <v>1253</v>
      </c>
      <c r="L273" s="29" t="s">
        <v>1250</v>
      </c>
      <c r="M273" s="21" t="s">
        <v>1259</v>
      </c>
      <c r="N273" s="48">
        <v>45485</v>
      </c>
      <c r="O273" s="21">
        <f>INDEX(Auxiliar!$D$5:$F$13,MATCH(Table1[[#This Row],[Tipologia_Testes]],Auxiliar!$B$5:$B$13,0),MATCH(Table1[[#This Row],[Complexidade]],Auxiliar!$D$4:$F$4,0))</f>
        <v>2</v>
      </c>
      <c r="P273" s="2" t="s">
        <v>1276</v>
      </c>
      <c r="Q273" s="2"/>
      <c r="R273" s="152">
        <v>45261</v>
      </c>
      <c r="S273" s="152"/>
      <c r="T273" s="152"/>
      <c r="U273" s="152"/>
      <c r="V273" s="152"/>
      <c r="W273" s="2">
        <f>VLOOKUP(Table1[[#This Row],[Status]],Auxiliar!$B$16:$D$24,3,0)*Table1[[#This Row],[Estimação (horas)]]</f>
        <v>2</v>
      </c>
      <c r="X273" s="2"/>
    </row>
    <row r="274" spans="2:24" ht="17.7" customHeight="1" x14ac:dyDescent="0.25">
      <c r="B274" s="2" t="s">
        <v>26</v>
      </c>
      <c r="C274" s="2" t="s">
        <v>54</v>
      </c>
      <c r="D274" s="2" t="s">
        <v>124</v>
      </c>
      <c r="E274" s="2" t="s">
        <v>38</v>
      </c>
      <c r="F274" s="2" t="s">
        <v>123</v>
      </c>
      <c r="G274" s="2" t="s">
        <v>162</v>
      </c>
      <c r="H274" s="57" t="str">
        <f>Table1[[#This Row],[Tabela]]&amp;Table1[[#This Row],[Campo]]</f>
        <v>PROPERTY_ENERGY_CERTIFICATEUSEFUL_ENERGY_COOLING_VALUE</v>
      </c>
      <c r="I274" s="2" t="s">
        <v>614</v>
      </c>
      <c r="J274" s="43">
        <f>VLOOKUP(Table1[[#This Row],[Status]],Auxiliar!$B$16:$C$24,2,0)</f>
        <v>1</v>
      </c>
      <c r="K274" s="2" t="s">
        <v>1255</v>
      </c>
      <c r="L274" s="29" t="s">
        <v>1250</v>
      </c>
      <c r="M274" s="21" t="s">
        <v>1259</v>
      </c>
      <c r="N274" s="48">
        <v>45485</v>
      </c>
      <c r="O274" s="21">
        <f>INDEX(Auxiliar!$D$5:$F$13,MATCH(Table1[[#This Row],[Tipologia_Testes]],Auxiliar!$B$5:$B$13,0),MATCH(Table1[[#This Row],[Complexidade]],Auxiliar!$D$4:$F$4,0))</f>
        <v>0.1</v>
      </c>
      <c r="P274" s="2" t="s">
        <v>1276</v>
      </c>
      <c r="Q274" s="2"/>
      <c r="R274" s="152">
        <v>45261</v>
      </c>
      <c r="S274" s="152"/>
      <c r="T274" s="152"/>
      <c r="U274" s="152"/>
      <c r="V274" s="152"/>
      <c r="W274" s="2">
        <f>VLOOKUP(Table1[[#This Row],[Status]],Auxiliar!$B$16:$D$24,3,0)*Table1[[#This Row],[Estimação (horas)]]</f>
        <v>0.1</v>
      </c>
      <c r="X274" s="2"/>
    </row>
    <row r="275" spans="2:24" ht="17.7" customHeight="1" x14ac:dyDescent="0.25">
      <c r="B275" s="2" t="s">
        <v>26</v>
      </c>
      <c r="C275" s="2" t="s">
        <v>54</v>
      </c>
      <c r="D275" s="2" t="s">
        <v>124</v>
      </c>
      <c r="E275" s="2" t="s">
        <v>38</v>
      </c>
      <c r="F275" s="2" t="s">
        <v>123</v>
      </c>
      <c r="G275" s="2" t="s">
        <v>163</v>
      </c>
      <c r="H275" s="57" t="str">
        <f>Table1[[#This Row],[Tabela]]&amp;Table1[[#This Row],[Campo]]</f>
        <v>PROPERTY_ENERGY_CERTIFICATETEMPERATURE_DAY_VALUE</v>
      </c>
      <c r="I275" s="2" t="s">
        <v>614</v>
      </c>
      <c r="J275" s="43">
        <f>VLOOKUP(Table1[[#This Row],[Status]],Auxiliar!$B$16:$C$24,2,0)</f>
        <v>1</v>
      </c>
      <c r="K275" s="2" t="s">
        <v>1252</v>
      </c>
      <c r="L275" s="29" t="s">
        <v>1250</v>
      </c>
      <c r="M275" s="21" t="s">
        <v>1259</v>
      </c>
      <c r="N275" s="48">
        <v>45485</v>
      </c>
      <c r="O275" s="21">
        <f>INDEX(Auxiliar!$D$5:$F$13,MATCH(Table1[[#This Row],[Tipologia_Testes]],Auxiliar!$B$5:$B$13,0),MATCH(Table1[[#This Row],[Complexidade]],Auxiliar!$D$4:$F$4,0))</f>
        <v>2</v>
      </c>
      <c r="P275" s="2" t="s">
        <v>1276</v>
      </c>
      <c r="Q275" s="2"/>
      <c r="R275" s="152">
        <v>45261</v>
      </c>
      <c r="S275" s="152"/>
      <c r="T275" s="152"/>
      <c r="U275" s="152"/>
      <c r="V275" s="152"/>
      <c r="W275" s="2">
        <f>VLOOKUP(Table1[[#This Row],[Status]],Auxiliar!$B$16:$D$24,3,0)*Table1[[#This Row],[Estimação (horas)]]</f>
        <v>2</v>
      </c>
      <c r="X275" s="2"/>
    </row>
    <row r="276" spans="2:24" ht="17.7" customHeight="1" x14ac:dyDescent="0.25">
      <c r="B276" s="2" t="s">
        <v>26</v>
      </c>
      <c r="C276" s="2" t="s">
        <v>54</v>
      </c>
      <c r="D276" s="2" t="s">
        <v>124</v>
      </c>
      <c r="E276" s="2" t="s">
        <v>38</v>
      </c>
      <c r="F276" s="2" t="s">
        <v>123</v>
      </c>
      <c r="G276" s="2" t="s">
        <v>163</v>
      </c>
      <c r="H276" s="57" t="str">
        <f>Table1[[#This Row],[Tabela]]&amp;Table1[[#This Row],[Campo]]</f>
        <v>PROPERTY_ENERGY_CERTIFICATETEMPERATURE_DAY_VALUE</v>
      </c>
      <c r="I276" s="2" t="s">
        <v>614</v>
      </c>
      <c r="J276" s="43">
        <f>VLOOKUP(Table1[[#This Row],[Status]],Auxiliar!$B$16:$C$24,2,0)</f>
        <v>1</v>
      </c>
      <c r="K276" s="2" t="s">
        <v>1253</v>
      </c>
      <c r="L276" s="29" t="s">
        <v>1250</v>
      </c>
      <c r="M276" s="21" t="s">
        <v>1259</v>
      </c>
      <c r="N276" s="48">
        <v>45485</v>
      </c>
      <c r="O276" s="21">
        <f>INDEX(Auxiliar!$D$5:$F$13,MATCH(Table1[[#This Row],[Tipologia_Testes]],Auxiliar!$B$5:$B$13,0),MATCH(Table1[[#This Row],[Complexidade]],Auxiliar!$D$4:$F$4,0))</f>
        <v>2</v>
      </c>
      <c r="P276" s="2" t="s">
        <v>1276</v>
      </c>
      <c r="Q276" s="2"/>
      <c r="R276" s="152">
        <v>45261</v>
      </c>
      <c r="S276" s="152"/>
      <c r="T276" s="152"/>
      <c r="U276" s="152"/>
      <c r="V276" s="152"/>
      <c r="W276" s="2">
        <f>VLOOKUP(Table1[[#This Row],[Status]],Auxiliar!$B$16:$D$24,3,0)*Table1[[#This Row],[Estimação (horas)]]</f>
        <v>2</v>
      </c>
      <c r="X276" s="2"/>
    </row>
    <row r="277" spans="2:24" ht="17.7" customHeight="1" x14ac:dyDescent="0.25">
      <c r="B277" s="2" t="s">
        <v>26</v>
      </c>
      <c r="C277" s="2" t="s">
        <v>54</v>
      </c>
      <c r="D277" s="2" t="s">
        <v>124</v>
      </c>
      <c r="E277" s="2" t="s">
        <v>38</v>
      </c>
      <c r="F277" s="2" t="s">
        <v>123</v>
      </c>
      <c r="G277" s="2" t="s">
        <v>163</v>
      </c>
      <c r="H277" s="57" t="str">
        <f>Table1[[#This Row],[Tabela]]&amp;Table1[[#This Row],[Campo]]</f>
        <v>PROPERTY_ENERGY_CERTIFICATETEMPERATURE_DAY_VALUE</v>
      </c>
      <c r="I277" s="2" t="s">
        <v>614</v>
      </c>
      <c r="J277" s="43">
        <f>VLOOKUP(Table1[[#This Row],[Status]],Auxiliar!$B$16:$C$24,2,0)</f>
        <v>1</v>
      </c>
      <c r="K277" s="2" t="s">
        <v>1255</v>
      </c>
      <c r="L277" s="29" t="s">
        <v>1250</v>
      </c>
      <c r="M277" s="21" t="s">
        <v>1259</v>
      </c>
      <c r="N277" s="48">
        <v>45485</v>
      </c>
      <c r="O277" s="21">
        <f>INDEX(Auxiliar!$D$5:$F$13,MATCH(Table1[[#This Row],[Tipologia_Testes]],Auxiliar!$B$5:$B$13,0),MATCH(Table1[[#This Row],[Complexidade]],Auxiliar!$D$4:$F$4,0))</f>
        <v>0.1</v>
      </c>
      <c r="P277" s="2" t="s">
        <v>1276</v>
      </c>
      <c r="Q277" s="2"/>
      <c r="R277" s="152">
        <v>45261</v>
      </c>
      <c r="S277" s="152"/>
      <c r="T277" s="152"/>
      <c r="U277" s="152"/>
      <c r="V277" s="152"/>
      <c r="W277" s="2">
        <f>VLOOKUP(Table1[[#This Row],[Status]],Auxiliar!$B$16:$D$24,3,0)*Table1[[#This Row],[Estimação (horas)]]</f>
        <v>0.1</v>
      </c>
      <c r="X277" s="2"/>
    </row>
    <row r="278" spans="2:24" ht="17.7" customHeight="1" x14ac:dyDescent="0.25">
      <c r="B278" s="2" t="s">
        <v>26</v>
      </c>
      <c r="C278" s="2" t="s">
        <v>54</v>
      </c>
      <c r="D278" s="2" t="s">
        <v>124</v>
      </c>
      <c r="E278" s="2" t="s">
        <v>38</v>
      </c>
      <c r="F278" s="2" t="s">
        <v>123</v>
      </c>
      <c r="G278" s="2" t="s">
        <v>164</v>
      </c>
      <c r="H278" s="57" t="str">
        <f>Table1[[#This Row],[Tabela]]&amp;Table1[[#This Row],[Campo]]</f>
        <v>PROPERTY_ENERGY_CERTIFICATEPRIMARY_ENERGY_REQ_VALUE</v>
      </c>
      <c r="I278" s="2" t="s">
        <v>619</v>
      </c>
      <c r="J278" s="43">
        <f>VLOOKUP(Table1[[#This Row],[Status]],Auxiliar!$B$16:$C$24,2,0)</f>
        <v>7</v>
      </c>
      <c r="K278" s="2" t="s">
        <v>1252</v>
      </c>
      <c r="L278" s="29" t="s">
        <v>1250</v>
      </c>
      <c r="M278" s="21" t="s">
        <v>1259</v>
      </c>
      <c r="N278" s="48">
        <v>45618</v>
      </c>
      <c r="O278" s="21">
        <f>INDEX(Auxiliar!$D$5:$F$13,MATCH(Table1[[#This Row],[Tipologia_Testes]],Auxiliar!$B$5:$B$13,0),MATCH(Table1[[#This Row],[Complexidade]],Auxiliar!$D$4:$F$4,0))</f>
        <v>2</v>
      </c>
      <c r="P278" s="2"/>
      <c r="Q278" s="2"/>
      <c r="R278" s="152">
        <v>45616</v>
      </c>
      <c r="S278" s="152"/>
      <c r="T278" s="152"/>
      <c r="U278" s="152"/>
      <c r="V278" s="152"/>
      <c r="W278" s="2">
        <f>VLOOKUP(Table1[[#This Row],[Status]],Auxiliar!$B$16:$D$24,3,0)*Table1[[#This Row],[Estimação (horas)]]</f>
        <v>0.5</v>
      </c>
      <c r="X278" s="2"/>
    </row>
    <row r="279" spans="2:24" ht="17.7" customHeight="1" x14ac:dyDescent="0.25">
      <c r="B279" s="2" t="s">
        <v>26</v>
      </c>
      <c r="C279" s="2" t="s">
        <v>54</v>
      </c>
      <c r="D279" s="2" t="s">
        <v>124</v>
      </c>
      <c r="E279" s="2" t="s">
        <v>38</v>
      </c>
      <c r="F279" s="2" t="s">
        <v>123</v>
      </c>
      <c r="G279" s="2" t="s">
        <v>164</v>
      </c>
      <c r="H279" s="57" t="str">
        <f>Table1[[#This Row],[Tabela]]&amp;Table1[[#This Row],[Campo]]</f>
        <v>PROPERTY_ENERGY_CERTIFICATEPRIMARY_ENERGY_REQ_VALUE</v>
      </c>
      <c r="I279" s="2" t="s">
        <v>619</v>
      </c>
      <c r="J279" s="43">
        <f>VLOOKUP(Table1[[#This Row],[Status]],Auxiliar!$B$16:$C$24,2,0)</f>
        <v>7</v>
      </c>
      <c r="K279" s="2" t="s">
        <v>1253</v>
      </c>
      <c r="L279" s="29" t="s">
        <v>1250</v>
      </c>
      <c r="M279" s="21" t="s">
        <v>1259</v>
      </c>
      <c r="N279" s="48">
        <v>45618</v>
      </c>
      <c r="O279" s="21">
        <f>INDEX(Auxiliar!$D$5:$F$13,MATCH(Table1[[#This Row],[Tipologia_Testes]],Auxiliar!$B$5:$B$13,0),MATCH(Table1[[#This Row],[Complexidade]],Auxiliar!$D$4:$F$4,0))</f>
        <v>2</v>
      </c>
      <c r="P279" s="2"/>
      <c r="Q279" s="2"/>
      <c r="R279" s="152">
        <v>45616</v>
      </c>
      <c r="S279" s="152"/>
      <c r="T279" s="152"/>
      <c r="U279" s="152"/>
      <c r="V279" s="152"/>
      <c r="W279" s="2">
        <f>VLOOKUP(Table1[[#This Row],[Status]],Auxiliar!$B$16:$D$24,3,0)*Table1[[#This Row],[Estimação (horas)]]</f>
        <v>0.5</v>
      </c>
      <c r="X279" s="2"/>
    </row>
    <row r="280" spans="2:24" ht="17.7" customHeight="1" x14ac:dyDescent="0.25">
      <c r="B280" s="2" t="s">
        <v>26</v>
      </c>
      <c r="C280" s="2" t="s">
        <v>54</v>
      </c>
      <c r="D280" s="2" t="s">
        <v>124</v>
      </c>
      <c r="E280" s="2" t="s">
        <v>38</v>
      </c>
      <c r="F280" s="2" t="s">
        <v>123</v>
      </c>
      <c r="G280" s="2" t="s">
        <v>164</v>
      </c>
      <c r="H280" s="57" t="str">
        <f>Table1[[#This Row],[Tabela]]&amp;Table1[[#This Row],[Campo]]</f>
        <v>PROPERTY_ENERGY_CERTIFICATEPRIMARY_ENERGY_REQ_VALUE</v>
      </c>
      <c r="I280" s="2" t="s">
        <v>619</v>
      </c>
      <c r="J280" s="43">
        <f>VLOOKUP(Table1[[#This Row],[Status]],Auxiliar!$B$16:$C$24,2,0)</f>
        <v>7</v>
      </c>
      <c r="K280" s="2" t="s">
        <v>1255</v>
      </c>
      <c r="L280" s="29" t="s">
        <v>1250</v>
      </c>
      <c r="M280" s="21" t="s">
        <v>1259</v>
      </c>
      <c r="N280" s="48">
        <v>45618</v>
      </c>
      <c r="O280" s="21">
        <f>INDEX(Auxiliar!$D$5:$F$13,MATCH(Table1[[#This Row],[Tipologia_Testes]],Auxiliar!$B$5:$B$13,0),MATCH(Table1[[#This Row],[Complexidade]],Auxiliar!$D$4:$F$4,0))</f>
        <v>0.1</v>
      </c>
      <c r="P280" s="2"/>
      <c r="Q280" s="2"/>
      <c r="R280" s="152">
        <v>45616</v>
      </c>
      <c r="S280" s="152"/>
      <c r="T280" s="152"/>
      <c r="U280" s="152"/>
      <c r="V280" s="152"/>
      <c r="W280" s="2">
        <f>VLOOKUP(Table1[[#This Row],[Status]],Auxiliar!$B$16:$D$24,3,0)*Table1[[#This Row],[Estimação (horas)]]</f>
        <v>2.5000000000000001E-2</v>
      </c>
      <c r="X280" s="2"/>
    </row>
    <row r="281" spans="2:24" ht="17.7" customHeight="1" x14ac:dyDescent="0.25">
      <c r="B281" s="2" t="s">
        <v>26</v>
      </c>
      <c r="C281" s="2" t="s">
        <v>54</v>
      </c>
      <c r="D281" s="2" t="s">
        <v>124</v>
      </c>
      <c r="E281" s="2" t="s">
        <v>38</v>
      </c>
      <c r="F281" s="2" t="s">
        <v>123</v>
      </c>
      <c r="G281" s="2" t="s">
        <v>165</v>
      </c>
      <c r="H281" s="57" t="str">
        <f>Table1[[#This Row],[Tabela]]&amp;Table1[[#This Row],[Campo]]</f>
        <v>PROPERTY_ENERGY_CERTIFICATEUSEFUL_ENERGY_HEATING_REQ_VALUE</v>
      </c>
      <c r="I281" s="2" t="s">
        <v>614</v>
      </c>
      <c r="J281" s="43">
        <f>VLOOKUP(Table1[[#This Row],[Status]],Auxiliar!$B$16:$C$24,2,0)</f>
        <v>1</v>
      </c>
      <c r="K281" s="2" t="s">
        <v>1252</v>
      </c>
      <c r="L281" s="29" t="s">
        <v>1250</v>
      </c>
      <c r="M281" s="21" t="s">
        <v>1259</v>
      </c>
      <c r="N281" s="48">
        <v>45485</v>
      </c>
      <c r="O281" s="21">
        <f>INDEX(Auxiliar!$D$5:$F$13,MATCH(Table1[[#This Row],[Tipologia_Testes]],Auxiliar!$B$5:$B$13,0),MATCH(Table1[[#This Row],[Complexidade]],Auxiliar!$D$4:$F$4,0))</f>
        <v>2</v>
      </c>
      <c r="P281" s="2" t="s">
        <v>1276</v>
      </c>
      <c r="Q281" s="2"/>
      <c r="R281" s="152">
        <v>45261</v>
      </c>
      <c r="S281" s="152"/>
      <c r="T281" s="152"/>
      <c r="U281" s="152"/>
      <c r="V281" s="152"/>
      <c r="W281" s="2">
        <f>VLOOKUP(Table1[[#This Row],[Status]],Auxiliar!$B$16:$D$24,3,0)*Table1[[#This Row],[Estimação (horas)]]</f>
        <v>2</v>
      </c>
      <c r="X281" s="2"/>
    </row>
    <row r="282" spans="2:24" ht="17.7" customHeight="1" x14ac:dyDescent="0.25">
      <c r="B282" s="2" t="s">
        <v>26</v>
      </c>
      <c r="C282" s="2" t="s">
        <v>54</v>
      </c>
      <c r="D282" s="2" t="s">
        <v>124</v>
      </c>
      <c r="E282" s="2" t="s">
        <v>38</v>
      </c>
      <c r="F282" s="2" t="s">
        <v>123</v>
      </c>
      <c r="G282" s="2" t="s">
        <v>165</v>
      </c>
      <c r="H282" s="57" t="str">
        <f>Table1[[#This Row],[Tabela]]&amp;Table1[[#This Row],[Campo]]</f>
        <v>PROPERTY_ENERGY_CERTIFICATEUSEFUL_ENERGY_HEATING_REQ_VALUE</v>
      </c>
      <c r="I282" s="2" t="s">
        <v>614</v>
      </c>
      <c r="J282" s="43">
        <f>VLOOKUP(Table1[[#This Row],[Status]],Auxiliar!$B$16:$C$24,2,0)</f>
        <v>1</v>
      </c>
      <c r="K282" s="2" t="s">
        <v>1253</v>
      </c>
      <c r="L282" s="29" t="s">
        <v>1250</v>
      </c>
      <c r="M282" s="21" t="s">
        <v>1259</v>
      </c>
      <c r="N282" s="48">
        <v>45485</v>
      </c>
      <c r="O282" s="21">
        <f>INDEX(Auxiliar!$D$5:$F$13,MATCH(Table1[[#This Row],[Tipologia_Testes]],Auxiliar!$B$5:$B$13,0),MATCH(Table1[[#This Row],[Complexidade]],Auxiliar!$D$4:$F$4,0))</f>
        <v>2</v>
      </c>
      <c r="P282" s="2" t="s">
        <v>1276</v>
      </c>
      <c r="Q282" s="2"/>
      <c r="R282" s="152">
        <v>45261</v>
      </c>
      <c r="S282" s="152"/>
      <c r="T282" s="152"/>
      <c r="U282" s="152"/>
      <c r="V282" s="152"/>
      <c r="W282" s="2">
        <f>VLOOKUP(Table1[[#This Row],[Status]],Auxiliar!$B$16:$D$24,3,0)*Table1[[#This Row],[Estimação (horas)]]</f>
        <v>2</v>
      </c>
      <c r="X282" s="2"/>
    </row>
    <row r="283" spans="2:24" ht="17.7" customHeight="1" x14ac:dyDescent="0.25">
      <c r="B283" s="2" t="s">
        <v>26</v>
      </c>
      <c r="C283" s="2" t="s">
        <v>54</v>
      </c>
      <c r="D283" s="2" t="s">
        <v>124</v>
      </c>
      <c r="E283" s="2" t="s">
        <v>38</v>
      </c>
      <c r="F283" s="2" t="s">
        <v>123</v>
      </c>
      <c r="G283" s="2" t="s">
        <v>165</v>
      </c>
      <c r="H283" s="57" t="str">
        <f>Table1[[#This Row],[Tabela]]&amp;Table1[[#This Row],[Campo]]</f>
        <v>PROPERTY_ENERGY_CERTIFICATEUSEFUL_ENERGY_HEATING_REQ_VALUE</v>
      </c>
      <c r="I283" s="2" t="s">
        <v>614</v>
      </c>
      <c r="J283" s="43">
        <f>VLOOKUP(Table1[[#This Row],[Status]],Auxiliar!$B$16:$C$24,2,0)</f>
        <v>1</v>
      </c>
      <c r="K283" s="2" t="s">
        <v>1255</v>
      </c>
      <c r="L283" s="29" t="s">
        <v>1250</v>
      </c>
      <c r="M283" s="21" t="s">
        <v>1259</v>
      </c>
      <c r="N283" s="48">
        <v>45485</v>
      </c>
      <c r="O283" s="21">
        <f>INDEX(Auxiliar!$D$5:$F$13,MATCH(Table1[[#This Row],[Tipologia_Testes]],Auxiliar!$B$5:$B$13,0),MATCH(Table1[[#This Row],[Complexidade]],Auxiliar!$D$4:$F$4,0))</f>
        <v>0.1</v>
      </c>
      <c r="P283" s="2" t="s">
        <v>1276</v>
      </c>
      <c r="Q283" s="2"/>
      <c r="R283" s="152">
        <v>45261</v>
      </c>
      <c r="S283" s="152"/>
      <c r="T283" s="152"/>
      <c r="U283" s="152"/>
      <c r="V283" s="152"/>
      <c r="W283" s="2">
        <f>VLOOKUP(Table1[[#This Row],[Status]],Auxiliar!$B$16:$D$24,3,0)*Table1[[#This Row],[Estimação (horas)]]</f>
        <v>0.1</v>
      </c>
      <c r="X283" s="2"/>
    </row>
    <row r="284" spans="2:24" ht="17.7" customHeight="1" x14ac:dyDescent="0.25">
      <c r="B284" s="2" t="s">
        <v>26</v>
      </c>
      <c r="C284" s="2" t="s">
        <v>54</v>
      </c>
      <c r="D284" s="2" t="s">
        <v>124</v>
      </c>
      <c r="E284" s="2" t="s">
        <v>38</v>
      </c>
      <c r="F284" s="2" t="s">
        <v>123</v>
      </c>
      <c r="G284" s="2" t="s">
        <v>166</v>
      </c>
      <c r="H284" s="57" t="str">
        <f>Table1[[#This Row],[Tabela]]&amp;Table1[[#This Row],[Campo]]</f>
        <v>PROPERTY_ENERGY_CERTIFICATEPNL_WINTER_WALLS_DOORS_VALUE</v>
      </c>
      <c r="I284" s="2" t="s">
        <v>614</v>
      </c>
      <c r="J284" s="43">
        <f>VLOOKUP(Table1[[#This Row],[Status]],Auxiliar!$B$16:$C$24,2,0)</f>
        <v>1</v>
      </c>
      <c r="K284" s="2" t="s">
        <v>1252</v>
      </c>
      <c r="L284" s="29" t="s">
        <v>1250</v>
      </c>
      <c r="M284" s="21" t="s">
        <v>1259</v>
      </c>
      <c r="N284" s="48">
        <v>45485</v>
      </c>
      <c r="O284" s="21">
        <f>INDEX(Auxiliar!$D$5:$F$13,MATCH(Table1[[#This Row],[Tipologia_Testes]],Auxiliar!$B$5:$B$13,0),MATCH(Table1[[#This Row],[Complexidade]],Auxiliar!$D$4:$F$4,0))</f>
        <v>2</v>
      </c>
      <c r="P284" s="2" t="s">
        <v>1276</v>
      </c>
      <c r="Q284" s="2"/>
      <c r="R284" s="152">
        <v>45261</v>
      </c>
      <c r="S284" s="152"/>
      <c r="T284" s="152"/>
      <c r="U284" s="152"/>
      <c r="V284" s="152"/>
      <c r="W284" s="2">
        <f>VLOOKUP(Table1[[#This Row],[Status]],Auxiliar!$B$16:$D$24,3,0)*Table1[[#This Row],[Estimação (horas)]]</f>
        <v>2</v>
      </c>
      <c r="X284" s="2"/>
    </row>
    <row r="285" spans="2:24" ht="17.7" customHeight="1" x14ac:dyDescent="0.25">
      <c r="B285" s="2" t="s">
        <v>26</v>
      </c>
      <c r="C285" s="2" t="s">
        <v>54</v>
      </c>
      <c r="D285" s="2" t="s">
        <v>124</v>
      </c>
      <c r="E285" s="2" t="s">
        <v>38</v>
      </c>
      <c r="F285" s="2" t="s">
        <v>123</v>
      </c>
      <c r="G285" s="2" t="s">
        <v>166</v>
      </c>
      <c r="H285" s="57" t="str">
        <f>Table1[[#This Row],[Tabela]]&amp;Table1[[#This Row],[Campo]]</f>
        <v>PROPERTY_ENERGY_CERTIFICATEPNL_WINTER_WALLS_DOORS_VALUE</v>
      </c>
      <c r="I285" s="2" t="s">
        <v>614</v>
      </c>
      <c r="J285" s="43">
        <f>VLOOKUP(Table1[[#This Row],[Status]],Auxiliar!$B$16:$C$24,2,0)</f>
        <v>1</v>
      </c>
      <c r="K285" s="2" t="s">
        <v>1253</v>
      </c>
      <c r="L285" s="29" t="s">
        <v>1250</v>
      </c>
      <c r="M285" s="21" t="s">
        <v>1259</v>
      </c>
      <c r="N285" s="48">
        <v>45485</v>
      </c>
      <c r="O285" s="21">
        <f>INDEX(Auxiliar!$D$5:$F$13,MATCH(Table1[[#This Row],[Tipologia_Testes]],Auxiliar!$B$5:$B$13,0),MATCH(Table1[[#This Row],[Complexidade]],Auxiliar!$D$4:$F$4,0))</f>
        <v>2</v>
      </c>
      <c r="P285" s="2" t="s">
        <v>1276</v>
      </c>
      <c r="Q285" s="2"/>
      <c r="R285" s="152">
        <v>45261</v>
      </c>
      <c r="S285" s="152"/>
      <c r="T285" s="152"/>
      <c r="U285" s="152"/>
      <c r="V285" s="152"/>
      <c r="W285" s="2">
        <f>VLOOKUP(Table1[[#This Row],[Status]],Auxiliar!$B$16:$D$24,3,0)*Table1[[#This Row],[Estimação (horas)]]</f>
        <v>2</v>
      </c>
      <c r="X285" s="2"/>
    </row>
    <row r="286" spans="2:24" ht="17.7" customHeight="1" x14ac:dyDescent="0.25">
      <c r="B286" s="2" t="s">
        <v>26</v>
      </c>
      <c r="C286" s="2" t="s">
        <v>54</v>
      </c>
      <c r="D286" s="2" t="s">
        <v>124</v>
      </c>
      <c r="E286" s="2" t="s">
        <v>38</v>
      </c>
      <c r="F286" s="2" t="s">
        <v>123</v>
      </c>
      <c r="G286" s="2" t="s">
        <v>166</v>
      </c>
      <c r="H286" s="57" t="str">
        <f>Table1[[#This Row],[Tabela]]&amp;Table1[[#This Row],[Campo]]</f>
        <v>PROPERTY_ENERGY_CERTIFICATEPNL_WINTER_WALLS_DOORS_VALUE</v>
      </c>
      <c r="I286" s="2" t="s">
        <v>614</v>
      </c>
      <c r="J286" s="43">
        <f>VLOOKUP(Table1[[#This Row],[Status]],Auxiliar!$B$16:$C$24,2,0)</f>
        <v>1</v>
      </c>
      <c r="K286" s="2" t="s">
        <v>1255</v>
      </c>
      <c r="L286" s="29" t="s">
        <v>1250</v>
      </c>
      <c r="M286" s="21" t="s">
        <v>1259</v>
      </c>
      <c r="N286" s="48">
        <v>45485</v>
      </c>
      <c r="O286" s="21">
        <f>INDEX(Auxiliar!$D$5:$F$13,MATCH(Table1[[#This Row],[Tipologia_Testes]],Auxiliar!$B$5:$B$13,0),MATCH(Table1[[#This Row],[Complexidade]],Auxiliar!$D$4:$F$4,0))</f>
        <v>0.1</v>
      </c>
      <c r="P286" s="2" t="s">
        <v>1276</v>
      </c>
      <c r="Q286" s="2"/>
      <c r="R286" s="152">
        <v>45261</v>
      </c>
      <c r="S286" s="152"/>
      <c r="T286" s="152"/>
      <c r="U286" s="152"/>
      <c r="V286" s="152"/>
      <c r="W286" s="2">
        <f>VLOOKUP(Table1[[#This Row],[Status]],Auxiliar!$B$16:$D$24,3,0)*Table1[[#This Row],[Estimação (horas)]]</f>
        <v>0.1</v>
      </c>
      <c r="X286" s="2"/>
    </row>
    <row r="287" spans="2:24" ht="17.7" customHeight="1" x14ac:dyDescent="0.25">
      <c r="B287" s="2" t="s">
        <v>26</v>
      </c>
      <c r="C287" s="2" t="s">
        <v>54</v>
      </c>
      <c r="D287" s="2" t="s">
        <v>124</v>
      </c>
      <c r="E287" s="2" t="s">
        <v>38</v>
      </c>
      <c r="F287" s="2" t="s">
        <v>123</v>
      </c>
      <c r="G287" s="2" t="s">
        <v>167</v>
      </c>
      <c r="H287" s="57" t="str">
        <f>Table1[[#This Row],[Tabela]]&amp;Table1[[#This Row],[Campo]]</f>
        <v>PROPERTY_ENERGY_CERTIFICATEPNL_WINTER_FLOORS_VALUE</v>
      </c>
      <c r="I287" s="2" t="s">
        <v>614</v>
      </c>
      <c r="J287" s="43">
        <f>VLOOKUP(Table1[[#This Row],[Status]],Auxiliar!$B$16:$C$24,2,0)</f>
        <v>1</v>
      </c>
      <c r="K287" s="2" t="s">
        <v>1252</v>
      </c>
      <c r="L287" s="29" t="s">
        <v>1250</v>
      </c>
      <c r="M287" s="21" t="s">
        <v>1259</v>
      </c>
      <c r="N287" s="48">
        <v>45485</v>
      </c>
      <c r="O287" s="21">
        <f>INDEX(Auxiliar!$D$5:$F$13,MATCH(Table1[[#This Row],[Tipologia_Testes]],Auxiliar!$B$5:$B$13,0),MATCH(Table1[[#This Row],[Complexidade]],Auxiliar!$D$4:$F$4,0))</f>
        <v>2</v>
      </c>
      <c r="P287" s="2" t="s">
        <v>1276</v>
      </c>
      <c r="Q287" s="2"/>
      <c r="R287" s="152">
        <v>45261</v>
      </c>
      <c r="S287" s="152"/>
      <c r="T287" s="152"/>
      <c r="U287" s="152"/>
      <c r="V287" s="152"/>
      <c r="W287" s="2">
        <f>VLOOKUP(Table1[[#This Row],[Status]],Auxiliar!$B$16:$D$24,3,0)*Table1[[#This Row],[Estimação (horas)]]</f>
        <v>2</v>
      </c>
      <c r="X287" s="2"/>
    </row>
    <row r="288" spans="2:24" ht="17.7" customHeight="1" x14ac:dyDescent="0.25">
      <c r="B288" s="2" t="s">
        <v>26</v>
      </c>
      <c r="C288" s="2" t="s">
        <v>54</v>
      </c>
      <c r="D288" s="2" t="s">
        <v>124</v>
      </c>
      <c r="E288" s="2" t="s">
        <v>38</v>
      </c>
      <c r="F288" s="2" t="s">
        <v>123</v>
      </c>
      <c r="G288" s="2" t="s">
        <v>167</v>
      </c>
      <c r="H288" s="57" t="str">
        <f>Table1[[#This Row],[Tabela]]&amp;Table1[[#This Row],[Campo]]</f>
        <v>PROPERTY_ENERGY_CERTIFICATEPNL_WINTER_FLOORS_VALUE</v>
      </c>
      <c r="I288" s="2" t="s">
        <v>614</v>
      </c>
      <c r="J288" s="43">
        <f>VLOOKUP(Table1[[#This Row],[Status]],Auxiliar!$B$16:$C$24,2,0)</f>
        <v>1</v>
      </c>
      <c r="K288" s="2" t="s">
        <v>1253</v>
      </c>
      <c r="L288" s="29" t="s">
        <v>1250</v>
      </c>
      <c r="M288" s="21" t="s">
        <v>1259</v>
      </c>
      <c r="N288" s="48">
        <v>45485</v>
      </c>
      <c r="O288" s="21">
        <f>INDEX(Auxiliar!$D$5:$F$13,MATCH(Table1[[#This Row],[Tipologia_Testes]],Auxiliar!$B$5:$B$13,0),MATCH(Table1[[#This Row],[Complexidade]],Auxiliar!$D$4:$F$4,0))</f>
        <v>2</v>
      </c>
      <c r="P288" s="2" t="s">
        <v>1276</v>
      </c>
      <c r="Q288" s="2"/>
      <c r="R288" s="152">
        <v>45261</v>
      </c>
      <c r="S288" s="152"/>
      <c r="T288" s="152"/>
      <c r="U288" s="152"/>
      <c r="V288" s="152"/>
      <c r="W288" s="2">
        <f>VLOOKUP(Table1[[#This Row],[Status]],Auxiliar!$B$16:$D$24,3,0)*Table1[[#This Row],[Estimação (horas)]]</f>
        <v>2</v>
      </c>
      <c r="X288" s="2"/>
    </row>
    <row r="289" spans="2:24" ht="17.7" customHeight="1" x14ac:dyDescent="0.25">
      <c r="B289" s="2" t="s">
        <v>26</v>
      </c>
      <c r="C289" s="2" t="s">
        <v>54</v>
      </c>
      <c r="D289" s="2" t="s">
        <v>124</v>
      </c>
      <c r="E289" s="2" t="s">
        <v>38</v>
      </c>
      <c r="F289" s="2" t="s">
        <v>123</v>
      </c>
      <c r="G289" s="2" t="s">
        <v>167</v>
      </c>
      <c r="H289" s="57" t="str">
        <f>Table1[[#This Row],[Tabela]]&amp;Table1[[#This Row],[Campo]]</f>
        <v>PROPERTY_ENERGY_CERTIFICATEPNL_WINTER_FLOORS_VALUE</v>
      </c>
      <c r="I289" s="2" t="s">
        <v>614</v>
      </c>
      <c r="J289" s="43">
        <f>VLOOKUP(Table1[[#This Row],[Status]],Auxiliar!$B$16:$C$24,2,0)</f>
        <v>1</v>
      </c>
      <c r="K289" s="2" t="s">
        <v>1255</v>
      </c>
      <c r="L289" s="29" t="s">
        <v>1250</v>
      </c>
      <c r="M289" s="21" t="s">
        <v>1259</v>
      </c>
      <c r="N289" s="48">
        <v>45485</v>
      </c>
      <c r="O289" s="21">
        <f>INDEX(Auxiliar!$D$5:$F$13,MATCH(Table1[[#This Row],[Tipologia_Testes]],Auxiliar!$B$5:$B$13,0),MATCH(Table1[[#This Row],[Complexidade]],Auxiliar!$D$4:$F$4,0))</f>
        <v>0.1</v>
      </c>
      <c r="P289" s="2" t="s">
        <v>1276</v>
      </c>
      <c r="Q289" s="2"/>
      <c r="R289" s="152">
        <v>45261</v>
      </c>
      <c r="S289" s="152"/>
      <c r="T289" s="152"/>
      <c r="U289" s="152"/>
      <c r="V289" s="152"/>
      <c r="W289" s="2">
        <f>VLOOKUP(Table1[[#This Row],[Status]],Auxiliar!$B$16:$D$24,3,0)*Table1[[#This Row],[Estimação (horas)]]</f>
        <v>0.1</v>
      </c>
      <c r="X289" s="2"/>
    </row>
    <row r="290" spans="2:24" ht="17.7" customHeight="1" x14ac:dyDescent="0.25">
      <c r="B290" s="2" t="s">
        <v>26</v>
      </c>
      <c r="C290" s="2" t="s">
        <v>54</v>
      </c>
      <c r="D290" s="2" t="s">
        <v>124</v>
      </c>
      <c r="E290" s="2" t="s">
        <v>38</v>
      </c>
      <c r="F290" s="2" t="s">
        <v>123</v>
      </c>
      <c r="G290" s="2" t="s">
        <v>168</v>
      </c>
      <c r="H290" s="57" t="str">
        <f>Table1[[#This Row],[Tabela]]&amp;Table1[[#This Row],[Campo]]</f>
        <v>PROPERTY_ENERGY_CERTIFICATEPNL_WINTER_ROOF_VALUE</v>
      </c>
      <c r="I290" s="2" t="s">
        <v>614</v>
      </c>
      <c r="J290" s="43">
        <f>VLOOKUP(Table1[[#This Row],[Status]],Auxiliar!$B$16:$C$24,2,0)</f>
        <v>1</v>
      </c>
      <c r="K290" s="2" t="s">
        <v>1252</v>
      </c>
      <c r="L290" s="29" t="s">
        <v>1250</v>
      </c>
      <c r="M290" s="21" t="s">
        <v>1259</v>
      </c>
      <c r="N290" s="48">
        <v>45485</v>
      </c>
      <c r="O290" s="21">
        <f>INDEX(Auxiliar!$D$5:$F$13,MATCH(Table1[[#This Row],[Tipologia_Testes]],Auxiliar!$B$5:$B$13,0),MATCH(Table1[[#This Row],[Complexidade]],Auxiliar!$D$4:$F$4,0))</f>
        <v>2</v>
      </c>
      <c r="P290" s="2" t="s">
        <v>1276</v>
      </c>
      <c r="Q290" s="2"/>
      <c r="R290" s="152">
        <v>45261</v>
      </c>
      <c r="S290" s="152"/>
      <c r="T290" s="152"/>
      <c r="U290" s="152"/>
      <c r="V290" s="152"/>
      <c r="W290" s="2">
        <f>VLOOKUP(Table1[[#This Row],[Status]],Auxiliar!$B$16:$D$24,3,0)*Table1[[#This Row],[Estimação (horas)]]</f>
        <v>2</v>
      </c>
      <c r="X290" s="2"/>
    </row>
    <row r="291" spans="2:24" ht="17.7" customHeight="1" x14ac:dyDescent="0.25">
      <c r="B291" s="2" t="s">
        <v>26</v>
      </c>
      <c r="C291" s="2" t="s">
        <v>54</v>
      </c>
      <c r="D291" s="2" t="s">
        <v>124</v>
      </c>
      <c r="E291" s="2" t="s">
        <v>38</v>
      </c>
      <c r="F291" s="2" t="s">
        <v>123</v>
      </c>
      <c r="G291" s="2" t="s">
        <v>168</v>
      </c>
      <c r="H291" s="57" t="str">
        <f>Table1[[#This Row],[Tabela]]&amp;Table1[[#This Row],[Campo]]</f>
        <v>PROPERTY_ENERGY_CERTIFICATEPNL_WINTER_ROOF_VALUE</v>
      </c>
      <c r="I291" s="2" t="s">
        <v>614</v>
      </c>
      <c r="J291" s="43">
        <f>VLOOKUP(Table1[[#This Row],[Status]],Auxiliar!$B$16:$C$24,2,0)</f>
        <v>1</v>
      </c>
      <c r="K291" s="2" t="s">
        <v>1253</v>
      </c>
      <c r="L291" s="29" t="s">
        <v>1250</v>
      </c>
      <c r="M291" s="21" t="s">
        <v>1259</v>
      </c>
      <c r="N291" s="48">
        <v>45485</v>
      </c>
      <c r="O291" s="21">
        <f>INDEX(Auxiliar!$D$5:$F$13,MATCH(Table1[[#This Row],[Tipologia_Testes]],Auxiliar!$B$5:$B$13,0),MATCH(Table1[[#This Row],[Complexidade]],Auxiliar!$D$4:$F$4,0))</f>
        <v>2</v>
      </c>
      <c r="P291" s="2" t="s">
        <v>1276</v>
      </c>
      <c r="Q291" s="2"/>
      <c r="R291" s="152">
        <v>45261</v>
      </c>
      <c r="S291" s="152"/>
      <c r="T291" s="152"/>
      <c r="U291" s="152"/>
      <c r="V291" s="152"/>
      <c r="W291" s="2">
        <f>VLOOKUP(Table1[[#This Row],[Status]],Auxiliar!$B$16:$D$24,3,0)*Table1[[#This Row],[Estimação (horas)]]</f>
        <v>2</v>
      </c>
      <c r="X291" s="2"/>
    </row>
    <row r="292" spans="2:24" ht="17.7" customHeight="1" x14ac:dyDescent="0.25">
      <c r="B292" s="2" t="s">
        <v>26</v>
      </c>
      <c r="C292" s="2" t="s">
        <v>54</v>
      </c>
      <c r="D292" s="2" t="s">
        <v>124</v>
      </c>
      <c r="E292" s="2" t="s">
        <v>38</v>
      </c>
      <c r="F292" s="2" t="s">
        <v>123</v>
      </c>
      <c r="G292" s="2" t="s">
        <v>168</v>
      </c>
      <c r="H292" s="57" t="str">
        <f>Table1[[#This Row],[Tabela]]&amp;Table1[[#This Row],[Campo]]</f>
        <v>PROPERTY_ENERGY_CERTIFICATEPNL_WINTER_ROOF_VALUE</v>
      </c>
      <c r="I292" s="2" t="s">
        <v>614</v>
      </c>
      <c r="J292" s="43">
        <f>VLOOKUP(Table1[[#This Row],[Status]],Auxiliar!$B$16:$C$24,2,0)</f>
        <v>1</v>
      </c>
      <c r="K292" s="2" t="s">
        <v>1255</v>
      </c>
      <c r="L292" s="29" t="s">
        <v>1250</v>
      </c>
      <c r="M292" s="21" t="s">
        <v>1259</v>
      </c>
      <c r="N292" s="48">
        <v>45485</v>
      </c>
      <c r="O292" s="21">
        <f>INDEX(Auxiliar!$D$5:$F$13,MATCH(Table1[[#This Row],[Tipologia_Testes]],Auxiliar!$B$5:$B$13,0),MATCH(Table1[[#This Row],[Complexidade]],Auxiliar!$D$4:$F$4,0))</f>
        <v>0.1</v>
      </c>
      <c r="P292" s="2" t="s">
        <v>1276</v>
      </c>
      <c r="Q292" s="2"/>
      <c r="R292" s="152">
        <v>45261</v>
      </c>
      <c r="S292" s="152"/>
      <c r="T292" s="152"/>
      <c r="U292" s="152"/>
      <c r="V292" s="152"/>
      <c r="W292" s="2">
        <f>VLOOKUP(Table1[[#This Row],[Status]],Auxiliar!$B$16:$D$24,3,0)*Table1[[#This Row],[Estimação (horas)]]</f>
        <v>0.1</v>
      </c>
      <c r="X292" s="2"/>
    </row>
    <row r="293" spans="2:24" ht="17.7" customHeight="1" x14ac:dyDescent="0.25">
      <c r="B293" s="2" t="s">
        <v>26</v>
      </c>
      <c r="C293" s="2" t="s">
        <v>54</v>
      </c>
      <c r="D293" s="2" t="s">
        <v>124</v>
      </c>
      <c r="E293" s="2" t="s">
        <v>38</v>
      </c>
      <c r="F293" s="2" t="s">
        <v>123</v>
      </c>
      <c r="G293" s="2" t="s">
        <v>169</v>
      </c>
      <c r="H293" s="57" t="str">
        <f>Table1[[#This Row],[Tabela]]&amp;Table1[[#This Row],[Campo]]</f>
        <v>PROPERTY_ENERGY_CERTIFICATEPNL_WINTER_WINDOWS_VALUE</v>
      </c>
      <c r="I293" s="2" t="s">
        <v>614</v>
      </c>
      <c r="J293" s="43">
        <f>VLOOKUP(Table1[[#This Row],[Status]],Auxiliar!$B$16:$C$24,2,0)</f>
        <v>1</v>
      </c>
      <c r="K293" s="2" t="s">
        <v>1252</v>
      </c>
      <c r="L293" s="29" t="s">
        <v>1250</v>
      </c>
      <c r="M293" s="21" t="s">
        <v>1259</v>
      </c>
      <c r="N293" s="48">
        <v>45485</v>
      </c>
      <c r="O293" s="21">
        <f>INDEX(Auxiliar!$D$5:$F$13,MATCH(Table1[[#This Row],[Tipologia_Testes]],Auxiliar!$B$5:$B$13,0),MATCH(Table1[[#This Row],[Complexidade]],Auxiliar!$D$4:$F$4,0))</f>
        <v>2</v>
      </c>
      <c r="P293" s="2" t="s">
        <v>1276</v>
      </c>
      <c r="Q293" s="2"/>
      <c r="R293" s="152">
        <v>45261</v>
      </c>
      <c r="S293" s="152"/>
      <c r="T293" s="152"/>
      <c r="U293" s="152"/>
      <c r="V293" s="152"/>
      <c r="W293" s="2">
        <f>VLOOKUP(Table1[[#This Row],[Status]],Auxiliar!$B$16:$D$24,3,0)*Table1[[#This Row],[Estimação (horas)]]</f>
        <v>2</v>
      </c>
      <c r="X293" s="2"/>
    </row>
    <row r="294" spans="2:24" ht="17.7" customHeight="1" x14ac:dyDescent="0.25">
      <c r="B294" s="2" t="s">
        <v>26</v>
      </c>
      <c r="C294" s="2" t="s">
        <v>54</v>
      </c>
      <c r="D294" s="2" t="s">
        <v>124</v>
      </c>
      <c r="E294" s="2" t="s">
        <v>38</v>
      </c>
      <c r="F294" s="2" t="s">
        <v>123</v>
      </c>
      <c r="G294" s="2" t="s">
        <v>169</v>
      </c>
      <c r="H294" s="57" t="str">
        <f>Table1[[#This Row],[Tabela]]&amp;Table1[[#This Row],[Campo]]</f>
        <v>PROPERTY_ENERGY_CERTIFICATEPNL_WINTER_WINDOWS_VALUE</v>
      </c>
      <c r="I294" s="2" t="s">
        <v>614</v>
      </c>
      <c r="J294" s="43">
        <f>VLOOKUP(Table1[[#This Row],[Status]],Auxiliar!$B$16:$C$24,2,0)</f>
        <v>1</v>
      </c>
      <c r="K294" s="2" t="s">
        <v>1253</v>
      </c>
      <c r="L294" s="29" t="s">
        <v>1250</v>
      </c>
      <c r="M294" s="21" t="s">
        <v>1259</v>
      </c>
      <c r="N294" s="48">
        <v>45485</v>
      </c>
      <c r="O294" s="21">
        <f>INDEX(Auxiliar!$D$5:$F$13,MATCH(Table1[[#This Row],[Tipologia_Testes]],Auxiliar!$B$5:$B$13,0),MATCH(Table1[[#This Row],[Complexidade]],Auxiliar!$D$4:$F$4,0))</f>
        <v>2</v>
      </c>
      <c r="P294" s="2" t="s">
        <v>1276</v>
      </c>
      <c r="Q294" s="2"/>
      <c r="R294" s="152">
        <v>45261</v>
      </c>
      <c r="S294" s="152"/>
      <c r="T294" s="152"/>
      <c r="U294" s="152"/>
      <c r="V294" s="152"/>
      <c r="W294" s="2">
        <f>VLOOKUP(Table1[[#This Row],[Status]],Auxiliar!$B$16:$D$24,3,0)*Table1[[#This Row],[Estimação (horas)]]</f>
        <v>2</v>
      </c>
      <c r="X294" s="2"/>
    </row>
    <row r="295" spans="2:24" ht="17.7" customHeight="1" x14ac:dyDescent="0.25">
      <c r="B295" s="2" t="s">
        <v>26</v>
      </c>
      <c r="C295" s="2" t="s">
        <v>54</v>
      </c>
      <c r="D295" s="2" t="s">
        <v>124</v>
      </c>
      <c r="E295" s="2" t="s">
        <v>38</v>
      </c>
      <c r="F295" s="2" t="s">
        <v>123</v>
      </c>
      <c r="G295" s="2" t="s">
        <v>169</v>
      </c>
      <c r="H295" s="57" t="str">
        <f>Table1[[#This Row],[Tabela]]&amp;Table1[[#This Row],[Campo]]</f>
        <v>PROPERTY_ENERGY_CERTIFICATEPNL_WINTER_WINDOWS_VALUE</v>
      </c>
      <c r="I295" s="2" t="s">
        <v>614</v>
      </c>
      <c r="J295" s="43">
        <f>VLOOKUP(Table1[[#This Row],[Status]],Auxiliar!$B$16:$C$24,2,0)</f>
        <v>1</v>
      </c>
      <c r="K295" s="2" t="s">
        <v>1255</v>
      </c>
      <c r="L295" s="29" t="s">
        <v>1250</v>
      </c>
      <c r="M295" s="21" t="s">
        <v>1259</v>
      </c>
      <c r="N295" s="48">
        <v>45485</v>
      </c>
      <c r="O295" s="21">
        <f>INDEX(Auxiliar!$D$5:$F$13,MATCH(Table1[[#This Row],[Tipologia_Testes]],Auxiliar!$B$5:$B$13,0),MATCH(Table1[[#This Row],[Complexidade]],Auxiliar!$D$4:$F$4,0))</f>
        <v>0.1</v>
      </c>
      <c r="P295" s="2" t="s">
        <v>1276</v>
      </c>
      <c r="Q295" s="2"/>
      <c r="R295" s="152">
        <v>45261</v>
      </c>
      <c r="S295" s="152"/>
      <c r="T295" s="152"/>
      <c r="U295" s="152"/>
      <c r="V295" s="152"/>
      <c r="W295" s="2">
        <f>VLOOKUP(Table1[[#This Row],[Status]],Auxiliar!$B$16:$D$24,3,0)*Table1[[#This Row],[Estimação (horas)]]</f>
        <v>0.1</v>
      </c>
      <c r="X295" s="2"/>
    </row>
    <row r="296" spans="2:24" ht="17.7" customHeight="1" x14ac:dyDescent="0.25">
      <c r="B296" s="2" t="s">
        <v>26</v>
      </c>
      <c r="C296" s="2" t="s">
        <v>54</v>
      </c>
      <c r="D296" s="2" t="s">
        <v>124</v>
      </c>
      <c r="E296" s="2" t="s">
        <v>38</v>
      </c>
      <c r="F296" s="2" t="s">
        <v>123</v>
      </c>
      <c r="G296" s="2" t="s">
        <v>170</v>
      </c>
      <c r="H296" s="57" t="str">
        <f>Table1[[#This Row],[Tabela]]&amp;Table1[[#This Row],[Campo]]</f>
        <v>PROPERTY_ENERGY_CERTIFICATEPNL_WINTER_REF_VALUE</v>
      </c>
      <c r="I296" s="2" t="s">
        <v>614</v>
      </c>
      <c r="J296" s="43">
        <f>VLOOKUP(Table1[[#This Row],[Status]],Auxiliar!$B$16:$C$24,2,0)</f>
        <v>1</v>
      </c>
      <c r="K296" s="2" t="s">
        <v>1252</v>
      </c>
      <c r="L296" s="29" t="s">
        <v>1250</v>
      </c>
      <c r="M296" s="21" t="s">
        <v>1259</v>
      </c>
      <c r="N296" s="48">
        <v>45485</v>
      </c>
      <c r="O296" s="21">
        <f>INDEX(Auxiliar!$D$5:$F$13,MATCH(Table1[[#This Row],[Tipologia_Testes]],Auxiliar!$B$5:$B$13,0),MATCH(Table1[[#This Row],[Complexidade]],Auxiliar!$D$4:$F$4,0))</f>
        <v>2</v>
      </c>
      <c r="P296" s="2" t="s">
        <v>1276</v>
      </c>
      <c r="Q296" s="2"/>
      <c r="R296" s="152">
        <v>45261</v>
      </c>
      <c r="S296" s="152"/>
      <c r="T296" s="152"/>
      <c r="U296" s="152"/>
      <c r="V296" s="152"/>
      <c r="W296" s="2">
        <f>VLOOKUP(Table1[[#This Row],[Status]],Auxiliar!$B$16:$D$24,3,0)*Table1[[#This Row],[Estimação (horas)]]</f>
        <v>2</v>
      </c>
      <c r="X296" s="2"/>
    </row>
    <row r="297" spans="2:24" ht="17.7" customHeight="1" x14ac:dyDescent="0.25">
      <c r="B297" s="2" t="s">
        <v>26</v>
      </c>
      <c r="C297" s="2" t="s">
        <v>54</v>
      </c>
      <c r="D297" s="2" t="s">
        <v>124</v>
      </c>
      <c r="E297" s="2" t="s">
        <v>38</v>
      </c>
      <c r="F297" s="2" t="s">
        <v>123</v>
      </c>
      <c r="G297" s="2" t="s">
        <v>170</v>
      </c>
      <c r="H297" s="57" t="str">
        <f>Table1[[#This Row],[Tabela]]&amp;Table1[[#This Row],[Campo]]</f>
        <v>PROPERTY_ENERGY_CERTIFICATEPNL_WINTER_REF_VALUE</v>
      </c>
      <c r="I297" s="2" t="s">
        <v>614</v>
      </c>
      <c r="J297" s="43">
        <f>VLOOKUP(Table1[[#This Row],[Status]],Auxiliar!$B$16:$C$24,2,0)</f>
        <v>1</v>
      </c>
      <c r="K297" s="2" t="s">
        <v>1253</v>
      </c>
      <c r="L297" s="29" t="s">
        <v>1250</v>
      </c>
      <c r="M297" s="21" t="s">
        <v>1259</v>
      </c>
      <c r="N297" s="48">
        <v>45485</v>
      </c>
      <c r="O297" s="21">
        <f>INDEX(Auxiliar!$D$5:$F$13,MATCH(Table1[[#This Row],[Tipologia_Testes]],Auxiliar!$B$5:$B$13,0),MATCH(Table1[[#This Row],[Complexidade]],Auxiliar!$D$4:$F$4,0))</f>
        <v>2</v>
      </c>
      <c r="P297" s="2" t="s">
        <v>1276</v>
      </c>
      <c r="Q297" s="2"/>
      <c r="R297" s="152">
        <v>45261</v>
      </c>
      <c r="S297" s="152"/>
      <c r="T297" s="152"/>
      <c r="U297" s="152"/>
      <c r="V297" s="152"/>
      <c r="W297" s="2">
        <f>VLOOKUP(Table1[[#This Row],[Status]],Auxiliar!$B$16:$D$24,3,0)*Table1[[#This Row],[Estimação (horas)]]</f>
        <v>2</v>
      </c>
      <c r="X297" s="2"/>
    </row>
    <row r="298" spans="2:24" ht="17.7" customHeight="1" x14ac:dyDescent="0.25">
      <c r="B298" s="2" t="s">
        <v>26</v>
      </c>
      <c r="C298" s="2" t="s">
        <v>54</v>
      </c>
      <c r="D298" s="2" t="s">
        <v>124</v>
      </c>
      <c r="E298" s="2" t="s">
        <v>38</v>
      </c>
      <c r="F298" s="2" t="s">
        <v>123</v>
      </c>
      <c r="G298" s="2" t="s">
        <v>170</v>
      </c>
      <c r="H298" s="57" t="str">
        <f>Table1[[#This Row],[Tabela]]&amp;Table1[[#This Row],[Campo]]</f>
        <v>PROPERTY_ENERGY_CERTIFICATEPNL_WINTER_REF_VALUE</v>
      </c>
      <c r="I298" s="2" t="s">
        <v>614</v>
      </c>
      <c r="J298" s="43">
        <f>VLOOKUP(Table1[[#This Row],[Status]],Auxiliar!$B$16:$C$24,2,0)</f>
        <v>1</v>
      </c>
      <c r="K298" s="2" t="s">
        <v>1255</v>
      </c>
      <c r="L298" s="29" t="s">
        <v>1250</v>
      </c>
      <c r="M298" s="21" t="s">
        <v>1259</v>
      </c>
      <c r="N298" s="48">
        <v>45485</v>
      </c>
      <c r="O298" s="21">
        <f>INDEX(Auxiliar!$D$5:$F$13,MATCH(Table1[[#This Row],[Tipologia_Testes]],Auxiliar!$B$5:$B$13,0),MATCH(Table1[[#This Row],[Complexidade]],Auxiliar!$D$4:$F$4,0))</f>
        <v>0.1</v>
      </c>
      <c r="P298" s="2" t="s">
        <v>1276</v>
      </c>
      <c r="Q298" s="2"/>
      <c r="R298" s="152">
        <v>45261</v>
      </c>
      <c r="S298" s="152"/>
      <c r="T298" s="152"/>
      <c r="U298" s="152"/>
      <c r="V298" s="152"/>
      <c r="W298" s="2">
        <f>VLOOKUP(Table1[[#This Row],[Status]],Auxiliar!$B$16:$D$24,3,0)*Table1[[#This Row],[Estimação (horas)]]</f>
        <v>0.1</v>
      </c>
      <c r="X298" s="2"/>
    </row>
    <row r="299" spans="2:24" ht="17.7" customHeight="1" x14ac:dyDescent="0.25">
      <c r="B299" s="2" t="s">
        <v>26</v>
      </c>
      <c r="C299" s="2" t="s">
        <v>54</v>
      </c>
      <c r="D299" s="2" t="s">
        <v>124</v>
      </c>
      <c r="E299" s="2" t="s">
        <v>38</v>
      </c>
      <c r="F299" s="2" t="s">
        <v>123</v>
      </c>
      <c r="G299" s="2" t="s">
        <v>171</v>
      </c>
      <c r="H299" s="57" t="str">
        <f>Table1[[#This Row],[Tabela]]&amp;Table1[[#This Row],[Campo]]</f>
        <v>PROPERTY_ENERGY_CERTIFICATEPNL_WINTER_FANS_VALUE</v>
      </c>
      <c r="I299" s="2" t="s">
        <v>614</v>
      </c>
      <c r="J299" s="43">
        <f>VLOOKUP(Table1[[#This Row],[Status]],Auxiliar!$B$16:$C$24,2,0)</f>
        <v>1</v>
      </c>
      <c r="K299" s="2" t="s">
        <v>1252</v>
      </c>
      <c r="L299" s="29" t="s">
        <v>1250</v>
      </c>
      <c r="M299" s="21" t="s">
        <v>1259</v>
      </c>
      <c r="N299" s="48">
        <v>45485</v>
      </c>
      <c r="O299" s="21">
        <f>INDEX(Auxiliar!$D$5:$F$13,MATCH(Table1[[#This Row],[Tipologia_Testes]],Auxiliar!$B$5:$B$13,0),MATCH(Table1[[#This Row],[Complexidade]],Auxiliar!$D$4:$F$4,0))</f>
        <v>2</v>
      </c>
      <c r="P299" s="2" t="s">
        <v>1276</v>
      </c>
      <c r="Q299" s="2"/>
      <c r="R299" s="152">
        <v>45261</v>
      </c>
      <c r="S299" s="152"/>
      <c r="T299" s="152"/>
      <c r="U299" s="152"/>
      <c r="V299" s="152"/>
      <c r="W299" s="2">
        <f>VLOOKUP(Table1[[#This Row],[Status]],Auxiliar!$B$16:$D$24,3,0)*Table1[[#This Row],[Estimação (horas)]]</f>
        <v>2</v>
      </c>
      <c r="X299" s="2"/>
    </row>
    <row r="300" spans="2:24" ht="17.7" customHeight="1" x14ac:dyDescent="0.25">
      <c r="B300" s="2" t="s">
        <v>26</v>
      </c>
      <c r="C300" s="2" t="s">
        <v>54</v>
      </c>
      <c r="D300" s="2" t="s">
        <v>124</v>
      </c>
      <c r="E300" s="2" t="s">
        <v>38</v>
      </c>
      <c r="F300" s="2" t="s">
        <v>123</v>
      </c>
      <c r="G300" s="2" t="s">
        <v>171</v>
      </c>
      <c r="H300" s="57" t="str">
        <f>Table1[[#This Row],[Tabela]]&amp;Table1[[#This Row],[Campo]]</f>
        <v>PROPERTY_ENERGY_CERTIFICATEPNL_WINTER_FANS_VALUE</v>
      </c>
      <c r="I300" s="2" t="s">
        <v>614</v>
      </c>
      <c r="J300" s="43">
        <f>VLOOKUP(Table1[[#This Row],[Status]],Auxiliar!$B$16:$C$24,2,0)</f>
        <v>1</v>
      </c>
      <c r="K300" s="2" t="s">
        <v>1253</v>
      </c>
      <c r="L300" s="29" t="s">
        <v>1250</v>
      </c>
      <c r="M300" s="21" t="s">
        <v>1259</v>
      </c>
      <c r="N300" s="48">
        <v>45485</v>
      </c>
      <c r="O300" s="21">
        <f>INDEX(Auxiliar!$D$5:$F$13,MATCH(Table1[[#This Row],[Tipologia_Testes]],Auxiliar!$B$5:$B$13,0),MATCH(Table1[[#This Row],[Complexidade]],Auxiliar!$D$4:$F$4,0))</f>
        <v>2</v>
      </c>
      <c r="P300" s="2" t="s">
        <v>1276</v>
      </c>
      <c r="Q300" s="2"/>
      <c r="R300" s="152">
        <v>45261</v>
      </c>
      <c r="S300" s="152"/>
      <c r="T300" s="152"/>
      <c r="U300" s="152"/>
      <c r="V300" s="152"/>
      <c r="W300" s="2">
        <f>VLOOKUP(Table1[[#This Row],[Status]],Auxiliar!$B$16:$D$24,3,0)*Table1[[#This Row],[Estimação (horas)]]</f>
        <v>2</v>
      </c>
      <c r="X300" s="2"/>
    </row>
    <row r="301" spans="2:24" ht="17.7" customHeight="1" x14ac:dyDescent="0.25">
      <c r="B301" s="2" t="s">
        <v>26</v>
      </c>
      <c r="C301" s="2" t="s">
        <v>54</v>
      </c>
      <c r="D301" s="2" t="s">
        <v>124</v>
      </c>
      <c r="E301" s="2" t="s">
        <v>38</v>
      </c>
      <c r="F301" s="2" t="s">
        <v>123</v>
      </c>
      <c r="G301" s="2" t="s">
        <v>171</v>
      </c>
      <c r="H301" s="57" t="str">
        <f>Table1[[#This Row],[Tabela]]&amp;Table1[[#This Row],[Campo]]</f>
        <v>PROPERTY_ENERGY_CERTIFICATEPNL_WINTER_FANS_VALUE</v>
      </c>
      <c r="I301" s="2" t="s">
        <v>614</v>
      </c>
      <c r="J301" s="43">
        <f>VLOOKUP(Table1[[#This Row],[Status]],Auxiliar!$B$16:$C$24,2,0)</f>
        <v>1</v>
      </c>
      <c r="K301" s="2" t="s">
        <v>1255</v>
      </c>
      <c r="L301" s="29" t="s">
        <v>1250</v>
      </c>
      <c r="M301" s="21" t="s">
        <v>1259</v>
      </c>
      <c r="N301" s="48">
        <v>45485</v>
      </c>
      <c r="O301" s="21">
        <f>INDEX(Auxiliar!$D$5:$F$13,MATCH(Table1[[#This Row],[Tipologia_Testes]],Auxiliar!$B$5:$B$13,0),MATCH(Table1[[#This Row],[Complexidade]],Auxiliar!$D$4:$F$4,0))</f>
        <v>0.1</v>
      </c>
      <c r="P301" s="2" t="s">
        <v>1276</v>
      </c>
      <c r="Q301" s="2"/>
      <c r="R301" s="152">
        <v>45261</v>
      </c>
      <c r="S301" s="152"/>
      <c r="T301" s="152"/>
      <c r="U301" s="152"/>
      <c r="V301" s="152"/>
      <c r="W301" s="2">
        <f>VLOOKUP(Table1[[#This Row],[Status]],Auxiliar!$B$16:$D$24,3,0)*Table1[[#This Row],[Estimação (horas)]]</f>
        <v>0.1</v>
      </c>
      <c r="X301" s="2"/>
    </row>
    <row r="302" spans="2:24" ht="17.7" customHeight="1" x14ac:dyDescent="0.25">
      <c r="B302" s="2" t="s">
        <v>26</v>
      </c>
      <c r="C302" s="2" t="s">
        <v>54</v>
      </c>
      <c r="D302" s="2" t="s">
        <v>124</v>
      </c>
      <c r="E302" s="2" t="s">
        <v>38</v>
      </c>
      <c r="F302" s="2" t="s">
        <v>123</v>
      </c>
      <c r="G302" s="2" t="s">
        <v>172</v>
      </c>
      <c r="H302" s="57" t="str">
        <f>Table1[[#This Row],[Tabela]]&amp;Table1[[#This Row],[Campo]]</f>
        <v>PROPERTY_ENERGY_CERTIFICATEPNL_SUMMER_ROOF_VALUE</v>
      </c>
      <c r="I302" s="2" t="s">
        <v>614</v>
      </c>
      <c r="J302" s="43">
        <f>VLOOKUP(Table1[[#This Row],[Status]],Auxiliar!$B$16:$C$24,2,0)</f>
        <v>1</v>
      </c>
      <c r="K302" s="2" t="s">
        <v>1252</v>
      </c>
      <c r="L302" s="29" t="s">
        <v>1250</v>
      </c>
      <c r="M302" s="21" t="s">
        <v>1259</v>
      </c>
      <c r="N302" s="48">
        <v>45485</v>
      </c>
      <c r="O302" s="21">
        <f>INDEX(Auxiliar!$D$5:$F$13,MATCH(Table1[[#This Row],[Tipologia_Testes]],Auxiliar!$B$5:$B$13,0),MATCH(Table1[[#This Row],[Complexidade]],Auxiliar!$D$4:$F$4,0))</f>
        <v>2</v>
      </c>
      <c r="P302" s="2" t="s">
        <v>1276</v>
      </c>
      <c r="Q302" s="2"/>
      <c r="R302" s="152">
        <v>45261</v>
      </c>
      <c r="S302" s="152"/>
      <c r="T302" s="152"/>
      <c r="U302" s="152"/>
      <c r="V302" s="152"/>
      <c r="W302" s="2">
        <f>VLOOKUP(Table1[[#This Row],[Status]],Auxiliar!$B$16:$D$24,3,0)*Table1[[#This Row],[Estimação (horas)]]</f>
        <v>2</v>
      </c>
      <c r="X302" s="2"/>
    </row>
    <row r="303" spans="2:24" ht="17.7" customHeight="1" x14ac:dyDescent="0.25">
      <c r="B303" s="2" t="s">
        <v>26</v>
      </c>
      <c r="C303" s="2" t="s">
        <v>54</v>
      </c>
      <c r="D303" s="2" t="s">
        <v>124</v>
      </c>
      <c r="E303" s="2" t="s">
        <v>38</v>
      </c>
      <c r="F303" s="2" t="s">
        <v>123</v>
      </c>
      <c r="G303" s="2" t="s">
        <v>172</v>
      </c>
      <c r="H303" s="57" t="str">
        <f>Table1[[#This Row],[Tabela]]&amp;Table1[[#This Row],[Campo]]</f>
        <v>PROPERTY_ENERGY_CERTIFICATEPNL_SUMMER_ROOF_VALUE</v>
      </c>
      <c r="I303" s="2" t="s">
        <v>614</v>
      </c>
      <c r="J303" s="43">
        <f>VLOOKUP(Table1[[#This Row],[Status]],Auxiliar!$B$16:$C$24,2,0)</f>
        <v>1</v>
      </c>
      <c r="K303" s="2" t="s">
        <v>1253</v>
      </c>
      <c r="L303" s="29" t="s">
        <v>1250</v>
      </c>
      <c r="M303" s="21" t="s">
        <v>1259</v>
      </c>
      <c r="N303" s="48">
        <v>45485</v>
      </c>
      <c r="O303" s="21">
        <f>INDEX(Auxiliar!$D$5:$F$13,MATCH(Table1[[#This Row],[Tipologia_Testes]],Auxiliar!$B$5:$B$13,0),MATCH(Table1[[#This Row],[Complexidade]],Auxiliar!$D$4:$F$4,0))</f>
        <v>2</v>
      </c>
      <c r="P303" s="2" t="s">
        <v>1276</v>
      </c>
      <c r="Q303" s="2"/>
      <c r="R303" s="152">
        <v>45261</v>
      </c>
      <c r="S303" s="152"/>
      <c r="T303" s="152"/>
      <c r="U303" s="152"/>
      <c r="V303" s="152"/>
      <c r="W303" s="2">
        <f>VLOOKUP(Table1[[#This Row],[Status]],Auxiliar!$B$16:$D$24,3,0)*Table1[[#This Row],[Estimação (horas)]]</f>
        <v>2</v>
      </c>
      <c r="X303" s="2"/>
    </row>
    <row r="304" spans="2:24" ht="17.7" customHeight="1" x14ac:dyDescent="0.25">
      <c r="B304" s="2" t="s">
        <v>26</v>
      </c>
      <c r="C304" s="2" t="s">
        <v>54</v>
      </c>
      <c r="D304" s="2" t="s">
        <v>124</v>
      </c>
      <c r="E304" s="2" t="s">
        <v>38</v>
      </c>
      <c r="F304" s="2" t="s">
        <v>123</v>
      </c>
      <c r="G304" s="2" t="s">
        <v>172</v>
      </c>
      <c r="H304" s="57" t="str">
        <f>Table1[[#This Row],[Tabela]]&amp;Table1[[#This Row],[Campo]]</f>
        <v>PROPERTY_ENERGY_CERTIFICATEPNL_SUMMER_ROOF_VALUE</v>
      </c>
      <c r="I304" s="2" t="s">
        <v>614</v>
      </c>
      <c r="J304" s="43">
        <f>VLOOKUP(Table1[[#This Row],[Status]],Auxiliar!$B$16:$C$24,2,0)</f>
        <v>1</v>
      </c>
      <c r="K304" s="2" t="s">
        <v>1255</v>
      </c>
      <c r="L304" s="29" t="s">
        <v>1250</v>
      </c>
      <c r="M304" s="21" t="s">
        <v>1259</v>
      </c>
      <c r="N304" s="48">
        <v>45485</v>
      </c>
      <c r="O304" s="21">
        <f>INDEX(Auxiliar!$D$5:$F$13,MATCH(Table1[[#This Row],[Tipologia_Testes]],Auxiliar!$B$5:$B$13,0),MATCH(Table1[[#This Row],[Complexidade]],Auxiliar!$D$4:$F$4,0))</f>
        <v>0.1</v>
      </c>
      <c r="P304" s="2" t="s">
        <v>1276</v>
      </c>
      <c r="Q304" s="2"/>
      <c r="R304" s="152">
        <v>45261</v>
      </c>
      <c r="S304" s="152"/>
      <c r="T304" s="152"/>
      <c r="U304" s="152"/>
      <c r="V304" s="152"/>
      <c r="W304" s="2">
        <f>VLOOKUP(Table1[[#This Row],[Status]],Auxiliar!$B$16:$D$24,3,0)*Table1[[#This Row],[Estimação (horas)]]</f>
        <v>0.1</v>
      </c>
      <c r="X304" s="2"/>
    </row>
    <row r="305" spans="2:24" ht="17.7" customHeight="1" x14ac:dyDescent="0.25">
      <c r="B305" s="2" t="s">
        <v>26</v>
      </c>
      <c r="C305" s="2" t="s">
        <v>54</v>
      </c>
      <c r="D305" s="2" t="s">
        <v>124</v>
      </c>
      <c r="E305" s="2" t="s">
        <v>38</v>
      </c>
      <c r="F305" s="2" t="s">
        <v>123</v>
      </c>
      <c r="G305" s="2" t="s">
        <v>173</v>
      </c>
      <c r="H305" s="57" t="str">
        <f>Table1[[#This Row],[Tabela]]&amp;Table1[[#This Row],[Campo]]</f>
        <v>PROPERTY_ENERGY_CERTIFICATEPNL_SUMMER_WINDOWS_VALUE</v>
      </c>
      <c r="I305" s="2" t="s">
        <v>614</v>
      </c>
      <c r="J305" s="43">
        <f>VLOOKUP(Table1[[#This Row],[Status]],Auxiliar!$B$16:$C$24,2,0)</f>
        <v>1</v>
      </c>
      <c r="K305" s="2" t="s">
        <v>1252</v>
      </c>
      <c r="L305" s="29" t="s">
        <v>1250</v>
      </c>
      <c r="M305" s="21" t="s">
        <v>1259</v>
      </c>
      <c r="N305" s="48">
        <v>45485</v>
      </c>
      <c r="O305" s="21">
        <f>INDEX(Auxiliar!$D$5:$F$13,MATCH(Table1[[#This Row],[Tipologia_Testes]],Auxiliar!$B$5:$B$13,0),MATCH(Table1[[#This Row],[Complexidade]],Auxiliar!$D$4:$F$4,0))</f>
        <v>2</v>
      </c>
      <c r="P305" s="2" t="s">
        <v>1276</v>
      </c>
      <c r="Q305" s="2"/>
      <c r="R305" s="152">
        <v>45261</v>
      </c>
      <c r="S305" s="152"/>
      <c r="T305" s="152"/>
      <c r="U305" s="152"/>
      <c r="V305" s="152"/>
      <c r="W305" s="2">
        <f>VLOOKUP(Table1[[#This Row],[Status]],Auxiliar!$B$16:$D$24,3,0)*Table1[[#This Row],[Estimação (horas)]]</f>
        <v>2</v>
      </c>
      <c r="X305" s="2"/>
    </row>
    <row r="306" spans="2:24" ht="17.7" customHeight="1" x14ac:dyDescent="0.25">
      <c r="B306" s="2" t="s">
        <v>26</v>
      </c>
      <c r="C306" s="2" t="s">
        <v>54</v>
      </c>
      <c r="D306" s="2" t="s">
        <v>124</v>
      </c>
      <c r="E306" s="2" t="s">
        <v>38</v>
      </c>
      <c r="F306" s="2" t="s">
        <v>123</v>
      </c>
      <c r="G306" s="2" t="s">
        <v>173</v>
      </c>
      <c r="H306" s="57" t="str">
        <f>Table1[[#This Row],[Tabela]]&amp;Table1[[#This Row],[Campo]]</f>
        <v>PROPERTY_ENERGY_CERTIFICATEPNL_SUMMER_WINDOWS_VALUE</v>
      </c>
      <c r="I306" s="2" t="s">
        <v>614</v>
      </c>
      <c r="J306" s="43">
        <f>VLOOKUP(Table1[[#This Row],[Status]],Auxiliar!$B$16:$C$24,2,0)</f>
        <v>1</v>
      </c>
      <c r="K306" s="2" t="s">
        <v>1253</v>
      </c>
      <c r="L306" s="29" t="s">
        <v>1250</v>
      </c>
      <c r="M306" s="21" t="s">
        <v>1259</v>
      </c>
      <c r="N306" s="48">
        <v>45485</v>
      </c>
      <c r="O306" s="21">
        <f>INDEX(Auxiliar!$D$5:$F$13,MATCH(Table1[[#This Row],[Tipologia_Testes]],Auxiliar!$B$5:$B$13,0),MATCH(Table1[[#This Row],[Complexidade]],Auxiliar!$D$4:$F$4,0))</f>
        <v>2</v>
      </c>
      <c r="P306" s="2" t="s">
        <v>1276</v>
      </c>
      <c r="Q306" s="2"/>
      <c r="R306" s="152">
        <v>45261</v>
      </c>
      <c r="S306" s="152"/>
      <c r="T306" s="152"/>
      <c r="U306" s="152"/>
      <c r="V306" s="152"/>
      <c r="W306" s="2">
        <f>VLOOKUP(Table1[[#This Row],[Status]],Auxiliar!$B$16:$D$24,3,0)*Table1[[#This Row],[Estimação (horas)]]</f>
        <v>2</v>
      </c>
      <c r="X306" s="2"/>
    </row>
    <row r="307" spans="2:24" ht="17.7" customHeight="1" x14ac:dyDescent="0.25">
      <c r="B307" s="2" t="s">
        <v>26</v>
      </c>
      <c r="C307" s="2" t="s">
        <v>54</v>
      </c>
      <c r="D307" s="2" t="s">
        <v>124</v>
      </c>
      <c r="E307" s="2" t="s">
        <v>38</v>
      </c>
      <c r="F307" s="2" t="s">
        <v>123</v>
      </c>
      <c r="G307" s="2" t="s">
        <v>173</v>
      </c>
      <c r="H307" s="57" t="str">
        <f>Table1[[#This Row],[Tabela]]&amp;Table1[[#This Row],[Campo]]</f>
        <v>PROPERTY_ENERGY_CERTIFICATEPNL_SUMMER_WINDOWS_VALUE</v>
      </c>
      <c r="I307" s="2" t="s">
        <v>614</v>
      </c>
      <c r="J307" s="43">
        <f>VLOOKUP(Table1[[#This Row],[Status]],Auxiliar!$B$16:$C$24,2,0)</f>
        <v>1</v>
      </c>
      <c r="K307" s="2" t="s">
        <v>1255</v>
      </c>
      <c r="L307" s="29" t="s">
        <v>1250</v>
      </c>
      <c r="M307" s="21" t="s">
        <v>1259</v>
      </c>
      <c r="N307" s="48">
        <v>45485</v>
      </c>
      <c r="O307" s="21">
        <f>INDEX(Auxiliar!$D$5:$F$13,MATCH(Table1[[#This Row],[Tipologia_Testes]],Auxiliar!$B$5:$B$13,0),MATCH(Table1[[#This Row],[Complexidade]],Auxiliar!$D$4:$F$4,0))</f>
        <v>0.1</v>
      </c>
      <c r="P307" s="2" t="s">
        <v>1276</v>
      </c>
      <c r="Q307" s="2"/>
      <c r="R307" s="152">
        <v>45261</v>
      </c>
      <c r="S307" s="152"/>
      <c r="T307" s="152"/>
      <c r="U307" s="152"/>
      <c r="V307" s="152"/>
      <c r="W307" s="2">
        <f>VLOOKUP(Table1[[#This Row],[Status]],Auxiliar!$B$16:$D$24,3,0)*Table1[[#This Row],[Estimação (horas)]]</f>
        <v>0.1</v>
      </c>
      <c r="X307" s="2"/>
    </row>
    <row r="308" spans="2:24" ht="17.7" customHeight="1" x14ac:dyDescent="0.25">
      <c r="B308" s="2" t="s">
        <v>26</v>
      </c>
      <c r="C308" s="2" t="s">
        <v>54</v>
      </c>
      <c r="D308" s="2" t="s">
        <v>124</v>
      </c>
      <c r="E308" s="2" t="s">
        <v>38</v>
      </c>
      <c r="F308" s="2" t="s">
        <v>123</v>
      </c>
      <c r="G308" s="2" t="s">
        <v>174</v>
      </c>
      <c r="H308" s="57" t="str">
        <f>Table1[[#This Row],[Tabela]]&amp;Table1[[#This Row],[Campo]]</f>
        <v>PROPERTY_ENERGY_CERTIFICATEPNL_SUMMER_WALLS_DOORS_VALUE</v>
      </c>
      <c r="I308" s="2" t="s">
        <v>614</v>
      </c>
      <c r="J308" s="43">
        <f>VLOOKUP(Table1[[#This Row],[Status]],Auxiliar!$B$16:$C$24,2,0)</f>
        <v>1</v>
      </c>
      <c r="K308" s="2" t="s">
        <v>1252</v>
      </c>
      <c r="L308" s="29" t="s">
        <v>1250</v>
      </c>
      <c r="M308" s="21" t="s">
        <v>1259</v>
      </c>
      <c r="N308" s="48">
        <v>45485</v>
      </c>
      <c r="O308" s="21">
        <f>INDEX(Auxiliar!$D$5:$F$13,MATCH(Table1[[#This Row],[Tipologia_Testes]],Auxiliar!$B$5:$B$13,0),MATCH(Table1[[#This Row],[Complexidade]],Auxiliar!$D$4:$F$4,0))</f>
        <v>2</v>
      </c>
      <c r="P308" s="2" t="s">
        <v>1276</v>
      </c>
      <c r="Q308" s="2"/>
      <c r="R308" s="152">
        <v>45261</v>
      </c>
      <c r="S308" s="152"/>
      <c r="T308" s="152"/>
      <c r="U308" s="152"/>
      <c r="V308" s="152"/>
      <c r="W308" s="2">
        <f>VLOOKUP(Table1[[#This Row],[Status]],Auxiliar!$B$16:$D$24,3,0)*Table1[[#This Row],[Estimação (horas)]]</f>
        <v>2</v>
      </c>
      <c r="X308" s="2"/>
    </row>
    <row r="309" spans="2:24" ht="17.7" customHeight="1" x14ac:dyDescent="0.25">
      <c r="B309" s="2" t="s">
        <v>26</v>
      </c>
      <c r="C309" s="2" t="s">
        <v>54</v>
      </c>
      <c r="D309" s="2" t="s">
        <v>124</v>
      </c>
      <c r="E309" s="2" t="s">
        <v>38</v>
      </c>
      <c r="F309" s="2" t="s">
        <v>123</v>
      </c>
      <c r="G309" s="2" t="s">
        <v>174</v>
      </c>
      <c r="H309" s="57" t="str">
        <f>Table1[[#This Row],[Tabela]]&amp;Table1[[#This Row],[Campo]]</f>
        <v>PROPERTY_ENERGY_CERTIFICATEPNL_SUMMER_WALLS_DOORS_VALUE</v>
      </c>
      <c r="I309" s="2" t="s">
        <v>614</v>
      </c>
      <c r="J309" s="43">
        <f>VLOOKUP(Table1[[#This Row],[Status]],Auxiliar!$B$16:$C$24,2,0)</f>
        <v>1</v>
      </c>
      <c r="K309" s="2" t="s">
        <v>1253</v>
      </c>
      <c r="L309" s="29" t="s">
        <v>1250</v>
      </c>
      <c r="M309" s="21" t="s">
        <v>1259</v>
      </c>
      <c r="N309" s="48">
        <v>45485</v>
      </c>
      <c r="O309" s="21">
        <f>INDEX(Auxiliar!$D$5:$F$13,MATCH(Table1[[#This Row],[Tipologia_Testes]],Auxiliar!$B$5:$B$13,0),MATCH(Table1[[#This Row],[Complexidade]],Auxiliar!$D$4:$F$4,0))</f>
        <v>2</v>
      </c>
      <c r="P309" s="2" t="s">
        <v>1276</v>
      </c>
      <c r="Q309" s="2"/>
      <c r="R309" s="152">
        <v>45261</v>
      </c>
      <c r="S309" s="152"/>
      <c r="T309" s="152"/>
      <c r="U309" s="152"/>
      <c r="V309" s="152"/>
      <c r="W309" s="2">
        <f>VLOOKUP(Table1[[#This Row],[Status]],Auxiliar!$B$16:$D$24,3,0)*Table1[[#This Row],[Estimação (horas)]]</f>
        <v>2</v>
      </c>
      <c r="X309" s="2"/>
    </row>
    <row r="310" spans="2:24" ht="17.7" customHeight="1" x14ac:dyDescent="0.25">
      <c r="B310" s="2" t="s">
        <v>26</v>
      </c>
      <c r="C310" s="2" t="s">
        <v>54</v>
      </c>
      <c r="D310" s="2" t="s">
        <v>124</v>
      </c>
      <c r="E310" s="2" t="s">
        <v>38</v>
      </c>
      <c r="F310" s="2" t="s">
        <v>123</v>
      </c>
      <c r="G310" s="2" t="s">
        <v>174</v>
      </c>
      <c r="H310" s="57" t="str">
        <f>Table1[[#This Row],[Tabela]]&amp;Table1[[#This Row],[Campo]]</f>
        <v>PROPERTY_ENERGY_CERTIFICATEPNL_SUMMER_WALLS_DOORS_VALUE</v>
      </c>
      <c r="I310" s="2" t="s">
        <v>614</v>
      </c>
      <c r="J310" s="43">
        <f>VLOOKUP(Table1[[#This Row],[Status]],Auxiliar!$B$16:$C$24,2,0)</f>
        <v>1</v>
      </c>
      <c r="K310" s="2" t="s">
        <v>1255</v>
      </c>
      <c r="L310" s="29" t="s">
        <v>1250</v>
      </c>
      <c r="M310" s="21" t="s">
        <v>1259</v>
      </c>
      <c r="N310" s="48">
        <v>45485</v>
      </c>
      <c r="O310" s="21">
        <f>INDEX(Auxiliar!$D$5:$F$13,MATCH(Table1[[#This Row],[Tipologia_Testes]],Auxiliar!$B$5:$B$13,0),MATCH(Table1[[#This Row],[Complexidade]],Auxiliar!$D$4:$F$4,0))</f>
        <v>0.1</v>
      </c>
      <c r="P310" s="2" t="s">
        <v>1276</v>
      </c>
      <c r="Q310" s="2"/>
      <c r="R310" s="152">
        <v>45261</v>
      </c>
      <c r="S310" s="152"/>
      <c r="T310" s="152"/>
      <c r="U310" s="152"/>
      <c r="V310" s="152"/>
      <c r="W310" s="2">
        <f>VLOOKUP(Table1[[#This Row],[Status]],Auxiliar!$B$16:$D$24,3,0)*Table1[[#This Row],[Estimação (horas)]]</f>
        <v>0.1</v>
      </c>
      <c r="X310" s="2"/>
    </row>
    <row r="311" spans="2:24" ht="17.7" customHeight="1" x14ac:dyDescent="0.25">
      <c r="B311" s="2" t="s">
        <v>26</v>
      </c>
      <c r="C311" s="2" t="s">
        <v>54</v>
      </c>
      <c r="D311" s="2" t="s">
        <v>124</v>
      </c>
      <c r="E311" s="2" t="s">
        <v>38</v>
      </c>
      <c r="F311" s="2" t="s">
        <v>123</v>
      </c>
      <c r="G311" s="2" t="s">
        <v>175</v>
      </c>
      <c r="H311" s="57" t="str">
        <f>Table1[[#This Row],[Tabela]]&amp;Table1[[#This Row],[Campo]]</f>
        <v>PROPERTY_ENERGY_CERTIFICATEPNL_SUMMER_REF_VALUE</v>
      </c>
      <c r="I311" s="2" t="s">
        <v>614</v>
      </c>
      <c r="J311" s="43">
        <f>VLOOKUP(Table1[[#This Row],[Status]],Auxiliar!$B$16:$C$24,2,0)</f>
        <v>1</v>
      </c>
      <c r="K311" s="2" t="s">
        <v>1252</v>
      </c>
      <c r="L311" s="29" t="s">
        <v>1250</v>
      </c>
      <c r="M311" s="21" t="s">
        <v>1259</v>
      </c>
      <c r="N311" s="48">
        <v>45485</v>
      </c>
      <c r="O311" s="21">
        <f>INDEX(Auxiliar!$D$5:$F$13,MATCH(Table1[[#This Row],[Tipologia_Testes]],Auxiliar!$B$5:$B$13,0),MATCH(Table1[[#This Row],[Complexidade]],Auxiliar!$D$4:$F$4,0))</f>
        <v>2</v>
      </c>
      <c r="P311" s="2" t="s">
        <v>1276</v>
      </c>
      <c r="Q311" s="2"/>
      <c r="R311" s="152">
        <v>45261</v>
      </c>
      <c r="S311" s="152"/>
      <c r="T311" s="152"/>
      <c r="U311" s="152"/>
      <c r="V311" s="152"/>
      <c r="W311" s="2">
        <f>VLOOKUP(Table1[[#This Row],[Status]],Auxiliar!$B$16:$D$24,3,0)*Table1[[#This Row],[Estimação (horas)]]</f>
        <v>2</v>
      </c>
      <c r="X311" s="2"/>
    </row>
    <row r="312" spans="2:24" ht="17.7" customHeight="1" x14ac:dyDescent="0.25">
      <c r="B312" s="2" t="s">
        <v>26</v>
      </c>
      <c r="C312" s="2" t="s">
        <v>54</v>
      </c>
      <c r="D312" s="2" t="s">
        <v>124</v>
      </c>
      <c r="E312" s="2" t="s">
        <v>38</v>
      </c>
      <c r="F312" s="2" t="s">
        <v>123</v>
      </c>
      <c r="G312" s="2" t="s">
        <v>175</v>
      </c>
      <c r="H312" s="57" t="str">
        <f>Table1[[#This Row],[Tabela]]&amp;Table1[[#This Row],[Campo]]</f>
        <v>PROPERTY_ENERGY_CERTIFICATEPNL_SUMMER_REF_VALUE</v>
      </c>
      <c r="I312" s="2" t="s">
        <v>614</v>
      </c>
      <c r="J312" s="43">
        <f>VLOOKUP(Table1[[#This Row],[Status]],Auxiliar!$B$16:$C$24,2,0)</f>
        <v>1</v>
      </c>
      <c r="K312" s="2" t="s">
        <v>1253</v>
      </c>
      <c r="L312" s="29" t="s">
        <v>1250</v>
      </c>
      <c r="M312" s="21" t="s">
        <v>1259</v>
      </c>
      <c r="N312" s="48">
        <v>45485</v>
      </c>
      <c r="O312" s="21">
        <f>INDEX(Auxiliar!$D$5:$F$13,MATCH(Table1[[#This Row],[Tipologia_Testes]],Auxiliar!$B$5:$B$13,0),MATCH(Table1[[#This Row],[Complexidade]],Auxiliar!$D$4:$F$4,0))</f>
        <v>2</v>
      </c>
      <c r="P312" s="2" t="s">
        <v>1276</v>
      </c>
      <c r="Q312" s="2"/>
      <c r="R312" s="152">
        <v>45261</v>
      </c>
      <c r="S312" s="152"/>
      <c r="T312" s="152"/>
      <c r="U312" s="152"/>
      <c r="V312" s="152"/>
      <c r="W312" s="2">
        <f>VLOOKUP(Table1[[#This Row],[Status]],Auxiliar!$B$16:$D$24,3,0)*Table1[[#This Row],[Estimação (horas)]]</f>
        <v>2</v>
      </c>
      <c r="X312" s="2"/>
    </row>
    <row r="313" spans="2:24" ht="17.7" customHeight="1" x14ac:dyDescent="0.25">
      <c r="B313" s="2" t="s">
        <v>26</v>
      </c>
      <c r="C313" s="2" t="s">
        <v>54</v>
      </c>
      <c r="D313" s="2" t="s">
        <v>124</v>
      </c>
      <c r="E313" s="2" t="s">
        <v>38</v>
      </c>
      <c r="F313" s="2" t="s">
        <v>123</v>
      </c>
      <c r="G313" s="2" t="s">
        <v>175</v>
      </c>
      <c r="H313" s="57" t="str">
        <f>Table1[[#This Row],[Tabela]]&amp;Table1[[#This Row],[Campo]]</f>
        <v>PROPERTY_ENERGY_CERTIFICATEPNL_SUMMER_REF_VALUE</v>
      </c>
      <c r="I313" s="2" t="s">
        <v>614</v>
      </c>
      <c r="J313" s="43">
        <f>VLOOKUP(Table1[[#This Row],[Status]],Auxiliar!$B$16:$C$24,2,0)</f>
        <v>1</v>
      </c>
      <c r="K313" s="2" t="s">
        <v>1255</v>
      </c>
      <c r="L313" s="29" t="s">
        <v>1250</v>
      </c>
      <c r="M313" s="21" t="s">
        <v>1259</v>
      </c>
      <c r="N313" s="48">
        <v>45485</v>
      </c>
      <c r="O313" s="21">
        <f>INDEX(Auxiliar!$D$5:$F$13,MATCH(Table1[[#This Row],[Tipologia_Testes]],Auxiliar!$B$5:$B$13,0),MATCH(Table1[[#This Row],[Complexidade]],Auxiliar!$D$4:$F$4,0))</f>
        <v>0.1</v>
      </c>
      <c r="P313" s="2" t="s">
        <v>1276</v>
      </c>
      <c r="Q313" s="2"/>
      <c r="R313" s="152">
        <v>45261</v>
      </c>
      <c r="S313" s="152"/>
      <c r="T313" s="152"/>
      <c r="U313" s="152"/>
      <c r="V313" s="152"/>
      <c r="W313" s="2">
        <f>VLOOKUP(Table1[[#This Row],[Status]],Auxiliar!$B$16:$D$24,3,0)*Table1[[#This Row],[Estimação (horas)]]</f>
        <v>0.1</v>
      </c>
      <c r="X313" s="2"/>
    </row>
    <row r="314" spans="2:24" ht="17.7" customHeight="1" x14ac:dyDescent="0.25">
      <c r="B314" s="2" t="s">
        <v>26</v>
      </c>
      <c r="C314" s="2" t="s">
        <v>54</v>
      </c>
      <c r="D314" s="2" t="s">
        <v>124</v>
      </c>
      <c r="E314" s="2" t="s">
        <v>38</v>
      </c>
      <c r="F314" s="2" t="s">
        <v>123</v>
      </c>
      <c r="G314" s="2" t="s">
        <v>176</v>
      </c>
      <c r="H314" s="57" t="str">
        <f>Table1[[#This Row],[Tabela]]&amp;Table1[[#This Row],[Campo]]</f>
        <v>PROPERTY_ENERGY_CERTIFICATEINVOICE_RED_ANNUAL_ESTMTD_VALUE</v>
      </c>
      <c r="I314" s="2" t="s">
        <v>614</v>
      </c>
      <c r="J314" s="43">
        <f>VLOOKUP(Table1[[#This Row],[Status]],Auxiliar!$B$16:$C$24,2,0)</f>
        <v>1</v>
      </c>
      <c r="K314" s="2" t="s">
        <v>1252</v>
      </c>
      <c r="L314" s="29" t="s">
        <v>1250</v>
      </c>
      <c r="M314" s="21" t="s">
        <v>1259</v>
      </c>
      <c r="N314" s="48">
        <v>45485</v>
      </c>
      <c r="O314" s="21">
        <f>INDEX(Auxiliar!$D$5:$F$13,MATCH(Table1[[#This Row],[Tipologia_Testes]],Auxiliar!$B$5:$B$13,0),MATCH(Table1[[#This Row],[Complexidade]],Auxiliar!$D$4:$F$4,0))</f>
        <v>2</v>
      </c>
      <c r="P314" s="2" t="s">
        <v>1276</v>
      </c>
      <c r="Q314" s="2"/>
      <c r="R314" s="152">
        <v>45261</v>
      </c>
      <c r="S314" s="152"/>
      <c r="T314" s="152"/>
      <c r="U314" s="152"/>
      <c r="V314" s="152"/>
      <c r="W314" s="2">
        <f>VLOOKUP(Table1[[#This Row],[Status]],Auxiliar!$B$16:$D$24,3,0)*Table1[[#This Row],[Estimação (horas)]]</f>
        <v>2</v>
      </c>
      <c r="X314" s="2"/>
    </row>
    <row r="315" spans="2:24" ht="17.7" customHeight="1" x14ac:dyDescent="0.25">
      <c r="B315" s="2" t="s">
        <v>26</v>
      </c>
      <c r="C315" s="2" t="s">
        <v>54</v>
      </c>
      <c r="D315" s="2" t="s">
        <v>124</v>
      </c>
      <c r="E315" s="2" t="s">
        <v>38</v>
      </c>
      <c r="F315" s="2" t="s">
        <v>123</v>
      </c>
      <c r="G315" s="2" t="s">
        <v>176</v>
      </c>
      <c r="H315" s="57" t="str">
        <f>Table1[[#This Row],[Tabela]]&amp;Table1[[#This Row],[Campo]]</f>
        <v>PROPERTY_ENERGY_CERTIFICATEINVOICE_RED_ANNUAL_ESTMTD_VALUE</v>
      </c>
      <c r="I315" s="2" t="s">
        <v>614</v>
      </c>
      <c r="J315" s="43">
        <f>VLOOKUP(Table1[[#This Row],[Status]],Auxiliar!$B$16:$C$24,2,0)</f>
        <v>1</v>
      </c>
      <c r="K315" s="2" t="s">
        <v>1253</v>
      </c>
      <c r="L315" s="29" t="s">
        <v>1250</v>
      </c>
      <c r="M315" s="21" t="s">
        <v>1259</v>
      </c>
      <c r="N315" s="48">
        <v>45485</v>
      </c>
      <c r="O315" s="21">
        <f>INDEX(Auxiliar!$D$5:$F$13,MATCH(Table1[[#This Row],[Tipologia_Testes]],Auxiliar!$B$5:$B$13,0),MATCH(Table1[[#This Row],[Complexidade]],Auxiliar!$D$4:$F$4,0))</f>
        <v>2</v>
      </c>
      <c r="P315" s="2" t="s">
        <v>1276</v>
      </c>
      <c r="Q315" s="2"/>
      <c r="R315" s="152">
        <v>45261</v>
      </c>
      <c r="S315" s="152"/>
      <c r="T315" s="152"/>
      <c r="U315" s="152"/>
      <c r="V315" s="152"/>
      <c r="W315" s="2">
        <f>VLOOKUP(Table1[[#This Row],[Status]],Auxiliar!$B$16:$D$24,3,0)*Table1[[#This Row],[Estimação (horas)]]</f>
        <v>2</v>
      </c>
      <c r="X315" s="2"/>
    </row>
    <row r="316" spans="2:24" ht="17.7" customHeight="1" x14ac:dyDescent="0.25">
      <c r="B316" s="2" t="s">
        <v>26</v>
      </c>
      <c r="C316" s="2" t="s">
        <v>54</v>
      </c>
      <c r="D316" s="2" t="s">
        <v>124</v>
      </c>
      <c r="E316" s="2" t="s">
        <v>38</v>
      </c>
      <c r="F316" s="2" t="s">
        <v>123</v>
      </c>
      <c r="G316" s="2" t="s">
        <v>176</v>
      </c>
      <c r="H316" s="57" t="str">
        <f>Table1[[#This Row],[Tabela]]&amp;Table1[[#This Row],[Campo]]</f>
        <v>PROPERTY_ENERGY_CERTIFICATEINVOICE_RED_ANNUAL_ESTMTD_VALUE</v>
      </c>
      <c r="I316" s="2" t="s">
        <v>614</v>
      </c>
      <c r="J316" s="43">
        <f>VLOOKUP(Table1[[#This Row],[Status]],Auxiliar!$B$16:$C$24,2,0)</f>
        <v>1</v>
      </c>
      <c r="K316" s="2" t="s">
        <v>1255</v>
      </c>
      <c r="L316" s="29" t="s">
        <v>1250</v>
      </c>
      <c r="M316" s="21" t="s">
        <v>1259</v>
      </c>
      <c r="N316" s="48">
        <v>45485</v>
      </c>
      <c r="O316" s="21">
        <f>INDEX(Auxiliar!$D$5:$F$13,MATCH(Table1[[#This Row],[Tipologia_Testes]],Auxiliar!$B$5:$B$13,0),MATCH(Table1[[#This Row],[Complexidade]],Auxiliar!$D$4:$F$4,0))</f>
        <v>0.1</v>
      </c>
      <c r="P316" s="2" t="s">
        <v>1276</v>
      </c>
      <c r="Q316" s="2"/>
      <c r="R316" s="152">
        <v>45261</v>
      </c>
      <c r="S316" s="152"/>
      <c r="T316" s="152"/>
      <c r="U316" s="152"/>
      <c r="V316" s="152"/>
      <c r="W316" s="2">
        <f>VLOOKUP(Table1[[#This Row],[Status]],Auxiliar!$B$16:$D$24,3,0)*Table1[[#This Row],[Estimação (horas)]]</f>
        <v>0.1</v>
      </c>
      <c r="X316" s="2"/>
    </row>
    <row r="317" spans="2:24" ht="17.7" customHeight="1" x14ac:dyDescent="0.25">
      <c r="B317" s="2" t="s">
        <v>26</v>
      </c>
      <c r="C317" s="2" t="s">
        <v>54</v>
      </c>
      <c r="D317" s="2" t="s">
        <v>124</v>
      </c>
      <c r="E317" s="2" t="s">
        <v>38</v>
      </c>
      <c r="F317" s="2" t="s">
        <v>123</v>
      </c>
      <c r="G317" s="2" t="s">
        <v>177</v>
      </c>
      <c r="H317" s="57" t="str">
        <f>Table1[[#This Row],[Tabela]]&amp;Table1[[#This Row],[Campo]]</f>
        <v>PROPERTY_ENERGY_CERTIFICATETEMPERATURE_OUTDOOR_AVG_VALUE</v>
      </c>
      <c r="I317" s="2" t="s">
        <v>614</v>
      </c>
      <c r="J317" s="43">
        <f>VLOOKUP(Table1[[#This Row],[Status]],Auxiliar!$B$16:$C$24,2,0)</f>
        <v>1</v>
      </c>
      <c r="K317" s="2" t="s">
        <v>1252</v>
      </c>
      <c r="L317" s="29" t="s">
        <v>1250</v>
      </c>
      <c r="M317" s="21" t="s">
        <v>1259</v>
      </c>
      <c r="N317" s="48">
        <v>45485</v>
      </c>
      <c r="O317" s="21">
        <f>INDEX(Auxiliar!$D$5:$F$13,MATCH(Table1[[#This Row],[Tipologia_Testes]],Auxiliar!$B$5:$B$13,0),MATCH(Table1[[#This Row],[Complexidade]],Auxiliar!$D$4:$F$4,0))</f>
        <v>2</v>
      </c>
      <c r="P317" s="2" t="s">
        <v>1276</v>
      </c>
      <c r="Q317" s="2"/>
      <c r="R317" s="152">
        <v>45261</v>
      </c>
      <c r="S317" s="152"/>
      <c r="T317" s="152"/>
      <c r="U317" s="152"/>
      <c r="V317" s="152"/>
      <c r="W317" s="2">
        <f>VLOOKUP(Table1[[#This Row],[Status]],Auxiliar!$B$16:$D$24,3,0)*Table1[[#This Row],[Estimação (horas)]]</f>
        <v>2</v>
      </c>
      <c r="X317" s="2"/>
    </row>
    <row r="318" spans="2:24" ht="17.7" customHeight="1" x14ac:dyDescent="0.25">
      <c r="B318" s="2" t="s">
        <v>26</v>
      </c>
      <c r="C318" s="2" t="s">
        <v>54</v>
      </c>
      <c r="D318" s="2" t="s">
        <v>124</v>
      </c>
      <c r="E318" s="2" t="s">
        <v>38</v>
      </c>
      <c r="F318" s="2" t="s">
        <v>123</v>
      </c>
      <c r="G318" s="2" t="s">
        <v>177</v>
      </c>
      <c r="H318" s="57" t="str">
        <f>Table1[[#This Row],[Tabela]]&amp;Table1[[#This Row],[Campo]]</f>
        <v>PROPERTY_ENERGY_CERTIFICATETEMPERATURE_OUTDOOR_AVG_VALUE</v>
      </c>
      <c r="I318" s="2" t="s">
        <v>614</v>
      </c>
      <c r="J318" s="43">
        <f>VLOOKUP(Table1[[#This Row],[Status]],Auxiliar!$B$16:$C$24,2,0)</f>
        <v>1</v>
      </c>
      <c r="K318" s="2" t="s">
        <v>1253</v>
      </c>
      <c r="L318" s="29" t="s">
        <v>1250</v>
      </c>
      <c r="M318" s="21" t="s">
        <v>1259</v>
      </c>
      <c r="N318" s="48">
        <v>45485</v>
      </c>
      <c r="O318" s="21">
        <f>INDEX(Auxiliar!$D$5:$F$13,MATCH(Table1[[#This Row],[Tipologia_Testes]],Auxiliar!$B$5:$B$13,0),MATCH(Table1[[#This Row],[Complexidade]],Auxiliar!$D$4:$F$4,0))</f>
        <v>2</v>
      </c>
      <c r="P318" s="2" t="s">
        <v>1276</v>
      </c>
      <c r="Q318" s="2"/>
      <c r="R318" s="152">
        <v>45261</v>
      </c>
      <c r="S318" s="152"/>
      <c r="T318" s="152"/>
      <c r="U318" s="152"/>
      <c r="V318" s="152"/>
      <c r="W318" s="2">
        <f>VLOOKUP(Table1[[#This Row],[Status]],Auxiliar!$B$16:$D$24,3,0)*Table1[[#This Row],[Estimação (horas)]]</f>
        <v>2</v>
      </c>
      <c r="X318" s="2"/>
    </row>
    <row r="319" spans="2:24" ht="17.7" customHeight="1" x14ac:dyDescent="0.25">
      <c r="B319" s="2" t="s">
        <v>26</v>
      </c>
      <c r="C319" s="2" t="s">
        <v>54</v>
      </c>
      <c r="D319" s="2" t="s">
        <v>124</v>
      </c>
      <c r="E319" s="2" t="s">
        <v>38</v>
      </c>
      <c r="F319" s="2" t="s">
        <v>123</v>
      </c>
      <c r="G319" s="2" t="s">
        <v>177</v>
      </c>
      <c r="H319" s="57" t="str">
        <f>Table1[[#This Row],[Tabela]]&amp;Table1[[#This Row],[Campo]]</f>
        <v>PROPERTY_ENERGY_CERTIFICATETEMPERATURE_OUTDOOR_AVG_VALUE</v>
      </c>
      <c r="I319" s="2" t="s">
        <v>614</v>
      </c>
      <c r="J319" s="43">
        <f>VLOOKUP(Table1[[#This Row],[Status]],Auxiliar!$B$16:$C$24,2,0)</f>
        <v>1</v>
      </c>
      <c r="K319" s="2" t="s">
        <v>1255</v>
      </c>
      <c r="L319" s="29" t="s">
        <v>1250</v>
      </c>
      <c r="M319" s="21" t="s">
        <v>1259</v>
      </c>
      <c r="N319" s="48">
        <v>45485</v>
      </c>
      <c r="O319" s="21">
        <f>INDEX(Auxiliar!$D$5:$F$13,MATCH(Table1[[#This Row],[Tipologia_Testes]],Auxiliar!$B$5:$B$13,0),MATCH(Table1[[#This Row],[Complexidade]],Auxiliar!$D$4:$F$4,0))</f>
        <v>0.1</v>
      </c>
      <c r="P319" s="2" t="s">
        <v>1276</v>
      </c>
      <c r="Q319" s="2"/>
      <c r="R319" s="152">
        <v>45261</v>
      </c>
      <c r="S319" s="152"/>
      <c r="T319" s="152"/>
      <c r="U319" s="152"/>
      <c r="V319" s="152"/>
      <c r="W319" s="2">
        <f>VLOOKUP(Table1[[#This Row],[Status]],Auxiliar!$B$16:$D$24,3,0)*Table1[[#This Row],[Estimação (horas)]]</f>
        <v>0.1</v>
      </c>
      <c r="X319" s="2"/>
    </row>
    <row r="320" spans="2:24" ht="17.7" customHeight="1" x14ac:dyDescent="0.25">
      <c r="B320" s="2" t="s">
        <v>26</v>
      </c>
      <c r="C320" s="2" t="s">
        <v>54</v>
      </c>
      <c r="D320" s="2" t="s">
        <v>124</v>
      </c>
      <c r="E320" s="2" t="s">
        <v>38</v>
      </c>
      <c r="F320" s="2" t="s">
        <v>123</v>
      </c>
      <c r="G320" s="2" t="s">
        <v>178</v>
      </c>
      <c r="H320" s="57" t="str">
        <f>Table1[[#This Row],[Tabela]]&amp;Table1[[#This Row],[Campo]]</f>
        <v>PROPERTY_ENERGY_CERTIFICATECLIMATE_ZONE_WINTER</v>
      </c>
      <c r="I320" s="2" t="s">
        <v>614</v>
      </c>
      <c r="J320" s="43">
        <f>VLOOKUP(Table1[[#This Row],[Status]],Auxiliar!$B$16:$C$24,2,0)</f>
        <v>1</v>
      </c>
      <c r="K320" s="2" t="s">
        <v>1252</v>
      </c>
      <c r="L320" s="29" t="s">
        <v>1250</v>
      </c>
      <c r="M320" s="21" t="s">
        <v>1259</v>
      </c>
      <c r="N320" s="48">
        <v>45485</v>
      </c>
      <c r="O320" s="21">
        <f>INDEX(Auxiliar!$D$5:$F$13,MATCH(Table1[[#This Row],[Tipologia_Testes]],Auxiliar!$B$5:$B$13,0),MATCH(Table1[[#This Row],[Complexidade]],Auxiliar!$D$4:$F$4,0))</f>
        <v>2</v>
      </c>
      <c r="P320" s="2" t="s">
        <v>1276</v>
      </c>
      <c r="Q320" s="2"/>
      <c r="R320" s="152">
        <v>45261</v>
      </c>
      <c r="S320" s="152"/>
      <c r="T320" s="152"/>
      <c r="U320" s="152"/>
      <c r="V320" s="152"/>
      <c r="W320" s="2">
        <f>VLOOKUP(Table1[[#This Row],[Status]],Auxiliar!$B$16:$D$24,3,0)*Table1[[#This Row],[Estimação (horas)]]</f>
        <v>2</v>
      </c>
      <c r="X320" s="2"/>
    </row>
    <row r="321" spans="2:24" ht="17.7" customHeight="1" x14ac:dyDescent="0.25">
      <c r="B321" s="2" t="s">
        <v>26</v>
      </c>
      <c r="C321" s="2" t="s">
        <v>54</v>
      </c>
      <c r="D321" s="2" t="s">
        <v>124</v>
      </c>
      <c r="E321" s="2" t="s">
        <v>38</v>
      </c>
      <c r="F321" s="2" t="s">
        <v>123</v>
      </c>
      <c r="G321" s="2" t="s">
        <v>178</v>
      </c>
      <c r="H321" s="57" t="str">
        <f>Table1[[#This Row],[Tabela]]&amp;Table1[[#This Row],[Campo]]</f>
        <v>PROPERTY_ENERGY_CERTIFICATECLIMATE_ZONE_WINTER</v>
      </c>
      <c r="I321" s="2" t="s">
        <v>614</v>
      </c>
      <c r="J321" s="43">
        <f>VLOOKUP(Table1[[#This Row],[Status]],Auxiliar!$B$16:$C$24,2,0)</f>
        <v>1</v>
      </c>
      <c r="K321" s="2" t="s">
        <v>1253</v>
      </c>
      <c r="L321" s="29" t="s">
        <v>1250</v>
      </c>
      <c r="M321" s="21" t="s">
        <v>1259</v>
      </c>
      <c r="N321" s="48">
        <v>45485</v>
      </c>
      <c r="O321" s="21">
        <f>INDEX(Auxiliar!$D$5:$F$13,MATCH(Table1[[#This Row],[Tipologia_Testes]],Auxiliar!$B$5:$B$13,0),MATCH(Table1[[#This Row],[Complexidade]],Auxiliar!$D$4:$F$4,0))</f>
        <v>2</v>
      </c>
      <c r="P321" s="2" t="s">
        <v>1276</v>
      </c>
      <c r="Q321" s="2"/>
      <c r="R321" s="152">
        <v>45261</v>
      </c>
      <c r="S321" s="152"/>
      <c r="T321" s="152"/>
      <c r="U321" s="152"/>
      <c r="V321" s="152"/>
      <c r="W321" s="2">
        <f>VLOOKUP(Table1[[#This Row],[Status]],Auxiliar!$B$16:$D$24,3,0)*Table1[[#This Row],[Estimação (horas)]]</f>
        <v>2</v>
      </c>
      <c r="X321" s="2"/>
    </row>
    <row r="322" spans="2:24" ht="17.7" customHeight="1" x14ac:dyDescent="0.25">
      <c r="B322" s="2" t="s">
        <v>26</v>
      </c>
      <c r="C322" s="2" t="s">
        <v>54</v>
      </c>
      <c r="D322" s="2" t="s">
        <v>124</v>
      </c>
      <c r="E322" s="2" t="s">
        <v>38</v>
      </c>
      <c r="F322" s="2" t="s">
        <v>123</v>
      </c>
      <c r="G322" s="2" t="s">
        <v>178</v>
      </c>
      <c r="H322" s="57" t="str">
        <f>Table1[[#This Row],[Tabela]]&amp;Table1[[#This Row],[Campo]]</f>
        <v>PROPERTY_ENERGY_CERTIFICATECLIMATE_ZONE_WINTER</v>
      </c>
      <c r="I322" s="2" t="s">
        <v>614</v>
      </c>
      <c r="J322" s="43">
        <f>VLOOKUP(Table1[[#This Row],[Status]],Auxiliar!$B$16:$C$24,2,0)</f>
        <v>1</v>
      </c>
      <c r="K322" s="2" t="s">
        <v>1255</v>
      </c>
      <c r="L322" s="29" t="s">
        <v>1250</v>
      </c>
      <c r="M322" s="21" t="s">
        <v>1259</v>
      </c>
      <c r="N322" s="48">
        <v>45485</v>
      </c>
      <c r="O322" s="21">
        <f>INDEX(Auxiliar!$D$5:$F$13,MATCH(Table1[[#This Row],[Tipologia_Testes]],Auxiliar!$B$5:$B$13,0),MATCH(Table1[[#This Row],[Complexidade]],Auxiliar!$D$4:$F$4,0))</f>
        <v>0.1</v>
      </c>
      <c r="P322" s="2" t="s">
        <v>1276</v>
      </c>
      <c r="Q322" s="2"/>
      <c r="R322" s="152">
        <v>45261</v>
      </c>
      <c r="S322" s="152"/>
      <c r="T322" s="152"/>
      <c r="U322" s="152"/>
      <c r="V322" s="152"/>
      <c r="W322" s="2">
        <f>VLOOKUP(Table1[[#This Row],[Status]],Auxiliar!$B$16:$D$24,3,0)*Table1[[#This Row],[Estimação (horas)]]</f>
        <v>0.1</v>
      </c>
      <c r="X322" s="2"/>
    </row>
    <row r="323" spans="2:24" ht="17.7" customHeight="1" x14ac:dyDescent="0.25">
      <c r="B323" s="2" t="s">
        <v>26</v>
      </c>
      <c r="C323" s="2" t="s">
        <v>54</v>
      </c>
      <c r="D323" s="2" t="s">
        <v>124</v>
      </c>
      <c r="E323" s="2" t="s">
        <v>38</v>
      </c>
      <c r="F323" s="2" t="s">
        <v>123</v>
      </c>
      <c r="G323" s="2" t="s">
        <v>179</v>
      </c>
      <c r="H323" s="57" t="str">
        <f>Table1[[#This Row],[Tabela]]&amp;Table1[[#This Row],[Campo]]</f>
        <v>PROPERTY_ENERGY_CERTIFICATECLIMATE_ZONE_SUMMER</v>
      </c>
      <c r="I323" s="2" t="s">
        <v>614</v>
      </c>
      <c r="J323" s="43">
        <f>VLOOKUP(Table1[[#This Row],[Status]],Auxiliar!$B$16:$C$24,2,0)</f>
        <v>1</v>
      </c>
      <c r="K323" s="2" t="s">
        <v>1252</v>
      </c>
      <c r="L323" s="29" t="s">
        <v>1250</v>
      </c>
      <c r="M323" s="21" t="s">
        <v>1259</v>
      </c>
      <c r="N323" s="48">
        <v>45485</v>
      </c>
      <c r="O323" s="21">
        <f>INDEX(Auxiliar!$D$5:$F$13,MATCH(Table1[[#This Row],[Tipologia_Testes]],Auxiliar!$B$5:$B$13,0),MATCH(Table1[[#This Row],[Complexidade]],Auxiliar!$D$4:$F$4,0))</f>
        <v>2</v>
      </c>
      <c r="P323" s="2" t="s">
        <v>1276</v>
      </c>
      <c r="Q323" s="2"/>
      <c r="R323" s="152">
        <v>45261</v>
      </c>
      <c r="S323" s="152"/>
      <c r="T323" s="152"/>
      <c r="U323" s="152"/>
      <c r="V323" s="152"/>
      <c r="W323" s="2">
        <f>VLOOKUP(Table1[[#This Row],[Status]],Auxiliar!$B$16:$D$24,3,0)*Table1[[#This Row],[Estimação (horas)]]</f>
        <v>2</v>
      </c>
      <c r="X323" s="2"/>
    </row>
    <row r="324" spans="2:24" ht="17.7" customHeight="1" x14ac:dyDescent="0.25">
      <c r="B324" s="2" t="s">
        <v>26</v>
      </c>
      <c r="C324" s="2" t="s">
        <v>54</v>
      </c>
      <c r="D324" s="2" t="s">
        <v>124</v>
      </c>
      <c r="E324" s="2" t="s">
        <v>38</v>
      </c>
      <c r="F324" s="2" t="s">
        <v>123</v>
      </c>
      <c r="G324" s="2" t="s">
        <v>179</v>
      </c>
      <c r="H324" s="57" t="str">
        <f>Table1[[#This Row],[Tabela]]&amp;Table1[[#This Row],[Campo]]</f>
        <v>PROPERTY_ENERGY_CERTIFICATECLIMATE_ZONE_SUMMER</v>
      </c>
      <c r="I324" s="2" t="s">
        <v>614</v>
      </c>
      <c r="J324" s="43">
        <f>VLOOKUP(Table1[[#This Row],[Status]],Auxiliar!$B$16:$C$24,2,0)</f>
        <v>1</v>
      </c>
      <c r="K324" s="2" t="s">
        <v>1253</v>
      </c>
      <c r="L324" s="29" t="s">
        <v>1250</v>
      </c>
      <c r="M324" s="21" t="s">
        <v>1259</v>
      </c>
      <c r="N324" s="48">
        <v>45485</v>
      </c>
      <c r="O324" s="21">
        <f>INDEX(Auxiliar!$D$5:$F$13,MATCH(Table1[[#This Row],[Tipologia_Testes]],Auxiliar!$B$5:$B$13,0),MATCH(Table1[[#This Row],[Complexidade]],Auxiliar!$D$4:$F$4,0))</f>
        <v>2</v>
      </c>
      <c r="P324" s="2" t="s">
        <v>1276</v>
      </c>
      <c r="Q324" s="2"/>
      <c r="R324" s="152"/>
      <c r="S324" s="152"/>
      <c r="T324" s="152"/>
      <c r="U324" s="152"/>
      <c r="V324" s="152"/>
      <c r="W324" s="2">
        <f>VLOOKUP(Table1[[#This Row],[Status]],Auxiliar!$B$16:$D$24,3,0)*Table1[[#This Row],[Estimação (horas)]]</f>
        <v>2</v>
      </c>
      <c r="X324" s="2"/>
    </row>
    <row r="325" spans="2:24" ht="17.7" customHeight="1" x14ac:dyDescent="0.25">
      <c r="B325" s="2" t="s">
        <v>26</v>
      </c>
      <c r="C325" s="2" t="s">
        <v>54</v>
      </c>
      <c r="D325" s="2" t="s">
        <v>124</v>
      </c>
      <c r="E325" s="2" t="s">
        <v>38</v>
      </c>
      <c r="F325" s="2" t="s">
        <v>123</v>
      </c>
      <c r="G325" s="2" t="s">
        <v>179</v>
      </c>
      <c r="H325" s="57" t="str">
        <f>Table1[[#This Row],[Tabela]]&amp;Table1[[#This Row],[Campo]]</f>
        <v>PROPERTY_ENERGY_CERTIFICATECLIMATE_ZONE_SUMMER</v>
      </c>
      <c r="I325" s="2" t="s">
        <v>614</v>
      </c>
      <c r="J325" s="43">
        <f>VLOOKUP(Table1[[#This Row],[Status]],Auxiliar!$B$16:$C$24,2,0)</f>
        <v>1</v>
      </c>
      <c r="K325" s="2" t="s">
        <v>1255</v>
      </c>
      <c r="L325" s="29" t="s">
        <v>1250</v>
      </c>
      <c r="M325" s="21" t="s">
        <v>1259</v>
      </c>
      <c r="N325" s="48">
        <v>45485</v>
      </c>
      <c r="O325" s="21">
        <f>INDEX(Auxiliar!$D$5:$F$13,MATCH(Table1[[#This Row],[Tipologia_Testes]],Auxiliar!$B$5:$B$13,0),MATCH(Table1[[#This Row],[Complexidade]],Auxiliar!$D$4:$F$4,0))</f>
        <v>0.1</v>
      </c>
      <c r="P325" s="2" t="s">
        <v>1276</v>
      </c>
      <c r="Q325" s="2"/>
      <c r="R325" s="152"/>
      <c r="S325" s="152"/>
      <c r="T325" s="152"/>
      <c r="U325" s="152"/>
      <c r="V325" s="152"/>
      <c r="W325" s="2">
        <f>VLOOKUP(Table1[[#This Row],[Status]],Auxiliar!$B$16:$D$24,3,0)*Table1[[#This Row],[Estimação (horas)]]</f>
        <v>0.1</v>
      </c>
      <c r="X325" s="2"/>
    </row>
    <row r="326" spans="2:24" ht="17.7" customHeight="1" x14ac:dyDescent="0.25">
      <c r="B326" s="2" t="s">
        <v>26</v>
      </c>
      <c r="C326" s="2" t="s">
        <v>54</v>
      </c>
      <c r="D326" s="2" t="s">
        <v>124</v>
      </c>
      <c r="E326" s="2" t="s">
        <v>38</v>
      </c>
      <c r="F326" s="2" t="s">
        <v>123</v>
      </c>
      <c r="G326" s="2" t="s">
        <v>97</v>
      </c>
      <c r="H326" s="57" t="str">
        <f>Table1[[#This Row],[Tabela]]&amp;Table1[[#This Row],[Campo]]</f>
        <v>PROPERTY_ENERGY_CERTIFICATENET_FLOOR_AREA</v>
      </c>
      <c r="I326" s="2" t="s">
        <v>619</v>
      </c>
      <c r="J326" s="43">
        <f>VLOOKUP(Table1[[#This Row],[Status]],Auxiliar!$B$16:$C$24,2,0)</f>
        <v>7</v>
      </c>
      <c r="K326" s="2" t="s">
        <v>1252</v>
      </c>
      <c r="L326" s="29" t="s">
        <v>1250</v>
      </c>
      <c r="M326" s="21" t="s">
        <v>1259</v>
      </c>
      <c r="N326" s="48">
        <v>45618</v>
      </c>
      <c r="O326" s="21">
        <f>INDEX(Auxiliar!$D$5:$F$13,MATCH(Table1[[#This Row],[Tipologia_Testes]],Auxiliar!$B$5:$B$13,0),MATCH(Table1[[#This Row],[Complexidade]],Auxiliar!$D$4:$F$4,0))</f>
        <v>2</v>
      </c>
      <c r="P326" s="2"/>
      <c r="Q326" s="2"/>
      <c r="R326" s="152">
        <v>45616</v>
      </c>
      <c r="S326" s="152"/>
      <c r="T326" s="152"/>
      <c r="U326" s="152"/>
      <c r="V326" s="152"/>
      <c r="W326" s="2">
        <f>VLOOKUP(Table1[[#This Row],[Status]],Auxiliar!$B$16:$D$24,3,0)*Table1[[#This Row],[Estimação (horas)]]</f>
        <v>0.5</v>
      </c>
      <c r="X326" s="2"/>
    </row>
    <row r="327" spans="2:24" ht="17.7" customHeight="1" x14ac:dyDescent="0.25">
      <c r="B327" s="2" t="s">
        <v>26</v>
      </c>
      <c r="C327" s="2" t="s">
        <v>54</v>
      </c>
      <c r="D327" s="2" t="s">
        <v>124</v>
      </c>
      <c r="E327" s="2" t="s">
        <v>38</v>
      </c>
      <c r="F327" s="2" t="s">
        <v>123</v>
      </c>
      <c r="G327" s="2" t="s">
        <v>97</v>
      </c>
      <c r="H327" s="57" t="str">
        <f>Table1[[#This Row],[Tabela]]&amp;Table1[[#This Row],[Campo]]</f>
        <v>PROPERTY_ENERGY_CERTIFICATENET_FLOOR_AREA</v>
      </c>
      <c r="I327" s="2" t="s">
        <v>619</v>
      </c>
      <c r="J327" s="43">
        <f>VLOOKUP(Table1[[#This Row],[Status]],Auxiliar!$B$16:$C$24,2,0)</f>
        <v>7</v>
      </c>
      <c r="K327" s="2" t="s">
        <v>1253</v>
      </c>
      <c r="L327" s="29" t="s">
        <v>1250</v>
      </c>
      <c r="M327" s="21" t="s">
        <v>1259</v>
      </c>
      <c r="N327" s="48">
        <v>45618</v>
      </c>
      <c r="O327" s="21">
        <f>INDEX(Auxiliar!$D$5:$F$13,MATCH(Table1[[#This Row],[Tipologia_Testes]],Auxiliar!$B$5:$B$13,0),MATCH(Table1[[#This Row],[Complexidade]],Auxiliar!$D$4:$F$4,0))</f>
        <v>2</v>
      </c>
      <c r="P327" s="2"/>
      <c r="Q327" s="2"/>
      <c r="R327" s="152">
        <v>45616</v>
      </c>
      <c r="S327" s="152"/>
      <c r="T327" s="152"/>
      <c r="U327" s="152"/>
      <c r="V327" s="152"/>
      <c r="W327" s="2">
        <f>VLOOKUP(Table1[[#This Row],[Status]],Auxiliar!$B$16:$D$24,3,0)*Table1[[#This Row],[Estimação (horas)]]</f>
        <v>0.5</v>
      </c>
      <c r="X327" s="2"/>
    </row>
    <row r="328" spans="2:24" ht="17.7" customHeight="1" x14ac:dyDescent="0.25">
      <c r="B328" s="2" t="s">
        <v>26</v>
      </c>
      <c r="C328" s="2" t="s">
        <v>54</v>
      </c>
      <c r="D328" s="2" t="s">
        <v>124</v>
      </c>
      <c r="E328" s="2" t="s">
        <v>38</v>
      </c>
      <c r="F328" s="2" t="s">
        <v>123</v>
      </c>
      <c r="G328" s="2" t="s">
        <v>97</v>
      </c>
      <c r="H328" s="57" t="str">
        <f>Table1[[#This Row],[Tabela]]&amp;Table1[[#This Row],[Campo]]</f>
        <v>PROPERTY_ENERGY_CERTIFICATENET_FLOOR_AREA</v>
      </c>
      <c r="I328" s="2" t="s">
        <v>619</v>
      </c>
      <c r="J328" s="43">
        <f>VLOOKUP(Table1[[#This Row],[Status]],Auxiliar!$B$16:$C$24,2,0)</f>
        <v>7</v>
      </c>
      <c r="K328" s="2" t="s">
        <v>1255</v>
      </c>
      <c r="L328" s="29" t="s">
        <v>1250</v>
      </c>
      <c r="M328" s="21" t="s">
        <v>1259</v>
      </c>
      <c r="N328" s="48">
        <v>45618</v>
      </c>
      <c r="O328" s="21">
        <f>INDEX(Auxiliar!$D$5:$F$13,MATCH(Table1[[#This Row],[Tipologia_Testes]],Auxiliar!$B$5:$B$13,0),MATCH(Table1[[#This Row],[Complexidade]],Auxiliar!$D$4:$F$4,0))</f>
        <v>0.1</v>
      </c>
      <c r="P328" s="2"/>
      <c r="Q328" s="2"/>
      <c r="R328" s="152">
        <v>45616</v>
      </c>
      <c r="S328" s="152"/>
      <c r="T328" s="152"/>
      <c r="U328" s="152"/>
      <c r="V328" s="152"/>
      <c r="W328" s="2">
        <f>VLOOKUP(Table1[[#This Row],[Status]],Auxiliar!$B$16:$D$24,3,0)*Table1[[#This Row],[Estimação (horas)]]</f>
        <v>2.5000000000000001E-2</v>
      </c>
      <c r="X328" s="2"/>
    </row>
    <row r="329" spans="2:24" ht="17.7" customHeight="1" x14ac:dyDescent="0.25">
      <c r="B329" s="2" t="s">
        <v>26</v>
      </c>
      <c r="C329" s="2" t="s">
        <v>54</v>
      </c>
      <c r="D329" s="2" t="s">
        <v>124</v>
      </c>
      <c r="E329" s="2" t="s">
        <v>38</v>
      </c>
      <c r="F329" s="2" t="s">
        <v>123</v>
      </c>
      <c r="G329" s="2" t="s">
        <v>98</v>
      </c>
      <c r="H329" s="57" t="str">
        <f>Table1[[#This Row],[Tabela]]&amp;Table1[[#This Row],[Campo]]</f>
        <v>PROPERTY_ENERGY_CERTIFICATECADASTRAL_REGISTER_CODE</v>
      </c>
      <c r="I329" s="2" t="s">
        <v>619</v>
      </c>
      <c r="J329" s="43">
        <f>VLOOKUP(Table1[[#This Row],[Status]],Auxiliar!$B$16:$C$24,2,0)</f>
        <v>7</v>
      </c>
      <c r="K329" s="2" t="s">
        <v>1252</v>
      </c>
      <c r="L329" s="29" t="s">
        <v>1250</v>
      </c>
      <c r="M329" s="21" t="s">
        <v>1259</v>
      </c>
      <c r="N329" s="48">
        <v>45618</v>
      </c>
      <c r="O329" s="21">
        <f>INDEX(Auxiliar!$D$5:$F$13,MATCH(Table1[[#This Row],[Tipologia_Testes]],Auxiliar!$B$5:$B$13,0),MATCH(Table1[[#This Row],[Complexidade]],Auxiliar!$D$4:$F$4,0))</f>
        <v>2</v>
      </c>
      <c r="P329" s="2"/>
      <c r="Q329" s="2"/>
      <c r="R329" s="152">
        <v>45616</v>
      </c>
      <c r="S329" s="152"/>
      <c r="T329" s="152"/>
      <c r="U329" s="152"/>
      <c r="V329" s="152"/>
      <c r="W329" s="2">
        <f>VLOOKUP(Table1[[#This Row],[Status]],Auxiliar!$B$16:$D$24,3,0)*Table1[[#This Row],[Estimação (horas)]]</f>
        <v>0.5</v>
      </c>
      <c r="X329" s="2"/>
    </row>
    <row r="330" spans="2:24" ht="17.7" customHeight="1" x14ac:dyDescent="0.25">
      <c r="B330" s="2" t="s">
        <v>26</v>
      </c>
      <c r="C330" s="2" t="s">
        <v>54</v>
      </c>
      <c r="D330" s="2" t="s">
        <v>124</v>
      </c>
      <c r="E330" s="2" t="s">
        <v>38</v>
      </c>
      <c r="F330" s="2" t="s">
        <v>123</v>
      </c>
      <c r="G330" s="2" t="s">
        <v>98</v>
      </c>
      <c r="H330" s="57" t="str">
        <f>Table1[[#This Row],[Tabela]]&amp;Table1[[#This Row],[Campo]]</f>
        <v>PROPERTY_ENERGY_CERTIFICATECADASTRAL_REGISTER_CODE</v>
      </c>
      <c r="I330" s="2" t="s">
        <v>619</v>
      </c>
      <c r="J330" s="43">
        <f>VLOOKUP(Table1[[#This Row],[Status]],Auxiliar!$B$16:$C$24,2,0)</f>
        <v>7</v>
      </c>
      <c r="K330" s="2" t="s">
        <v>1253</v>
      </c>
      <c r="L330" s="29" t="s">
        <v>1250</v>
      </c>
      <c r="M330" s="21" t="s">
        <v>1259</v>
      </c>
      <c r="N330" s="48">
        <v>45618</v>
      </c>
      <c r="O330" s="21">
        <f>INDEX(Auxiliar!$D$5:$F$13,MATCH(Table1[[#This Row],[Tipologia_Testes]],Auxiliar!$B$5:$B$13,0),MATCH(Table1[[#This Row],[Complexidade]],Auxiliar!$D$4:$F$4,0))</f>
        <v>2</v>
      </c>
      <c r="P330" s="2"/>
      <c r="Q330" s="2"/>
      <c r="R330" s="152">
        <v>45616</v>
      </c>
      <c r="S330" s="152"/>
      <c r="T330" s="152"/>
      <c r="U330" s="152"/>
      <c r="V330" s="152"/>
      <c r="W330" s="2">
        <f>VLOOKUP(Table1[[#This Row],[Status]],Auxiliar!$B$16:$D$24,3,0)*Table1[[#This Row],[Estimação (horas)]]</f>
        <v>0.5</v>
      </c>
      <c r="X330" s="2"/>
    </row>
    <row r="331" spans="2:24" ht="17.7" customHeight="1" x14ac:dyDescent="0.25">
      <c r="B331" s="2" t="s">
        <v>26</v>
      </c>
      <c r="C331" s="2" t="s">
        <v>54</v>
      </c>
      <c r="D331" s="2" t="s">
        <v>124</v>
      </c>
      <c r="E331" s="2" t="s">
        <v>38</v>
      </c>
      <c r="F331" s="2" t="s">
        <v>123</v>
      </c>
      <c r="G331" s="2" t="s">
        <v>98</v>
      </c>
      <c r="H331" s="57" t="str">
        <f>Table1[[#This Row],[Tabela]]&amp;Table1[[#This Row],[Campo]]</f>
        <v>PROPERTY_ENERGY_CERTIFICATECADASTRAL_REGISTER_CODE</v>
      </c>
      <c r="I331" s="2" t="s">
        <v>619</v>
      </c>
      <c r="J331" s="43">
        <f>VLOOKUP(Table1[[#This Row],[Status]],Auxiliar!$B$16:$C$24,2,0)</f>
        <v>7</v>
      </c>
      <c r="K331" s="2" t="s">
        <v>1255</v>
      </c>
      <c r="L331" s="29" t="s">
        <v>1250</v>
      </c>
      <c r="M331" s="21" t="s">
        <v>1259</v>
      </c>
      <c r="N331" s="48">
        <v>45618</v>
      </c>
      <c r="O331" s="21">
        <f>INDEX(Auxiliar!$D$5:$F$13,MATCH(Table1[[#This Row],[Tipologia_Testes]],Auxiliar!$B$5:$B$13,0),MATCH(Table1[[#This Row],[Complexidade]],Auxiliar!$D$4:$F$4,0))</f>
        <v>0.1</v>
      </c>
      <c r="P331" s="2"/>
      <c r="Q331" s="2"/>
      <c r="R331" s="152">
        <v>45616</v>
      </c>
      <c r="S331" s="152"/>
      <c r="T331" s="152"/>
      <c r="U331" s="152"/>
      <c r="V331" s="152"/>
      <c r="W331" s="2">
        <f>VLOOKUP(Table1[[#This Row],[Status]],Auxiliar!$B$16:$D$24,3,0)*Table1[[#This Row],[Estimação (horas)]]</f>
        <v>2.5000000000000001E-2</v>
      </c>
      <c r="X331" s="2"/>
    </row>
    <row r="332" spans="2:24" ht="17.7" customHeight="1" x14ac:dyDescent="0.25">
      <c r="B332" s="2" t="s">
        <v>26</v>
      </c>
      <c r="C332" s="2" t="s">
        <v>54</v>
      </c>
      <c r="D332" s="2" t="s">
        <v>124</v>
      </c>
      <c r="E332" s="2" t="s">
        <v>38</v>
      </c>
      <c r="F332" s="2" t="s">
        <v>123</v>
      </c>
      <c r="G332" s="2" t="s">
        <v>101</v>
      </c>
      <c r="H332" s="57" t="str">
        <f>Table1[[#This Row],[Tabela]]&amp;Table1[[#This Row],[Campo]]</f>
        <v>PROPERTY_ENERGY_CERTIFICATEDISTRICT_MUNICIP_PARISH_CODE</v>
      </c>
      <c r="I332" s="2" t="s">
        <v>619</v>
      </c>
      <c r="J332" s="43">
        <f>VLOOKUP(Table1[[#This Row],[Status]],Auxiliar!$B$16:$C$24,2,0)</f>
        <v>7</v>
      </c>
      <c r="K332" s="2" t="s">
        <v>1252</v>
      </c>
      <c r="L332" s="29" t="s">
        <v>1250</v>
      </c>
      <c r="M332" s="21" t="s">
        <v>1259</v>
      </c>
      <c r="N332" s="48">
        <v>45618</v>
      </c>
      <c r="O332" s="21">
        <f>INDEX(Auxiliar!$D$5:$F$13,MATCH(Table1[[#This Row],[Tipologia_Testes]],Auxiliar!$B$5:$B$13,0),MATCH(Table1[[#This Row],[Complexidade]],Auxiliar!$D$4:$F$4,0))</f>
        <v>2</v>
      </c>
      <c r="P332" s="2"/>
      <c r="Q332" s="2"/>
      <c r="R332" s="152">
        <v>45616</v>
      </c>
      <c r="S332" s="152"/>
      <c r="T332" s="152"/>
      <c r="U332" s="152"/>
      <c r="V332" s="152"/>
      <c r="W332" s="2">
        <f>VLOOKUP(Table1[[#This Row],[Status]],Auxiliar!$B$16:$D$24,3,0)*Table1[[#This Row],[Estimação (horas)]]</f>
        <v>0.5</v>
      </c>
      <c r="X332" s="2"/>
    </row>
    <row r="333" spans="2:24" ht="17.7" customHeight="1" x14ac:dyDescent="0.25">
      <c r="B333" s="2" t="s">
        <v>26</v>
      </c>
      <c r="C333" s="2" t="s">
        <v>54</v>
      </c>
      <c r="D333" s="2" t="s">
        <v>124</v>
      </c>
      <c r="E333" s="2" t="s">
        <v>38</v>
      </c>
      <c r="F333" s="2" t="s">
        <v>123</v>
      </c>
      <c r="G333" s="2" t="s">
        <v>101</v>
      </c>
      <c r="H333" s="57" t="str">
        <f>Table1[[#This Row],[Tabela]]&amp;Table1[[#This Row],[Campo]]</f>
        <v>PROPERTY_ENERGY_CERTIFICATEDISTRICT_MUNICIP_PARISH_CODE</v>
      </c>
      <c r="I333" s="2" t="s">
        <v>619</v>
      </c>
      <c r="J333" s="43">
        <f>VLOOKUP(Table1[[#This Row],[Status]],Auxiliar!$B$16:$C$24,2,0)</f>
        <v>7</v>
      </c>
      <c r="K333" s="2" t="s">
        <v>1253</v>
      </c>
      <c r="L333" s="29" t="s">
        <v>1250</v>
      </c>
      <c r="M333" s="21" t="s">
        <v>1259</v>
      </c>
      <c r="N333" s="48">
        <v>45618</v>
      </c>
      <c r="O333" s="21">
        <f>INDEX(Auxiliar!$D$5:$F$13,MATCH(Table1[[#This Row],[Tipologia_Testes]],Auxiliar!$B$5:$B$13,0),MATCH(Table1[[#This Row],[Complexidade]],Auxiliar!$D$4:$F$4,0))</f>
        <v>2</v>
      </c>
      <c r="P333" s="2"/>
      <c r="Q333" s="2"/>
      <c r="R333" s="152">
        <v>45616</v>
      </c>
      <c r="S333" s="152"/>
      <c r="T333" s="152"/>
      <c r="U333" s="152"/>
      <c r="V333" s="152"/>
      <c r="W333" s="2">
        <f>VLOOKUP(Table1[[#This Row],[Status]],Auxiliar!$B$16:$D$24,3,0)*Table1[[#This Row],[Estimação (horas)]]</f>
        <v>0.5</v>
      </c>
      <c r="X333" s="2"/>
    </row>
    <row r="334" spans="2:24" ht="17.7" customHeight="1" x14ac:dyDescent="0.25">
      <c r="B334" s="2" t="s">
        <v>26</v>
      </c>
      <c r="C334" s="2" t="s">
        <v>54</v>
      </c>
      <c r="D334" s="2" t="s">
        <v>124</v>
      </c>
      <c r="E334" s="2" t="s">
        <v>38</v>
      </c>
      <c r="F334" s="2" t="s">
        <v>123</v>
      </c>
      <c r="G334" s="2" t="s">
        <v>101</v>
      </c>
      <c r="H334" s="57" t="str">
        <f>Table1[[#This Row],[Tabela]]&amp;Table1[[#This Row],[Campo]]</f>
        <v>PROPERTY_ENERGY_CERTIFICATEDISTRICT_MUNICIP_PARISH_CODE</v>
      </c>
      <c r="I334" s="2" t="s">
        <v>619</v>
      </c>
      <c r="J334" s="43">
        <f>VLOOKUP(Table1[[#This Row],[Status]],Auxiliar!$B$16:$C$24,2,0)</f>
        <v>7</v>
      </c>
      <c r="K334" s="2" t="s">
        <v>1255</v>
      </c>
      <c r="L334" s="29" t="s">
        <v>1250</v>
      </c>
      <c r="M334" s="21" t="s">
        <v>1259</v>
      </c>
      <c r="N334" s="48">
        <v>45618</v>
      </c>
      <c r="O334" s="21">
        <f>INDEX(Auxiliar!$D$5:$F$13,MATCH(Table1[[#This Row],[Tipologia_Testes]],Auxiliar!$B$5:$B$13,0),MATCH(Table1[[#This Row],[Complexidade]],Auxiliar!$D$4:$F$4,0))</f>
        <v>0.1</v>
      </c>
      <c r="P334" s="2"/>
      <c r="Q334" s="2"/>
      <c r="R334" s="152">
        <v>45616</v>
      </c>
      <c r="S334" s="152"/>
      <c r="T334" s="152"/>
      <c r="U334" s="152"/>
      <c r="V334" s="152"/>
      <c r="W334" s="2">
        <f>VLOOKUP(Table1[[#This Row],[Status]],Auxiliar!$B$16:$D$24,3,0)*Table1[[#This Row],[Estimação (horas)]]</f>
        <v>2.5000000000000001E-2</v>
      </c>
      <c r="X334" s="2"/>
    </row>
    <row r="335" spans="2:24" ht="17.7" customHeight="1" x14ac:dyDescent="0.25">
      <c r="B335" s="2" t="s">
        <v>26</v>
      </c>
      <c r="C335" s="2" t="s">
        <v>54</v>
      </c>
      <c r="D335" s="2" t="s">
        <v>124</v>
      </c>
      <c r="E335" s="2" t="s">
        <v>38</v>
      </c>
      <c r="F335" s="2" t="s">
        <v>123</v>
      </c>
      <c r="G335" s="2" t="s">
        <v>102</v>
      </c>
      <c r="H335" s="57" t="str">
        <f>Table1[[#This Row],[Tabela]]&amp;Table1[[#This Row],[Campo]]</f>
        <v>PROPERTY_ENERGY_CERTIFICATEPROPERTY_PURPOSE_CODE</v>
      </c>
      <c r="I335" s="2" t="s">
        <v>619</v>
      </c>
      <c r="J335" s="43">
        <f>VLOOKUP(Table1[[#This Row],[Status]],Auxiliar!$B$16:$C$24,2,0)</f>
        <v>7</v>
      </c>
      <c r="K335" s="2" t="s">
        <v>1252</v>
      </c>
      <c r="L335" s="29" t="s">
        <v>1250</v>
      </c>
      <c r="M335" s="21" t="s">
        <v>1259</v>
      </c>
      <c r="N335" s="48">
        <v>45618</v>
      </c>
      <c r="O335" s="21">
        <f>INDEX(Auxiliar!$D$5:$F$13,MATCH(Table1[[#This Row],[Tipologia_Testes]],Auxiliar!$B$5:$B$13,0),MATCH(Table1[[#This Row],[Complexidade]],Auxiliar!$D$4:$F$4,0))</f>
        <v>2</v>
      </c>
      <c r="P335" s="2"/>
      <c r="Q335" s="2"/>
      <c r="R335" s="152">
        <v>45616</v>
      </c>
      <c r="S335" s="152"/>
      <c r="T335" s="152"/>
      <c r="U335" s="152"/>
      <c r="V335" s="152"/>
      <c r="W335" s="2">
        <f>VLOOKUP(Table1[[#This Row],[Status]],Auxiliar!$B$16:$D$24,3,0)*Table1[[#This Row],[Estimação (horas)]]</f>
        <v>0.5</v>
      </c>
      <c r="X335" s="2"/>
    </row>
    <row r="336" spans="2:24" ht="17.7" customHeight="1" x14ac:dyDescent="0.25">
      <c r="B336" s="2" t="s">
        <v>26</v>
      </c>
      <c r="C336" s="2" t="s">
        <v>54</v>
      </c>
      <c r="D336" s="2" t="s">
        <v>124</v>
      </c>
      <c r="E336" s="2" t="s">
        <v>38</v>
      </c>
      <c r="F336" s="2" t="s">
        <v>123</v>
      </c>
      <c r="G336" s="2" t="s">
        <v>102</v>
      </c>
      <c r="H336" s="57" t="str">
        <f>Table1[[#This Row],[Tabela]]&amp;Table1[[#This Row],[Campo]]</f>
        <v>PROPERTY_ENERGY_CERTIFICATEPROPERTY_PURPOSE_CODE</v>
      </c>
      <c r="I336" s="2" t="s">
        <v>619</v>
      </c>
      <c r="J336" s="43">
        <f>VLOOKUP(Table1[[#This Row],[Status]],Auxiliar!$B$16:$C$24,2,0)</f>
        <v>7</v>
      </c>
      <c r="K336" s="2" t="s">
        <v>1253</v>
      </c>
      <c r="L336" s="29" t="s">
        <v>1250</v>
      </c>
      <c r="M336" s="21" t="s">
        <v>1259</v>
      </c>
      <c r="N336" s="48">
        <v>45618</v>
      </c>
      <c r="O336" s="21">
        <f>INDEX(Auxiliar!$D$5:$F$13,MATCH(Table1[[#This Row],[Tipologia_Testes]],Auxiliar!$B$5:$B$13,0),MATCH(Table1[[#This Row],[Complexidade]],Auxiliar!$D$4:$F$4,0))</f>
        <v>2</v>
      </c>
      <c r="P336" s="2"/>
      <c r="Q336" s="2"/>
      <c r="R336" s="152">
        <v>45616</v>
      </c>
      <c r="S336" s="152"/>
      <c r="T336" s="152"/>
      <c r="U336" s="152"/>
      <c r="V336" s="152"/>
      <c r="W336" s="2">
        <f>VLOOKUP(Table1[[#This Row],[Status]],Auxiliar!$B$16:$D$24,3,0)*Table1[[#This Row],[Estimação (horas)]]</f>
        <v>0.5</v>
      </c>
      <c r="X336" s="2"/>
    </row>
    <row r="337" spans="2:24" ht="17.7" customHeight="1" x14ac:dyDescent="0.25">
      <c r="B337" s="2" t="s">
        <v>26</v>
      </c>
      <c r="C337" s="2" t="s">
        <v>54</v>
      </c>
      <c r="D337" s="2" t="s">
        <v>124</v>
      </c>
      <c r="E337" s="2" t="s">
        <v>38</v>
      </c>
      <c r="F337" s="2" t="s">
        <v>123</v>
      </c>
      <c r="G337" s="2" t="s">
        <v>102</v>
      </c>
      <c r="H337" s="57" t="str">
        <f>Table1[[#This Row],[Tabela]]&amp;Table1[[#This Row],[Campo]]</f>
        <v>PROPERTY_ENERGY_CERTIFICATEPROPERTY_PURPOSE_CODE</v>
      </c>
      <c r="I337" s="2" t="s">
        <v>619</v>
      </c>
      <c r="J337" s="43">
        <f>VLOOKUP(Table1[[#This Row],[Status]],Auxiliar!$B$16:$C$24,2,0)</f>
        <v>7</v>
      </c>
      <c r="K337" s="2" t="s">
        <v>1255</v>
      </c>
      <c r="L337" s="29" t="s">
        <v>1250</v>
      </c>
      <c r="M337" s="21" t="s">
        <v>1259</v>
      </c>
      <c r="N337" s="48">
        <v>45618</v>
      </c>
      <c r="O337" s="21">
        <f>INDEX(Auxiliar!$D$5:$F$13,MATCH(Table1[[#This Row],[Tipologia_Testes]],Auxiliar!$B$5:$B$13,0),MATCH(Table1[[#This Row],[Complexidade]],Auxiliar!$D$4:$F$4,0))</f>
        <v>0.1</v>
      </c>
      <c r="P337" s="2"/>
      <c r="Q337" s="2"/>
      <c r="R337" s="152">
        <v>45616</v>
      </c>
      <c r="S337" s="152"/>
      <c r="T337" s="152"/>
      <c r="U337" s="152"/>
      <c r="V337" s="152"/>
      <c r="W337" s="2">
        <f>VLOOKUP(Table1[[#This Row],[Status]],Auxiliar!$B$16:$D$24,3,0)*Table1[[#This Row],[Estimação (horas)]]</f>
        <v>2.5000000000000001E-2</v>
      </c>
      <c r="X337" s="2"/>
    </row>
    <row r="338" spans="2:24" ht="17.7" customHeight="1" x14ac:dyDescent="0.25">
      <c r="B338" s="2" t="s">
        <v>26</v>
      </c>
      <c r="C338" s="2" t="s">
        <v>54</v>
      </c>
      <c r="D338" s="2" t="s">
        <v>124</v>
      </c>
      <c r="E338" s="2" t="s">
        <v>38</v>
      </c>
      <c r="F338" s="2" t="s">
        <v>123</v>
      </c>
      <c r="G338" s="2" t="s">
        <v>104</v>
      </c>
      <c r="H338" s="57" t="str">
        <f>Table1[[#This Row],[Tabela]]&amp;Table1[[#This Row],[Campo]]</f>
        <v>PROPERTY_ENERGY_CERTIFICATEADDRESS_CODE</v>
      </c>
      <c r="I338" s="2" t="s">
        <v>619</v>
      </c>
      <c r="J338" s="43">
        <f>VLOOKUP(Table1[[#This Row],[Status]],Auxiliar!$B$16:$C$24,2,0)</f>
        <v>7</v>
      </c>
      <c r="K338" s="2" t="s">
        <v>1252</v>
      </c>
      <c r="L338" s="29" t="s">
        <v>1250</v>
      </c>
      <c r="M338" s="21" t="s">
        <v>1259</v>
      </c>
      <c r="N338" s="48">
        <v>45618</v>
      </c>
      <c r="O338" s="21">
        <f>INDEX(Auxiliar!$D$5:$F$13,MATCH(Table1[[#This Row],[Tipologia_Testes]],Auxiliar!$B$5:$B$13,0),MATCH(Table1[[#This Row],[Complexidade]],Auxiliar!$D$4:$F$4,0))</f>
        <v>2</v>
      </c>
      <c r="P338" s="2"/>
      <c r="Q338" s="2"/>
      <c r="R338" s="152">
        <v>45616</v>
      </c>
      <c r="S338" s="152"/>
      <c r="T338" s="152"/>
      <c r="U338" s="152"/>
      <c r="V338" s="152"/>
      <c r="W338" s="2">
        <f>VLOOKUP(Table1[[#This Row],[Status]],Auxiliar!$B$16:$D$24,3,0)*Table1[[#This Row],[Estimação (horas)]]</f>
        <v>0.5</v>
      </c>
      <c r="X338" s="2"/>
    </row>
    <row r="339" spans="2:24" ht="17.7" customHeight="1" x14ac:dyDescent="0.25">
      <c r="B339" s="2" t="s">
        <v>26</v>
      </c>
      <c r="C339" s="2" t="s">
        <v>54</v>
      </c>
      <c r="D339" s="2" t="s">
        <v>124</v>
      </c>
      <c r="E339" s="2" t="s">
        <v>38</v>
      </c>
      <c r="F339" s="2" t="s">
        <v>123</v>
      </c>
      <c r="G339" s="2" t="s">
        <v>104</v>
      </c>
      <c r="H339" s="57" t="str">
        <f>Table1[[#This Row],[Tabela]]&amp;Table1[[#This Row],[Campo]]</f>
        <v>PROPERTY_ENERGY_CERTIFICATEADDRESS_CODE</v>
      </c>
      <c r="I339" s="2" t="s">
        <v>619</v>
      </c>
      <c r="J339" s="43">
        <f>VLOOKUP(Table1[[#This Row],[Status]],Auxiliar!$B$16:$C$24,2,0)</f>
        <v>7</v>
      </c>
      <c r="K339" s="2" t="s">
        <v>1253</v>
      </c>
      <c r="L339" s="29" t="s">
        <v>1250</v>
      </c>
      <c r="M339" s="21" t="s">
        <v>1259</v>
      </c>
      <c r="N339" s="48">
        <v>45618</v>
      </c>
      <c r="O339" s="21">
        <f>INDEX(Auxiliar!$D$5:$F$13,MATCH(Table1[[#This Row],[Tipologia_Testes]],Auxiliar!$B$5:$B$13,0),MATCH(Table1[[#This Row],[Complexidade]],Auxiliar!$D$4:$F$4,0))</f>
        <v>2</v>
      </c>
      <c r="P339" s="2"/>
      <c r="Q339" s="2"/>
      <c r="R339" s="152">
        <v>45616</v>
      </c>
      <c r="S339" s="152"/>
      <c r="T339" s="152"/>
      <c r="U339" s="152"/>
      <c r="V339" s="152"/>
      <c r="W339" s="2">
        <f>VLOOKUP(Table1[[#This Row],[Status]],Auxiliar!$B$16:$D$24,3,0)*Table1[[#This Row],[Estimação (horas)]]</f>
        <v>0.5</v>
      </c>
      <c r="X339" s="2"/>
    </row>
    <row r="340" spans="2:24" ht="17.7" customHeight="1" x14ac:dyDescent="0.25">
      <c r="B340" s="2" t="s">
        <v>26</v>
      </c>
      <c r="C340" s="2" t="s">
        <v>54</v>
      </c>
      <c r="D340" s="2" t="s">
        <v>124</v>
      </c>
      <c r="E340" s="2" t="s">
        <v>38</v>
      </c>
      <c r="F340" s="2" t="s">
        <v>123</v>
      </c>
      <c r="G340" s="2" t="s">
        <v>104</v>
      </c>
      <c r="H340" s="57" t="str">
        <f>Table1[[#This Row],[Tabela]]&amp;Table1[[#This Row],[Campo]]</f>
        <v>PROPERTY_ENERGY_CERTIFICATEADDRESS_CODE</v>
      </c>
      <c r="I340" s="2" t="s">
        <v>619</v>
      </c>
      <c r="J340" s="43">
        <f>VLOOKUP(Table1[[#This Row],[Status]],Auxiliar!$B$16:$C$24,2,0)</f>
        <v>7</v>
      </c>
      <c r="K340" s="2" t="s">
        <v>1255</v>
      </c>
      <c r="L340" s="29" t="s">
        <v>1250</v>
      </c>
      <c r="M340" s="21" t="s">
        <v>1259</v>
      </c>
      <c r="N340" s="48">
        <v>45618</v>
      </c>
      <c r="O340" s="21">
        <f>INDEX(Auxiliar!$D$5:$F$13,MATCH(Table1[[#This Row],[Tipologia_Testes]],Auxiliar!$B$5:$B$13,0),MATCH(Table1[[#This Row],[Complexidade]],Auxiliar!$D$4:$F$4,0))</f>
        <v>0.1</v>
      </c>
      <c r="P340" s="2"/>
      <c r="Q340" s="2"/>
      <c r="R340" s="152">
        <v>45616</v>
      </c>
      <c r="S340" s="152"/>
      <c r="T340" s="152"/>
      <c r="U340" s="152"/>
      <c r="V340" s="152"/>
      <c r="W340" s="2">
        <f>VLOOKUP(Table1[[#This Row],[Status]],Auxiliar!$B$16:$D$24,3,0)*Table1[[#This Row],[Estimação (horas)]]</f>
        <v>2.5000000000000001E-2</v>
      </c>
      <c r="X340" s="2"/>
    </row>
    <row r="341" spans="2:24" ht="17.7" customHeight="1" x14ac:dyDescent="0.25">
      <c r="B341" s="2" t="s">
        <v>26</v>
      </c>
      <c r="C341" s="2" t="s">
        <v>54</v>
      </c>
      <c r="D341" s="2" t="s">
        <v>124</v>
      </c>
      <c r="E341" s="2" t="s">
        <v>38</v>
      </c>
      <c r="F341" s="2" t="s">
        <v>123</v>
      </c>
      <c r="G341" s="2" t="s">
        <v>111</v>
      </c>
      <c r="H341" s="57" t="str">
        <f>Table1[[#This Row],[Tabela]]&amp;Table1[[#This Row],[Campo]]</f>
        <v>PROPERTY_ENERGY_CERTIFICATEFLOOR_NUMBER</v>
      </c>
      <c r="I341" s="2" t="s">
        <v>619</v>
      </c>
      <c r="J341" s="43">
        <f>VLOOKUP(Table1[[#This Row],[Status]],Auxiliar!$B$16:$C$24,2,0)</f>
        <v>7</v>
      </c>
      <c r="K341" s="2" t="s">
        <v>1252</v>
      </c>
      <c r="L341" s="29" t="s">
        <v>1250</v>
      </c>
      <c r="M341" s="21" t="s">
        <v>1259</v>
      </c>
      <c r="N341" s="48">
        <v>45618</v>
      </c>
      <c r="O341" s="21">
        <f>INDEX(Auxiliar!$D$5:$F$13,MATCH(Table1[[#This Row],[Tipologia_Testes]],Auxiliar!$B$5:$B$13,0),MATCH(Table1[[#This Row],[Complexidade]],Auxiliar!$D$4:$F$4,0))</f>
        <v>2</v>
      </c>
      <c r="P341" s="2"/>
      <c r="Q341" s="2"/>
      <c r="R341" s="152">
        <v>45616</v>
      </c>
      <c r="S341" s="152"/>
      <c r="T341" s="152"/>
      <c r="U341" s="152"/>
      <c r="V341" s="152"/>
      <c r="W341" s="2">
        <f>VLOOKUP(Table1[[#This Row],[Status]],Auxiliar!$B$16:$D$24,3,0)*Table1[[#This Row],[Estimação (horas)]]</f>
        <v>0.5</v>
      </c>
      <c r="X341" s="2"/>
    </row>
    <row r="342" spans="2:24" ht="17.7" customHeight="1" x14ac:dyDescent="0.25">
      <c r="B342" s="2" t="s">
        <v>26</v>
      </c>
      <c r="C342" s="2" t="s">
        <v>54</v>
      </c>
      <c r="D342" s="2" t="s">
        <v>124</v>
      </c>
      <c r="E342" s="2" t="s">
        <v>38</v>
      </c>
      <c r="F342" s="2" t="s">
        <v>123</v>
      </c>
      <c r="G342" s="2" t="s">
        <v>111</v>
      </c>
      <c r="H342" s="57" t="str">
        <f>Table1[[#This Row],[Tabela]]&amp;Table1[[#This Row],[Campo]]</f>
        <v>PROPERTY_ENERGY_CERTIFICATEFLOOR_NUMBER</v>
      </c>
      <c r="I342" s="2" t="s">
        <v>619</v>
      </c>
      <c r="J342" s="43">
        <f>VLOOKUP(Table1[[#This Row],[Status]],Auxiliar!$B$16:$C$24,2,0)</f>
        <v>7</v>
      </c>
      <c r="K342" s="2" t="s">
        <v>1253</v>
      </c>
      <c r="L342" s="29" t="s">
        <v>1250</v>
      </c>
      <c r="M342" s="21" t="s">
        <v>1259</v>
      </c>
      <c r="N342" s="48">
        <v>45618</v>
      </c>
      <c r="O342" s="21">
        <f>INDEX(Auxiliar!$D$5:$F$13,MATCH(Table1[[#This Row],[Tipologia_Testes]],Auxiliar!$B$5:$B$13,0),MATCH(Table1[[#This Row],[Complexidade]],Auxiliar!$D$4:$F$4,0))</f>
        <v>2</v>
      </c>
      <c r="P342" s="2"/>
      <c r="Q342" s="2"/>
      <c r="R342" s="152">
        <v>45616</v>
      </c>
      <c r="S342" s="152"/>
      <c r="T342" s="152"/>
      <c r="U342" s="152"/>
      <c r="V342" s="152"/>
      <c r="W342" s="2">
        <f>VLOOKUP(Table1[[#This Row],[Status]],Auxiliar!$B$16:$D$24,3,0)*Table1[[#This Row],[Estimação (horas)]]</f>
        <v>0.5</v>
      </c>
      <c r="X342" s="2"/>
    </row>
    <row r="343" spans="2:24" ht="17.7" customHeight="1" x14ac:dyDescent="0.25">
      <c r="B343" s="2" t="s">
        <v>26</v>
      </c>
      <c r="C343" s="2" t="s">
        <v>54</v>
      </c>
      <c r="D343" s="2" t="s">
        <v>124</v>
      </c>
      <c r="E343" s="2" t="s">
        <v>38</v>
      </c>
      <c r="F343" s="2" t="s">
        <v>123</v>
      </c>
      <c r="G343" s="2" t="s">
        <v>111</v>
      </c>
      <c r="H343" s="57" t="str">
        <f>Table1[[#This Row],[Tabela]]&amp;Table1[[#This Row],[Campo]]</f>
        <v>PROPERTY_ENERGY_CERTIFICATEFLOOR_NUMBER</v>
      </c>
      <c r="I343" s="2" t="s">
        <v>619</v>
      </c>
      <c r="J343" s="43">
        <f>VLOOKUP(Table1[[#This Row],[Status]],Auxiliar!$B$16:$C$24,2,0)</f>
        <v>7</v>
      </c>
      <c r="K343" s="2" t="s">
        <v>1255</v>
      </c>
      <c r="L343" s="29" t="s">
        <v>1250</v>
      </c>
      <c r="M343" s="21" t="s">
        <v>1259</v>
      </c>
      <c r="N343" s="48">
        <v>45618</v>
      </c>
      <c r="O343" s="21">
        <f>INDEX(Auxiliar!$D$5:$F$13,MATCH(Table1[[#This Row],[Tipologia_Testes]],Auxiliar!$B$5:$B$13,0),MATCH(Table1[[#This Row],[Complexidade]],Auxiliar!$D$4:$F$4,0))</f>
        <v>0.1</v>
      </c>
      <c r="P343" s="2"/>
      <c r="Q343" s="2"/>
      <c r="R343" s="152">
        <v>45616</v>
      </c>
      <c r="S343" s="152"/>
      <c r="T343" s="152"/>
      <c r="U343" s="152"/>
      <c r="V343" s="152"/>
      <c r="W343" s="2">
        <f>VLOOKUP(Table1[[#This Row],[Status]],Auxiliar!$B$16:$D$24,3,0)*Table1[[#This Row],[Estimação (horas)]]</f>
        <v>2.5000000000000001E-2</v>
      </c>
      <c r="X343" s="2"/>
    </row>
    <row r="344" spans="2:24" ht="17.7" customHeight="1" x14ac:dyDescent="0.25">
      <c r="B344" s="2" t="s">
        <v>26</v>
      </c>
      <c r="C344" s="2" t="s">
        <v>54</v>
      </c>
      <c r="D344" s="2" t="s">
        <v>124</v>
      </c>
      <c r="E344" s="2" t="s">
        <v>38</v>
      </c>
      <c r="F344" s="2" t="s">
        <v>123</v>
      </c>
      <c r="G344" s="2" t="s">
        <v>112</v>
      </c>
      <c r="H344" s="57" t="str">
        <f>Table1[[#This Row],[Tabela]]&amp;Table1[[#This Row],[Campo]]</f>
        <v>PROPERTY_ENERGY_CERTIFICATELOCALITY</v>
      </c>
      <c r="I344" s="2" t="s">
        <v>619</v>
      </c>
      <c r="J344" s="43">
        <f>VLOOKUP(Table1[[#This Row],[Status]],Auxiliar!$B$16:$C$24,2,0)</f>
        <v>7</v>
      </c>
      <c r="K344" s="2" t="s">
        <v>1252</v>
      </c>
      <c r="L344" s="29" t="s">
        <v>1250</v>
      </c>
      <c r="M344" s="21" t="s">
        <v>1259</v>
      </c>
      <c r="N344" s="48">
        <v>45618</v>
      </c>
      <c r="O344" s="21">
        <f>INDEX(Auxiliar!$D$5:$F$13,MATCH(Table1[[#This Row],[Tipologia_Testes]],Auxiliar!$B$5:$B$13,0),MATCH(Table1[[#This Row],[Complexidade]],Auxiliar!$D$4:$F$4,0))</f>
        <v>2</v>
      </c>
      <c r="P344" s="2"/>
      <c r="Q344" s="2"/>
      <c r="R344" s="152">
        <v>45616</v>
      </c>
      <c r="S344" s="152"/>
      <c r="T344" s="152"/>
      <c r="U344" s="152"/>
      <c r="V344" s="152"/>
      <c r="W344" s="2">
        <f>VLOOKUP(Table1[[#This Row],[Status]],Auxiliar!$B$16:$D$24,3,0)*Table1[[#This Row],[Estimação (horas)]]</f>
        <v>0.5</v>
      </c>
      <c r="X344" s="2"/>
    </row>
    <row r="345" spans="2:24" ht="17.7" customHeight="1" x14ac:dyDescent="0.25">
      <c r="B345" s="2" t="s">
        <v>26</v>
      </c>
      <c r="C345" s="2" t="s">
        <v>54</v>
      </c>
      <c r="D345" s="2" t="s">
        <v>124</v>
      </c>
      <c r="E345" s="2" t="s">
        <v>38</v>
      </c>
      <c r="F345" s="2" t="s">
        <v>123</v>
      </c>
      <c r="G345" s="2" t="s">
        <v>112</v>
      </c>
      <c r="H345" s="57" t="str">
        <f>Table1[[#This Row],[Tabela]]&amp;Table1[[#This Row],[Campo]]</f>
        <v>PROPERTY_ENERGY_CERTIFICATELOCALITY</v>
      </c>
      <c r="I345" s="2" t="s">
        <v>619</v>
      </c>
      <c r="J345" s="43">
        <f>VLOOKUP(Table1[[#This Row],[Status]],Auxiliar!$B$16:$C$24,2,0)</f>
        <v>7</v>
      </c>
      <c r="K345" s="2" t="s">
        <v>1253</v>
      </c>
      <c r="L345" s="29" t="s">
        <v>1250</v>
      </c>
      <c r="M345" s="21" t="s">
        <v>1259</v>
      </c>
      <c r="N345" s="48">
        <v>45618</v>
      </c>
      <c r="O345" s="21">
        <f>INDEX(Auxiliar!$D$5:$F$13,MATCH(Table1[[#This Row],[Tipologia_Testes]],Auxiliar!$B$5:$B$13,0),MATCH(Table1[[#This Row],[Complexidade]],Auxiliar!$D$4:$F$4,0))</f>
        <v>2</v>
      </c>
      <c r="P345" s="2"/>
      <c r="Q345" s="2"/>
      <c r="R345" s="152">
        <v>45616</v>
      </c>
      <c r="S345" s="152"/>
      <c r="T345" s="152"/>
      <c r="U345" s="152"/>
      <c r="V345" s="152"/>
      <c r="W345" s="2">
        <f>VLOOKUP(Table1[[#This Row],[Status]],Auxiliar!$B$16:$D$24,3,0)*Table1[[#This Row],[Estimação (horas)]]</f>
        <v>0.5</v>
      </c>
      <c r="X345" s="2"/>
    </row>
    <row r="346" spans="2:24" ht="17.7" customHeight="1" x14ac:dyDescent="0.25">
      <c r="B346" s="2" t="s">
        <v>26</v>
      </c>
      <c r="C346" s="2" t="s">
        <v>54</v>
      </c>
      <c r="D346" s="2" t="s">
        <v>124</v>
      </c>
      <c r="E346" s="2" t="s">
        <v>38</v>
      </c>
      <c r="F346" s="2" t="s">
        <v>123</v>
      </c>
      <c r="G346" s="2" t="s">
        <v>112</v>
      </c>
      <c r="H346" s="57" t="str">
        <f>Table1[[#This Row],[Tabela]]&amp;Table1[[#This Row],[Campo]]</f>
        <v>PROPERTY_ENERGY_CERTIFICATELOCALITY</v>
      </c>
      <c r="I346" s="2" t="s">
        <v>619</v>
      </c>
      <c r="J346" s="43">
        <f>VLOOKUP(Table1[[#This Row],[Status]],Auxiliar!$B$16:$C$24,2,0)</f>
        <v>7</v>
      </c>
      <c r="K346" s="2" t="s">
        <v>1255</v>
      </c>
      <c r="L346" s="29" t="s">
        <v>1250</v>
      </c>
      <c r="M346" s="21" t="s">
        <v>1259</v>
      </c>
      <c r="N346" s="48">
        <v>45618</v>
      </c>
      <c r="O346" s="21">
        <f>INDEX(Auxiliar!$D$5:$F$13,MATCH(Table1[[#This Row],[Tipologia_Testes]],Auxiliar!$B$5:$B$13,0),MATCH(Table1[[#This Row],[Complexidade]],Auxiliar!$D$4:$F$4,0))</f>
        <v>0.1</v>
      </c>
      <c r="P346" s="2"/>
      <c r="Q346" s="2"/>
      <c r="R346" s="152">
        <v>45616</v>
      </c>
      <c r="S346" s="152"/>
      <c r="T346" s="152"/>
      <c r="U346" s="152"/>
      <c r="V346" s="152"/>
      <c r="W346" s="2">
        <f>VLOOKUP(Table1[[#This Row],[Status]],Auxiliar!$B$16:$D$24,3,0)*Table1[[#This Row],[Estimação (horas)]]</f>
        <v>2.5000000000000001E-2</v>
      </c>
      <c r="X346" s="2"/>
    </row>
    <row r="347" spans="2:24" ht="69.599999999999994" customHeight="1" x14ac:dyDescent="0.25">
      <c r="B347" s="2" t="s">
        <v>26</v>
      </c>
      <c r="C347" s="2" t="s">
        <v>54</v>
      </c>
      <c r="D347" s="2" t="s">
        <v>38</v>
      </c>
      <c r="E347" s="2" t="s">
        <v>38</v>
      </c>
      <c r="F347" s="2" t="s">
        <v>55</v>
      </c>
      <c r="G347" s="2" t="s">
        <v>38</v>
      </c>
      <c r="H347" s="57" t="str">
        <f>Table1[[#This Row],[Tabela]]&amp;Table1[[#This Row],[Campo]]</f>
        <v>PROCESSn.a.</v>
      </c>
      <c r="I347" s="2" t="s">
        <v>614</v>
      </c>
      <c r="J347" s="43">
        <f>VLOOKUP(Table1[[#This Row],[Status]],Auxiliar!$B$16:$C$24,2,0)</f>
        <v>1</v>
      </c>
      <c r="K347" s="2" t="s">
        <v>1249</v>
      </c>
      <c r="L347" s="29" t="s">
        <v>1250</v>
      </c>
      <c r="M347" s="21" t="s">
        <v>1251</v>
      </c>
      <c r="N347" s="48">
        <v>45512</v>
      </c>
      <c r="O347" s="21">
        <f>INDEX(Auxiliar!$D$5:$F$13,MATCH(Table1[[#This Row],[Tipologia_Testes]],Auxiliar!$B$5:$B$13,0),MATCH(Table1[[#This Row],[Complexidade]],Auxiliar!$D$4:$F$4,0))</f>
        <v>8</v>
      </c>
      <c r="P347" s="23" t="s">
        <v>1277</v>
      </c>
      <c r="Q347" s="2"/>
      <c r="R347" s="152">
        <v>45261</v>
      </c>
      <c r="S347" s="152"/>
      <c r="T347" s="152"/>
      <c r="U347" s="152"/>
      <c r="V347" s="152"/>
      <c r="W347" s="2">
        <f>VLOOKUP(Table1[[#This Row],[Status]],Auxiliar!$B$16:$D$24,3,0)*Table1[[#This Row],[Estimação (horas)]]</f>
        <v>8</v>
      </c>
      <c r="X347" s="2"/>
    </row>
    <row r="348" spans="2:24" ht="17.7" customHeight="1" x14ac:dyDescent="0.25">
      <c r="B348" s="2" t="s">
        <v>26</v>
      </c>
      <c r="C348" s="2" t="s">
        <v>54</v>
      </c>
      <c r="D348" s="2" t="s">
        <v>38</v>
      </c>
      <c r="E348" s="2" t="s">
        <v>38</v>
      </c>
      <c r="F348" s="2" t="s">
        <v>55</v>
      </c>
      <c r="G348" s="2" t="s">
        <v>57</v>
      </c>
      <c r="H348" s="57" t="str">
        <f>Table1[[#This Row],[Tabela]]&amp;Table1[[#This Row],[Campo]]</f>
        <v>PROCESSPROCESS_BANK_ID</v>
      </c>
      <c r="I348" s="2" t="s">
        <v>614</v>
      </c>
      <c r="J348" s="43">
        <f>VLOOKUP(Table1[[#This Row],[Status]],Auxiliar!$B$16:$C$24,2,0)</f>
        <v>1</v>
      </c>
      <c r="K348" s="2" t="s">
        <v>1252</v>
      </c>
      <c r="L348" s="29" t="s">
        <v>1258</v>
      </c>
      <c r="M348" s="21" t="s">
        <v>1259</v>
      </c>
      <c r="N348" s="48">
        <v>45499</v>
      </c>
      <c r="O348" s="21">
        <f>INDEX(Auxiliar!$D$5:$F$13,MATCH(Table1[[#This Row],[Tipologia_Testes]],Auxiliar!$B$5:$B$13,0),MATCH(Table1[[#This Row],[Complexidade]],Auxiliar!$D$4:$F$4,0))</f>
        <v>2</v>
      </c>
      <c r="P348" s="2" t="s">
        <v>1272</v>
      </c>
      <c r="Q348" s="2" t="s">
        <v>1269</v>
      </c>
      <c r="R348" s="152">
        <v>45261</v>
      </c>
      <c r="S348" s="152">
        <v>45495</v>
      </c>
      <c r="T348" s="152"/>
      <c r="U348" s="152"/>
      <c r="V348" s="152"/>
      <c r="W348" s="2">
        <f>VLOOKUP(Table1[[#This Row],[Status]],Auxiliar!$B$16:$D$24,3,0)*Table1[[#This Row],[Estimação (horas)]]</f>
        <v>2</v>
      </c>
      <c r="X348" s="2"/>
    </row>
    <row r="349" spans="2:24" ht="17.7" customHeight="1" x14ac:dyDescent="0.25">
      <c r="B349" s="2" t="s">
        <v>26</v>
      </c>
      <c r="C349" s="2" t="s">
        <v>54</v>
      </c>
      <c r="D349" s="2" t="s">
        <v>38</v>
      </c>
      <c r="E349" s="2" t="s">
        <v>38</v>
      </c>
      <c r="F349" s="2" t="s">
        <v>55</v>
      </c>
      <c r="G349" s="2" t="s">
        <v>57</v>
      </c>
      <c r="H349" s="57" t="str">
        <f>Table1[[#This Row],[Tabela]]&amp;Table1[[#This Row],[Campo]]</f>
        <v>PROCESSPROCESS_BANK_ID</v>
      </c>
      <c r="I349" s="2" t="s">
        <v>614</v>
      </c>
      <c r="J349" s="43">
        <f>VLOOKUP(Table1[[#This Row],[Status]],Auxiliar!$B$16:$C$24,2,0)</f>
        <v>1</v>
      </c>
      <c r="K349" s="2" t="s">
        <v>1253</v>
      </c>
      <c r="L349" s="29" t="s">
        <v>1258</v>
      </c>
      <c r="M349" s="21" t="s">
        <v>1259</v>
      </c>
      <c r="N349" s="48">
        <v>45499</v>
      </c>
      <c r="O349" s="21">
        <f>INDEX(Auxiliar!$D$5:$F$13,MATCH(Table1[[#This Row],[Tipologia_Testes]],Auxiliar!$B$5:$B$13,0),MATCH(Table1[[#This Row],[Complexidade]],Auxiliar!$D$4:$F$4,0))</f>
        <v>2</v>
      </c>
      <c r="P349" s="2" t="s">
        <v>1272</v>
      </c>
      <c r="Q349" s="2" t="s">
        <v>1269</v>
      </c>
      <c r="R349" s="152">
        <v>45261</v>
      </c>
      <c r="S349" s="152">
        <v>45495</v>
      </c>
      <c r="T349" s="152"/>
      <c r="U349" s="152"/>
      <c r="V349" s="152"/>
      <c r="W349" s="2">
        <f>VLOOKUP(Table1[[#This Row],[Status]],Auxiliar!$B$16:$D$24,3,0)*Table1[[#This Row],[Estimação (horas)]]</f>
        <v>2</v>
      </c>
      <c r="X349" s="2"/>
    </row>
    <row r="350" spans="2:24" ht="17.7" customHeight="1" x14ac:dyDescent="0.25">
      <c r="B350" s="2" t="s">
        <v>26</v>
      </c>
      <c r="C350" s="2" t="s">
        <v>54</v>
      </c>
      <c r="D350" s="2" t="s">
        <v>38</v>
      </c>
      <c r="E350" s="2" t="s">
        <v>38</v>
      </c>
      <c r="F350" s="2" t="s">
        <v>55</v>
      </c>
      <c r="G350" s="2" t="s">
        <v>57</v>
      </c>
      <c r="H350" s="57" t="str">
        <f>Table1[[#This Row],[Tabela]]&amp;Table1[[#This Row],[Campo]]</f>
        <v>PROCESSPROCESS_BANK_ID</v>
      </c>
      <c r="I350" s="2" t="s">
        <v>614</v>
      </c>
      <c r="J350" s="43">
        <f>VLOOKUP(Table1[[#This Row],[Status]],Auxiliar!$B$16:$C$24,2,0)</f>
        <v>1</v>
      </c>
      <c r="K350" s="2" t="s">
        <v>1255</v>
      </c>
      <c r="L350" s="29" t="s">
        <v>1258</v>
      </c>
      <c r="M350" s="21" t="s">
        <v>1259</v>
      </c>
      <c r="N350" s="48">
        <v>45499</v>
      </c>
      <c r="O350" s="21">
        <f>INDEX(Auxiliar!$D$5:$F$13,MATCH(Table1[[#This Row],[Tipologia_Testes]],Auxiliar!$B$5:$B$13,0),MATCH(Table1[[#This Row],[Complexidade]],Auxiliar!$D$4:$F$4,0))</f>
        <v>0.1</v>
      </c>
      <c r="P350" s="2" t="s">
        <v>1272</v>
      </c>
      <c r="Q350" s="2" t="s">
        <v>1269</v>
      </c>
      <c r="R350" s="152">
        <v>45261</v>
      </c>
      <c r="S350" s="152">
        <v>45495</v>
      </c>
      <c r="T350" s="152"/>
      <c r="U350" s="152"/>
      <c r="V350" s="152"/>
      <c r="W350" s="2">
        <f>VLOOKUP(Table1[[#This Row],[Status]],Auxiliar!$B$16:$D$24,3,0)*Table1[[#This Row],[Estimação (horas)]]</f>
        <v>0.1</v>
      </c>
      <c r="X350" s="2"/>
    </row>
    <row r="351" spans="2:24" ht="17.7" customHeight="1" x14ac:dyDescent="0.25">
      <c r="B351" s="2" t="s">
        <v>26</v>
      </c>
      <c r="C351" s="2" t="s">
        <v>54</v>
      </c>
      <c r="D351" s="2" t="s">
        <v>38</v>
      </c>
      <c r="E351" s="2" t="s">
        <v>38</v>
      </c>
      <c r="F351" s="2" t="s">
        <v>55</v>
      </c>
      <c r="G351" s="2" t="s">
        <v>58</v>
      </c>
      <c r="H351" s="57" t="str">
        <f>Table1[[#This Row],[Tabela]]&amp;Table1[[#This Row],[Campo]]</f>
        <v>PROCESSPROCESS_BRANCH_CODE</v>
      </c>
      <c r="I351" s="2" t="s">
        <v>614</v>
      </c>
      <c r="J351" s="43">
        <f>VLOOKUP(Table1[[#This Row],[Status]],Auxiliar!$B$16:$C$24,2,0)</f>
        <v>1</v>
      </c>
      <c r="K351" s="2" t="s">
        <v>1252</v>
      </c>
      <c r="L351" s="29" t="s">
        <v>1258</v>
      </c>
      <c r="M351" s="21" t="s">
        <v>1259</v>
      </c>
      <c r="N351" s="48">
        <v>45499</v>
      </c>
      <c r="O351" s="21">
        <f>INDEX(Auxiliar!$D$5:$F$13,MATCH(Table1[[#This Row],[Tipologia_Testes]],Auxiliar!$B$5:$B$13,0),MATCH(Table1[[#This Row],[Complexidade]],Auxiliar!$D$4:$F$4,0))</f>
        <v>2</v>
      </c>
      <c r="P351" s="2" t="s">
        <v>1272</v>
      </c>
      <c r="Q351" s="2" t="s">
        <v>1269</v>
      </c>
      <c r="R351" s="152">
        <v>45261</v>
      </c>
      <c r="S351" s="152">
        <v>45495</v>
      </c>
      <c r="T351" s="152"/>
      <c r="U351" s="152"/>
      <c r="V351" s="152"/>
      <c r="W351" s="2">
        <f>VLOOKUP(Table1[[#This Row],[Status]],Auxiliar!$B$16:$D$24,3,0)*Table1[[#This Row],[Estimação (horas)]]</f>
        <v>2</v>
      </c>
      <c r="X351" s="2"/>
    </row>
    <row r="352" spans="2:24" ht="17.7" customHeight="1" x14ac:dyDescent="0.25">
      <c r="B352" s="2" t="s">
        <v>26</v>
      </c>
      <c r="C352" s="2" t="s">
        <v>54</v>
      </c>
      <c r="D352" s="2" t="s">
        <v>38</v>
      </c>
      <c r="E352" s="2" t="s">
        <v>38</v>
      </c>
      <c r="F352" s="2" t="s">
        <v>55</v>
      </c>
      <c r="G352" s="2" t="s">
        <v>58</v>
      </c>
      <c r="H352" s="57" t="str">
        <f>Table1[[#This Row],[Tabela]]&amp;Table1[[#This Row],[Campo]]</f>
        <v>PROCESSPROCESS_BRANCH_CODE</v>
      </c>
      <c r="I352" s="2" t="s">
        <v>614</v>
      </c>
      <c r="J352" s="43">
        <f>VLOOKUP(Table1[[#This Row],[Status]],Auxiliar!$B$16:$C$24,2,0)</f>
        <v>1</v>
      </c>
      <c r="K352" s="2" t="s">
        <v>1253</v>
      </c>
      <c r="L352" s="29" t="s">
        <v>1258</v>
      </c>
      <c r="M352" s="21" t="s">
        <v>1259</v>
      </c>
      <c r="N352" s="48">
        <v>45499</v>
      </c>
      <c r="O352" s="21">
        <f>INDEX(Auxiliar!$D$5:$F$13,MATCH(Table1[[#This Row],[Tipologia_Testes]],Auxiliar!$B$5:$B$13,0),MATCH(Table1[[#This Row],[Complexidade]],Auxiliar!$D$4:$F$4,0))</f>
        <v>2</v>
      </c>
      <c r="P352" s="2" t="s">
        <v>1272</v>
      </c>
      <c r="Q352" s="2" t="s">
        <v>1269</v>
      </c>
      <c r="R352" s="152">
        <v>45261</v>
      </c>
      <c r="S352" s="152">
        <v>45495</v>
      </c>
      <c r="T352" s="152"/>
      <c r="U352" s="152"/>
      <c r="V352" s="152"/>
      <c r="W352" s="2">
        <f>VLOOKUP(Table1[[#This Row],[Status]],Auxiliar!$B$16:$D$24,3,0)*Table1[[#This Row],[Estimação (horas)]]</f>
        <v>2</v>
      </c>
      <c r="X352" s="2"/>
    </row>
    <row r="353" spans="2:24" ht="17.7" customHeight="1" x14ac:dyDescent="0.25">
      <c r="B353" s="2" t="s">
        <v>26</v>
      </c>
      <c r="C353" s="2" t="s">
        <v>54</v>
      </c>
      <c r="D353" s="2" t="s">
        <v>38</v>
      </c>
      <c r="E353" s="2" t="s">
        <v>38</v>
      </c>
      <c r="F353" s="2" t="s">
        <v>55</v>
      </c>
      <c r="G353" s="2" t="s">
        <v>58</v>
      </c>
      <c r="H353" s="57" t="str">
        <f>Table1[[#This Row],[Tabela]]&amp;Table1[[#This Row],[Campo]]</f>
        <v>PROCESSPROCESS_BRANCH_CODE</v>
      </c>
      <c r="I353" s="2" t="s">
        <v>614</v>
      </c>
      <c r="J353" s="43">
        <f>VLOOKUP(Table1[[#This Row],[Status]],Auxiliar!$B$16:$C$24,2,0)</f>
        <v>1</v>
      </c>
      <c r="K353" s="2" t="s">
        <v>1255</v>
      </c>
      <c r="L353" s="29" t="s">
        <v>1258</v>
      </c>
      <c r="M353" s="21" t="s">
        <v>1259</v>
      </c>
      <c r="N353" s="48">
        <v>45499</v>
      </c>
      <c r="O353" s="21">
        <f>INDEX(Auxiliar!$D$5:$F$13,MATCH(Table1[[#This Row],[Tipologia_Testes]],Auxiliar!$B$5:$B$13,0),MATCH(Table1[[#This Row],[Complexidade]],Auxiliar!$D$4:$F$4,0))</f>
        <v>0.1</v>
      </c>
      <c r="P353" s="2" t="s">
        <v>1272</v>
      </c>
      <c r="Q353" s="2" t="s">
        <v>1269</v>
      </c>
      <c r="R353" s="152">
        <v>45261</v>
      </c>
      <c r="S353" s="152">
        <v>45495</v>
      </c>
      <c r="T353" s="152"/>
      <c r="U353" s="152"/>
      <c r="V353" s="152"/>
      <c r="W353" s="2">
        <f>VLOOKUP(Table1[[#This Row],[Status]],Auxiliar!$B$16:$D$24,3,0)*Table1[[#This Row],[Estimação (horas)]]</f>
        <v>0.1</v>
      </c>
      <c r="X353" s="2"/>
    </row>
    <row r="354" spans="2:24" ht="17.7" customHeight="1" x14ac:dyDescent="0.25">
      <c r="B354" s="2" t="s">
        <v>26</v>
      </c>
      <c r="C354" s="2" t="s">
        <v>54</v>
      </c>
      <c r="D354" s="2" t="s">
        <v>38</v>
      </c>
      <c r="E354" s="2" t="s">
        <v>38</v>
      </c>
      <c r="F354" s="2" t="s">
        <v>55</v>
      </c>
      <c r="G354" s="2" t="s">
        <v>59</v>
      </c>
      <c r="H354" s="57" t="str">
        <f>Table1[[#This Row],[Tabela]]&amp;Table1[[#This Row],[Campo]]</f>
        <v>PROCESSPROCESS_ACCOUNT_ID</v>
      </c>
      <c r="I354" s="2" t="s">
        <v>614</v>
      </c>
      <c r="J354" s="43">
        <f>VLOOKUP(Table1[[#This Row],[Status]],Auxiliar!$B$16:$C$24,2,0)</f>
        <v>1</v>
      </c>
      <c r="K354" s="2" t="s">
        <v>1252</v>
      </c>
      <c r="L354" s="29" t="s">
        <v>1258</v>
      </c>
      <c r="M354" s="21" t="s">
        <v>1259</v>
      </c>
      <c r="N354" s="48">
        <v>45499</v>
      </c>
      <c r="O354" s="21">
        <f>INDEX(Auxiliar!$D$5:$F$13,MATCH(Table1[[#This Row],[Tipologia_Testes]],Auxiliar!$B$5:$B$13,0),MATCH(Table1[[#This Row],[Complexidade]],Auxiliar!$D$4:$F$4,0))</f>
        <v>2</v>
      </c>
      <c r="P354" s="2" t="s">
        <v>1272</v>
      </c>
      <c r="Q354" s="2" t="s">
        <v>1269</v>
      </c>
      <c r="R354" s="152">
        <v>45261</v>
      </c>
      <c r="S354" s="152">
        <v>45495</v>
      </c>
      <c r="T354" s="152"/>
      <c r="U354" s="152"/>
      <c r="V354" s="152"/>
      <c r="W354" s="2">
        <f>VLOOKUP(Table1[[#This Row],[Status]],Auxiliar!$B$16:$D$24,3,0)*Table1[[#This Row],[Estimação (horas)]]</f>
        <v>2</v>
      </c>
      <c r="X354" s="2"/>
    </row>
    <row r="355" spans="2:24" ht="17.7" customHeight="1" x14ac:dyDescent="0.25">
      <c r="B355" s="2" t="s">
        <v>26</v>
      </c>
      <c r="C355" s="2" t="s">
        <v>54</v>
      </c>
      <c r="D355" s="2" t="s">
        <v>38</v>
      </c>
      <c r="E355" s="2" t="s">
        <v>38</v>
      </c>
      <c r="F355" s="2" t="s">
        <v>55</v>
      </c>
      <c r="G355" s="2" t="s">
        <v>59</v>
      </c>
      <c r="H355" s="57" t="str">
        <f>Table1[[#This Row],[Tabela]]&amp;Table1[[#This Row],[Campo]]</f>
        <v>PROCESSPROCESS_ACCOUNT_ID</v>
      </c>
      <c r="I355" s="2" t="s">
        <v>614</v>
      </c>
      <c r="J355" s="43">
        <f>VLOOKUP(Table1[[#This Row],[Status]],Auxiliar!$B$16:$C$24,2,0)</f>
        <v>1</v>
      </c>
      <c r="K355" s="2" t="s">
        <v>1253</v>
      </c>
      <c r="L355" s="29" t="s">
        <v>1258</v>
      </c>
      <c r="M355" s="21" t="s">
        <v>1259</v>
      </c>
      <c r="N355" s="48">
        <v>45499</v>
      </c>
      <c r="O355" s="21">
        <f>INDEX(Auxiliar!$D$5:$F$13,MATCH(Table1[[#This Row],[Tipologia_Testes]],Auxiliar!$B$5:$B$13,0),MATCH(Table1[[#This Row],[Complexidade]],Auxiliar!$D$4:$F$4,0))</f>
        <v>2</v>
      </c>
      <c r="P355" s="2" t="s">
        <v>1272</v>
      </c>
      <c r="Q355" s="2" t="s">
        <v>1269</v>
      </c>
      <c r="R355" s="152">
        <v>45261</v>
      </c>
      <c r="S355" s="152">
        <v>45495</v>
      </c>
      <c r="T355" s="152"/>
      <c r="U355" s="152"/>
      <c r="V355" s="152"/>
      <c r="W355" s="2">
        <f>VLOOKUP(Table1[[#This Row],[Status]],Auxiliar!$B$16:$D$24,3,0)*Table1[[#This Row],[Estimação (horas)]]</f>
        <v>2</v>
      </c>
      <c r="X355" s="2"/>
    </row>
    <row r="356" spans="2:24" ht="17.7" customHeight="1" x14ac:dyDescent="0.25">
      <c r="B356" s="2" t="s">
        <v>26</v>
      </c>
      <c r="C356" s="2" t="s">
        <v>54</v>
      </c>
      <c r="D356" s="2" t="s">
        <v>38</v>
      </c>
      <c r="E356" s="2" t="s">
        <v>38</v>
      </c>
      <c r="F356" s="2" t="s">
        <v>55</v>
      </c>
      <c r="G356" s="2" t="s">
        <v>59</v>
      </c>
      <c r="H356" s="57" t="str">
        <f>Table1[[#This Row],[Tabela]]&amp;Table1[[#This Row],[Campo]]</f>
        <v>PROCESSPROCESS_ACCOUNT_ID</v>
      </c>
      <c r="I356" s="2" t="s">
        <v>614</v>
      </c>
      <c r="J356" s="43">
        <f>VLOOKUP(Table1[[#This Row],[Status]],Auxiliar!$B$16:$C$24,2,0)</f>
        <v>1</v>
      </c>
      <c r="K356" s="2" t="s">
        <v>1255</v>
      </c>
      <c r="L356" s="29" t="s">
        <v>1258</v>
      </c>
      <c r="M356" s="21" t="s">
        <v>1259</v>
      </c>
      <c r="N356" s="48">
        <v>45499</v>
      </c>
      <c r="O356" s="21">
        <f>INDEX(Auxiliar!$D$5:$F$13,MATCH(Table1[[#This Row],[Tipologia_Testes]],Auxiliar!$B$5:$B$13,0),MATCH(Table1[[#This Row],[Complexidade]],Auxiliar!$D$4:$F$4,0))</f>
        <v>0.1</v>
      </c>
      <c r="P356" s="2" t="s">
        <v>1272</v>
      </c>
      <c r="Q356" s="2" t="s">
        <v>1269</v>
      </c>
      <c r="R356" s="152">
        <v>45261</v>
      </c>
      <c r="S356" s="152">
        <v>45495</v>
      </c>
      <c r="T356" s="152"/>
      <c r="U356" s="152"/>
      <c r="V356" s="152"/>
      <c r="W356" s="2">
        <f>VLOOKUP(Table1[[#This Row],[Status]],Auxiliar!$B$16:$D$24,3,0)*Table1[[#This Row],[Estimação (horas)]]</f>
        <v>0.1</v>
      </c>
      <c r="X356" s="2"/>
    </row>
    <row r="357" spans="2:24" ht="17.7" customHeight="1" x14ac:dyDescent="0.25">
      <c r="B357" s="2" t="s">
        <v>26</v>
      </c>
      <c r="C357" s="2" t="s">
        <v>54</v>
      </c>
      <c r="D357" s="2" t="s">
        <v>38</v>
      </c>
      <c r="E357" s="2" t="s">
        <v>38</v>
      </c>
      <c r="F357" s="2" t="s">
        <v>55</v>
      </c>
      <c r="G357" s="2" t="s">
        <v>60</v>
      </c>
      <c r="H357" s="57" t="str">
        <f>Table1[[#This Row],[Tabela]]&amp;Table1[[#This Row],[Campo]]</f>
        <v>PROCESScod_estd_prcs</v>
      </c>
      <c r="I357" s="2" t="s">
        <v>613</v>
      </c>
      <c r="J357" s="43">
        <f>VLOOKUP(Table1[[#This Row],[Status]],Auxiliar!$B$16:$C$24,2,0)</f>
        <v>0</v>
      </c>
      <c r="K357" s="2" t="s">
        <v>1252</v>
      </c>
      <c r="L357" s="29" t="s">
        <v>1270</v>
      </c>
      <c r="M357" s="21" t="s">
        <v>1259</v>
      </c>
      <c r="N357" s="48">
        <v>45485</v>
      </c>
      <c r="O357" s="21">
        <f>INDEX(Auxiliar!$D$5:$F$13,MATCH(Table1[[#This Row],[Tipologia_Testes]],Auxiliar!$B$5:$B$13,0),MATCH(Table1[[#This Row],[Complexidade]],Auxiliar!$D$4:$F$4,0))</f>
        <v>2</v>
      </c>
      <c r="P357" s="2" t="s">
        <v>1278</v>
      </c>
      <c r="Q357" s="2"/>
      <c r="R357" s="152">
        <v>45425</v>
      </c>
      <c r="S357" s="152"/>
      <c r="T357" s="152"/>
      <c r="U357" s="152"/>
      <c r="V357" s="152"/>
      <c r="W357" s="2">
        <f>VLOOKUP(Table1[[#This Row],[Status]],Auxiliar!$B$16:$D$24,3,0)*Table1[[#This Row],[Estimação (horas)]]</f>
        <v>0</v>
      </c>
      <c r="X357" s="2"/>
    </row>
    <row r="358" spans="2:24" ht="17.7" customHeight="1" x14ac:dyDescent="0.25">
      <c r="B358" s="2" t="s">
        <v>26</v>
      </c>
      <c r="C358" s="2" t="s">
        <v>54</v>
      </c>
      <c r="D358" s="2" t="s">
        <v>38</v>
      </c>
      <c r="E358" s="2" t="s">
        <v>38</v>
      </c>
      <c r="F358" s="2" t="s">
        <v>55</v>
      </c>
      <c r="G358" s="2" t="s">
        <v>61</v>
      </c>
      <c r="H358" s="57" t="str">
        <f>Table1[[#This Row],[Tabela]]&amp;Table1[[#This Row],[Campo]]</f>
        <v>PROCESSGUARANTEE_CODE</v>
      </c>
      <c r="I358" s="2" t="s">
        <v>614</v>
      </c>
      <c r="J358" s="43">
        <f>VLOOKUP(Table1[[#This Row],[Status]],Auxiliar!$B$16:$C$24,2,0)</f>
        <v>1</v>
      </c>
      <c r="K358" s="2" t="s">
        <v>1252</v>
      </c>
      <c r="L358" s="29" t="s">
        <v>1258</v>
      </c>
      <c r="M358" s="21" t="s">
        <v>1259</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7" customHeight="1" x14ac:dyDescent="0.25">
      <c r="B359" s="2" t="s">
        <v>26</v>
      </c>
      <c r="C359" s="2" t="s">
        <v>54</v>
      </c>
      <c r="D359" s="2" t="s">
        <v>38</v>
      </c>
      <c r="E359" s="2" t="s">
        <v>38</v>
      </c>
      <c r="F359" s="2" t="s">
        <v>55</v>
      </c>
      <c r="G359" s="2" t="s">
        <v>61</v>
      </c>
      <c r="H359" s="57" t="str">
        <f>Table1[[#This Row],[Tabela]]&amp;Table1[[#This Row],[Campo]]</f>
        <v>PROCESSGUARANTEE_CODE</v>
      </c>
      <c r="I359" s="2" t="s">
        <v>614</v>
      </c>
      <c r="J359" s="43">
        <f>VLOOKUP(Table1[[#This Row],[Status]],Auxiliar!$B$16:$C$24,2,0)</f>
        <v>1</v>
      </c>
      <c r="K359" s="2" t="s">
        <v>1253</v>
      </c>
      <c r="L359" s="29" t="s">
        <v>1258</v>
      </c>
      <c r="M359" s="21" t="s">
        <v>1259</v>
      </c>
      <c r="N359" s="48">
        <v>45512</v>
      </c>
      <c r="O359" s="21">
        <f>INDEX(Auxiliar!$D$5:$F$13,MATCH(Table1[[#This Row],[Tipologia_Testes]],Auxiliar!$B$5:$B$13,0),MATCH(Table1[[#This Row],[Complexidade]],Auxiliar!$D$4:$F$4,0))</f>
        <v>2</v>
      </c>
      <c r="P359" s="2"/>
      <c r="Q359" s="2"/>
      <c r="R359" s="152">
        <v>45261</v>
      </c>
      <c r="S359" s="152"/>
      <c r="T359" s="152"/>
      <c r="U359" s="152"/>
      <c r="V359" s="152"/>
      <c r="W359" s="2">
        <f>VLOOKUP(Table1[[#This Row],[Status]],Auxiliar!$B$16:$D$24,3,0)*Table1[[#This Row],[Estimação (horas)]]</f>
        <v>2</v>
      </c>
      <c r="X359" s="2"/>
    </row>
    <row r="360" spans="2:24" ht="17.7" customHeight="1" x14ac:dyDescent="0.25">
      <c r="B360" s="2" t="s">
        <v>26</v>
      </c>
      <c r="C360" s="2" t="s">
        <v>54</v>
      </c>
      <c r="D360" s="2" t="s">
        <v>38</v>
      </c>
      <c r="E360" s="2" t="s">
        <v>38</v>
      </c>
      <c r="F360" s="2" t="s">
        <v>55</v>
      </c>
      <c r="G360" s="2" t="s">
        <v>61</v>
      </c>
      <c r="H360" s="57" t="str">
        <f>Table1[[#This Row],[Tabela]]&amp;Table1[[#This Row],[Campo]]</f>
        <v>PROCESSGUARANTEE_CODE</v>
      </c>
      <c r="I360" s="2" t="s">
        <v>614</v>
      </c>
      <c r="J360" s="43">
        <f>VLOOKUP(Table1[[#This Row],[Status]],Auxiliar!$B$16:$C$24,2,0)</f>
        <v>1</v>
      </c>
      <c r="K360" s="2" t="s">
        <v>1255</v>
      </c>
      <c r="L360" s="29" t="s">
        <v>1258</v>
      </c>
      <c r="M360" s="21" t="s">
        <v>1259</v>
      </c>
      <c r="N360" s="48">
        <v>45512</v>
      </c>
      <c r="O360" s="21">
        <f>INDEX(Auxiliar!$D$5:$F$13,MATCH(Table1[[#This Row],[Tipologia_Testes]],Auxiliar!$B$5:$B$13,0),MATCH(Table1[[#This Row],[Complexidade]],Auxiliar!$D$4:$F$4,0))</f>
        <v>0.1</v>
      </c>
      <c r="P360" s="2"/>
      <c r="Q360" s="2"/>
      <c r="R360" s="152">
        <v>45261</v>
      </c>
      <c r="S360" s="152"/>
      <c r="T360" s="152"/>
      <c r="U360" s="152"/>
      <c r="V360" s="152"/>
      <c r="W360" s="2">
        <f>VLOOKUP(Table1[[#This Row],[Status]],Auxiliar!$B$16:$D$24,3,0)*Table1[[#This Row],[Estimação (horas)]]</f>
        <v>0.1</v>
      </c>
      <c r="X360" s="2"/>
    </row>
    <row r="361" spans="2:24" ht="17.7" customHeight="1" x14ac:dyDescent="0.25">
      <c r="B361" s="2" t="s">
        <v>26</v>
      </c>
      <c r="C361" s="2" t="s">
        <v>54</v>
      </c>
      <c r="D361" s="2" t="s">
        <v>38</v>
      </c>
      <c r="E361" s="2" t="s">
        <v>38</v>
      </c>
      <c r="F361" s="2" t="s">
        <v>55</v>
      </c>
      <c r="G361" s="2" t="s">
        <v>62</v>
      </c>
      <c r="H361" s="57" t="str">
        <f>Table1[[#This Row],[Tabela]]&amp;Table1[[#This Row],[Campo]]</f>
        <v>PROCESSCURRENCY_CODE</v>
      </c>
      <c r="I361" s="2" t="s">
        <v>614</v>
      </c>
      <c r="J361" s="43">
        <f>VLOOKUP(Table1[[#This Row],[Status]],Auxiliar!$B$16:$C$24,2,0)</f>
        <v>1</v>
      </c>
      <c r="K361" s="2" t="s">
        <v>1252</v>
      </c>
      <c r="L361" s="29" t="s">
        <v>1258</v>
      </c>
      <c r="M361" s="21" t="s">
        <v>1259</v>
      </c>
      <c r="N361" s="48">
        <v>45512</v>
      </c>
      <c r="O361" s="21">
        <f>INDEX(Auxiliar!$D$5:$F$13,MATCH(Table1[[#This Row],[Tipologia_Testes]],Auxiliar!$B$5:$B$13,0),MATCH(Table1[[#This Row],[Complexidade]],Auxiliar!$D$4:$F$4,0))</f>
        <v>2</v>
      </c>
      <c r="P361" s="2"/>
      <c r="Q361" s="2"/>
      <c r="R361" s="152">
        <v>45512</v>
      </c>
      <c r="S361" s="152"/>
      <c r="T361" s="152">
        <v>45512</v>
      </c>
      <c r="U361" s="152">
        <v>45526</v>
      </c>
      <c r="V361" s="152"/>
      <c r="W361" s="2">
        <f>VLOOKUP(Table1[[#This Row],[Status]],Auxiliar!$B$16:$D$24,3,0)*Table1[[#This Row],[Estimação (horas)]]</f>
        <v>2</v>
      </c>
      <c r="X361" s="2"/>
    </row>
    <row r="362" spans="2:24" ht="17.7" customHeight="1" x14ac:dyDescent="0.25">
      <c r="B362" s="2" t="s">
        <v>26</v>
      </c>
      <c r="C362" s="2" t="s">
        <v>54</v>
      </c>
      <c r="D362" s="2" t="s">
        <v>38</v>
      </c>
      <c r="E362" s="2" t="s">
        <v>38</v>
      </c>
      <c r="F362" s="2" t="s">
        <v>55</v>
      </c>
      <c r="G362" s="2" t="s">
        <v>62</v>
      </c>
      <c r="H362" s="57" t="str">
        <f>Table1[[#This Row],[Tabela]]&amp;Table1[[#This Row],[Campo]]</f>
        <v>PROCESSCURRENCY_CODE</v>
      </c>
      <c r="I362" s="2" t="s">
        <v>614</v>
      </c>
      <c r="J362" s="43">
        <f>VLOOKUP(Table1[[#This Row],[Status]],Auxiliar!$B$16:$C$24,2,0)</f>
        <v>1</v>
      </c>
      <c r="K362" s="2" t="s">
        <v>1253</v>
      </c>
      <c r="L362" s="29" t="s">
        <v>1258</v>
      </c>
      <c r="M362" s="21" t="s">
        <v>1259</v>
      </c>
      <c r="N362" s="48">
        <v>45512</v>
      </c>
      <c r="O362" s="21">
        <f>INDEX(Auxiliar!$D$5:$F$13,MATCH(Table1[[#This Row],[Tipologia_Testes]],Auxiliar!$B$5:$B$13,0),MATCH(Table1[[#This Row],[Complexidade]],Auxiliar!$D$4:$F$4,0))</f>
        <v>2</v>
      </c>
      <c r="P362" s="2"/>
      <c r="Q362" s="2"/>
      <c r="R362" s="152">
        <v>45512</v>
      </c>
      <c r="S362" s="152"/>
      <c r="T362" s="152"/>
      <c r="U362" s="152"/>
      <c r="V362" s="152"/>
      <c r="W362" s="2">
        <f>VLOOKUP(Table1[[#This Row],[Status]],Auxiliar!$B$16:$D$24,3,0)*Table1[[#This Row],[Estimação (horas)]]</f>
        <v>2</v>
      </c>
      <c r="X362" s="2"/>
    </row>
    <row r="363" spans="2:24" ht="17.7" customHeight="1" x14ac:dyDescent="0.25">
      <c r="B363" s="2" t="s">
        <v>26</v>
      </c>
      <c r="C363" s="2" t="s">
        <v>54</v>
      </c>
      <c r="D363" s="2" t="s">
        <v>38</v>
      </c>
      <c r="E363" s="2" t="s">
        <v>38</v>
      </c>
      <c r="F363" s="2" t="s">
        <v>55</v>
      </c>
      <c r="G363" s="2" t="s">
        <v>62</v>
      </c>
      <c r="H363" s="57" t="str">
        <f>Table1[[#This Row],[Tabela]]&amp;Table1[[#This Row],[Campo]]</f>
        <v>PROCESSCURRENCY_CODE</v>
      </c>
      <c r="I363" s="2" t="s">
        <v>614</v>
      </c>
      <c r="J363" s="43">
        <f>VLOOKUP(Table1[[#This Row],[Status]],Auxiliar!$B$16:$C$24,2,0)</f>
        <v>1</v>
      </c>
      <c r="K363" s="2" t="s">
        <v>1255</v>
      </c>
      <c r="L363" s="29" t="s">
        <v>1258</v>
      </c>
      <c r="M363" s="21" t="s">
        <v>1259</v>
      </c>
      <c r="N363" s="48">
        <v>45512</v>
      </c>
      <c r="O363" s="21">
        <f>INDEX(Auxiliar!$D$5:$F$13,MATCH(Table1[[#This Row],[Tipologia_Testes]],Auxiliar!$B$5:$B$13,0),MATCH(Table1[[#This Row],[Complexidade]],Auxiliar!$D$4:$F$4,0))</f>
        <v>0.1</v>
      </c>
      <c r="P363" s="2"/>
      <c r="Q363" s="2"/>
      <c r="R363" s="152">
        <v>45512</v>
      </c>
      <c r="S363" s="152"/>
      <c r="T363" s="152"/>
      <c r="U363" s="152"/>
      <c r="V363" s="152"/>
      <c r="W363" s="2">
        <f>VLOOKUP(Table1[[#This Row],[Status]],Auxiliar!$B$16:$D$24,3,0)*Table1[[#This Row],[Estimação (horas)]]</f>
        <v>0.1</v>
      </c>
      <c r="X363" s="2"/>
    </row>
    <row r="364" spans="2:24" ht="17.7" customHeight="1" x14ac:dyDescent="0.25">
      <c r="B364" s="2" t="s">
        <v>26</v>
      </c>
      <c r="C364" s="2" t="s">
        <v>54</v>
      </c>
      <c r="D364" s="2" t="s">
        <v>38</v>
      </c>
      <c r="E364" s="2" t="s">
        <v>38</v>
      </c>
      <c r="F364" s="2" t="s">
        <v>55</v>
      </c>
      <c r="G364" s="2" t="s">
        <v>63</v>
      </c>
      <c r="H364" s="57" t="str">
        <f>Table1[[#This Row],[Tabela]]&amp;Table1[[#This Row],[Campo]]</f>
        <v>PROCESSPROCESS_CAMPAIGN_CODE</v>
      </c>
      <c r="I364" s="2" t="s">
        <v>614</v>
      </c>
      <c r="J364" s="43">
        <f>VLOOKUP(Table1[[#This Row],[Status]],Auxiliar!$B$16:$C$24,2,0)</f>
        <v>1</v>
      </c>
      <c r="K364" s="2" t="s">
        <v>1252</v>
      </c>
      <c r="L364" s="29" t="s">
        <v>1258</v>
      </c>
      <c r="M364" s="21" t="s">
        <v>1259</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customHeight="1" x14ac:dyDescent="0.25">
      <c r="B365" s="2" t="s">
        <v>26</v>
      </c>
      <c r="C365" s="2" t="s">
        <v>54</v>
      </c>
      <c r="D365" s="2" t="s">
        <v>38</v>
      </c>
      <c r="E365" s="2" t="s">
        <v>38</v>
      </c>
      <c r="F365" s="2" t="s">
        <v>55</v>
      </c>
      <c r="G365" s="2" t="s">
        <v>63</v>
      </c>
      <c r="H365" s="57" t="str">
        <f>Table1[[#This Row],[Tabela]]&amp;Table1[[#This Row],[Campo]]</f>
        <v>PROCESSPROCESS_CAMPAIGN_CODE</v>
      </c>
      <c r="I365" s="2" t="s">
        <v>614</v>
      </c>
      <c r="J365" s="43">
        <f>VLOOKUP(Table1[[#This Row],[Status]],Auxiliar!$B$16:$C$24,2,0)</f>
        <v>1</v>
      </c>
      <c r="K365" s="2" t="s">
        <v>1253</v>
      </c>
      <c r="L365" s="29" t="s">
        <v>1258</v>
      </c>
      <c r="M365" s="21" t="s">
        <v>1259</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customHeight="1" x14ac:dyDescent="0.25">
      <c r="B366" s="2" t="s">
        <v>26</v>
      </c>
      <c r="C366" s="2" t="s">
        <v>54</v>
      </c>
      <c r="D366" s="2" t="s">
        <v>38</v>
      </c>
      <c r="E366" s="2" t="s">
        <v>38</v>
      </c>
      <c r="F366" s="2" t="s">
        <v>55</v>
      </c>
      <c r="G366" s="2" t="s">
        <v>63</v>
      </c>
      <c r="H366" s="57" t="str">
        <f>Table1[[#This Row],[Tabela]]&amp;Table1[[#This Row],[Campo]]</f>
        <v>PROCESSPROCESS_CAMPAIGN_CODE</v>
      </c>
      <c r="I366" s="2" t="s">
        <v>614</v>
      </c>
      <c r="J366" s="43">
        <f>VLOOKUP(Table1[[#This Row],[Status]],Auxiliar!$B$16:$C$24,2,0)</f>
        <v>1</v>
      </c>
      <c r="K366" s="2" t="s">
        <v>1255</v>
      </c>
      <c r="L366" s="29" t="s">
        <v>1258</v>
      </c>
      <c r="M366" s="21" t="s">
        <v>1259</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customHeight="1" x14ac:dyDescent="0.25">
      <c r="B367" s="2" t="s">
        <v>26</v>
      </c>
      <c r="C367" s="2" t="s">
        <v>54</v>
      </c>
      <c r="D367" s="2" t="s">
        <v>38</v>
      </c>
      <c r="E367" s="2" t="s">
        <v>38</v>
      </c>
      <c r="F367" s="2" t="s">
        <v>55</v>
      </c>
      <c r="G367" s="2" t="s">
        <v>64</v>
      </c>
      <c r="H367" s="57" t="str">
        <f>Table1[[#This Row],[Tabela]]&amp;Table1[[#This Row],[Campo]]</f>
        <v>PROCESSPROCESS_PRODUCT_ID</v>
      </c>
      <c r="I367" s="2" t="s">
        <v>614</v>
      </c>
      <c r="J367" s="43">
        <f>VLOOKUP(Table1[[#This Row],[Status]],Auxiliar!$B$16:$C$24,2,0)</f>
        <v>1</v>
      </c>
      <c r="K367" s="2" t="s">
        <v>1252</v>
      </c>
      <c r="L367" s="29" t="s">
        <v>1258</v>
      </c>
      <c r="M367" s="21" t="s">
        <v>1259</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customHeight="1" x14ac:dyDescent="0.25">
      <c r="B368" s="2" t="s">
        <v>26</v>
      </c>
      <c r="C368" s="2" t="s">
        <v>54</v>
      </c>
      <c r="D368" s="2" t="s">
        <v>38</v>
      </c>
      <c r="E368" s="2" t="s">
        <v>38</v>
      </c>
      <c r="F368" s="2" t="s">
        <v>55</v>
      </c>
      <c r="G368" s="2" t="s">
        <v>64</v>
      </c>
      <c r="H368" s="57" t="str">
        <f>Table1[[#This Row],[Tabela]]&amp;Table1[[#This Row],[Campo]]</f>
        <v>PROCESSPROCESS_PRODUCT_ID</v>
      </c>
      <c r="I368" s="2" t="s">
        <v>614</v>
      </c>
      <c r="J368" s="43">
        <f>VLOOKUP(Table1[[#This Row],[Status]],Auxiliar!$B$16:$C$24,2,0)</f>
        <v>1</v>
      </c>
      <c r="K368" s="2" t="s">
        <v>1253</v>
      </c>
      <c r="L368" s="29" t="s">
        <v>1258</v>
      </c>
      <c r="M368" s="21" t="s">
        <v>1259</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customHeight="1" x14ac:dyDescent="0.25">
      <c r="B369" s="2" t="s">
        <v>26</v>
      </c>
      <c r="C369" s="2" t="s">
        <v>54</v>
      </c>
      <c r="D369" s="2" t="s">
        <v>38</v>
      </c>
      <c r="E369" s="2" t="s">
        <v>38</v>
      </c>
      <c r="F369" s="2" t="s">
        <v>55</v>
      </c>
      <c r="G369" s="2" t="s">
        <v>64</v>
      </c>
      <c r="H369" s="57" t="str">
        <f>Table1[[#This Row],[Tabela]]&amp;Table1[[#This Row],[Campo]]</f>
        <v>PROCESSPROCESS_PRODUCT_ID</v>
      </c>
      <c r="I369" s="2" t="s">
        <v>614</v>
      </c>
      <c r="J369" s="43">
        <f>VLOOKUP(Table1[[#This Row],[Status]],Auxiliar!$B$16:$C$24,2,0)</f>
        <v>1</v>
      </c>
      <c r="K369" s="2" t="s">
        <v>1255</v>
      </c>
      <c r="L369" s="29" t="s">
        <v>1258</v>
      </c>
      <c r="M369" s="21" t="s">
        <v>1259</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customHeight="1" x14ac:dyDescent="0.25">
      <c r="B370" s="2" t="s">
        <v>26</v>
      </c>
      <c r="C370" s="2" t="s">
        <v>54</v>
      </c>
      <c r="D370" s="2" t="s">
        <v>38</v>
      </c>
      <c r="E370" s="2" t="s">
        <v>38</v>
      </c>
      <c r="F370" s="2" t="s">
        <v>55</v>
      </c>
      <c r="G370" s="2" t="s">
        <v>65</v>
      </c>
      <c r="H370" s="57" t="str">
        <f>Table1[[#This Row],[Tabela]]&amp;Table1[[#This Row],[Campo]]</f>
        <v>PROCESSPROCESS_SUBPRODUCT_ID</v>
      </c>
      <c r="I370" s="2" t="s">
        <v>614</v>
      </c>
      <c r="J370" s="43">
        <f>VLOOKUP(Table1[[#This Row],[Status]],Auxiliar!$B$16:$C$24,2,0)</f>
        <v>1</v>
      </c>
      <c r="K370" s="2" t="s">
        <v>1252</v>
      </c>
      <c r="L370" s="29" t="s">
        <v>1258</v>
      </c>
      <c r="M370" s="21" t="s">
        <v>1259</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customHeight="1" x14ac:dyDescent="0.25">
      <c r="B371" s="2" t="s">
        <v>26</v>
      </c>
      <c r="C371" s="2" t="s">
        <v>54</v>
      </c>
      <c r="D371" s="2" t="s">
        <v>38</v>
      </c>
      <c r="E371" s="2" t="s">
        <v>38</v>
      </c>
      <c r="F371" s="2" t="s">
        <v>55</v>
      </c>
      <c r="G371" s="2" t="s">
        <v>65</v>
      </c>
      <c r="H371" s="57" t="str">
        <f>Table1[[#This Row],[Tabela]]&amp;Table1[[#This Row],[Campo]]</f>
        <v>PROCESSPROCESS_SUBPRODUCT_ID</v>
      </c>
      <c r="I371" s="2" t="s">
        <v>614</v>
      </c>
      <c r="J371" s="43">
        <f>VLOOKUP(Table1[[#This Row],[Status]],Auxiliar!$B$16:$C$24,2,0)</f>
        <v>1</v>
      </c>
      <c r="K371" s="2" t="s">
        <v>1253</v>
      </c>
      <c r="L371" s="29" t="s">
        <v>1258</v>
      </c>
      <c r="M371" s="21" t="s">
        <v>1259</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customHeight="1" x14ac:dyDescent="0.25">
      <c r="B372" s="2" t="s">
        <v>26</v>
      </c>
      <c r="C372" s="2" t="s">
        <v>54</v>
      </c>
      <c r="D372" s="2" t="s">
        <v>38</v>
      </c>
      <c r="E372" s="2" t="s">
        <v>38</v>
      </c>
      <c r="F372" s="2" t="s">
        <v>55</v>
      </c>
      <c r="G372" s="2" t="s">
        <v>65</v>
      </c>
      <c r="H372" s="57" t="str">
        <f>Table1[[#This Row],[Tabela]]&amp;Table1[[#This Row],[Campo]]</f>
        <v>PROCESSPROCESS_SUBPRODUCT_ID</v>
      </c>
      <c r="I372" s="2" t="s">
        <v>614</v>
      </c>
      <c r="J372" s="43">
        <f>VLOOKUP(Table1[[#This Row],[Status]],Auxiliar!$B$16:$C$24,2,0)</f>
        <v>1</v>
      </c>
      <c r="K372" s="2" t="s">
        <v>1255</v>
      </c>
      <c r="L372" s="29" t="s">
        <v>1258</v>
      </c>
      <c r="M372" s="21" t="s">
        <v>1259</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customHeight="1" x14ac:dyDescent="0.25">
      <c r="B373" s="2" t="s">
        <v>26</v>
      </c>
      <c r="C373" s="2" t="s">
        <v>54</v>
      </c>
      <c r="D373" s="2" t="s">
        <v>38</v>
      </c>
      <c r="E373" s="2" t="s">
        <v>38</v>
      </c>
      <c r="F373" s="2" t="s">
        <v>55</v>
      </c>
      <c r="G373" s="2" t="s">
        <v>66</v>
      </c>
      <c r="H373" s="57" t="str">
        <f>Table1[[#This Row],[Tabela]]&amp;Table1[[#This Row],[Campo]]</f>
        <v>PROCESSGUARANTEE_TYPE_CODE</v>
      </c>
      <c r="I373" s="2" t="s">
        <v>614</v>
      </c>
      <c r="J373" s="43">
        <f>VLOOKUP(Table1[[#This Row],[Status]],Auxiliar!$B$16:$C$24,2,0)</f>
        <v>1</v>
      </c>
      <c r="K373" s="2" t="s">
        <v>1252</v>
      </c>
      <c r="L373" s="29" t="s">
        <v>1258</v>
      </c>
      <c r="M373" s="21" t="s">
        <v>1259</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customHeight="1" x14ac:dyDescent="0.25">
      <c r="B374" s="2" t="s">
        <v>26</v>
      </c>
      <c r="C374" s="2" t="s">
        <v>54</v>
      </c>
      <c r="D374" s="2" t="s">
        <v>38</v>
      </c>
      <c r="E374" s="2" t="s">
        <v>38</v>
      </c>
      <c r="F374" s="2" t="s">
        <v>55</v>
      </c>
      <c r="G374" s="2" t="s">
        <v>66</v>
      </c>
      <c r="H374" s="57" t="str">
        <f>Table1[[#This Row],[Tabela]]&amp;Table1[[#This Row],[Campo]]</f>
        <v>PROCESSGUARANTEE_TYPE_CODE</v>
      </c>
      <c r="I374" s="2" t="s">
        <v>614</v>
      </c>
      <c r="J374" s="43">
        <f>VLOOKUP(Table1[[#This Row],[Status]],Auxiliar!$B$16:$C$24,2,0)</f>
        <v>1</v>
      </c>
      <c r="K374" s="2" t="s">
        <v>1253</v>
      </c>
      <c r="L374" s="29" t="s">
        <v>1258</v>
      </c>
      <c r="M374" s="21" t="s">
        <v>1259</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customHeight="1" x14ac:dyDescent="0.25">
      <c r="B375" s="2" t="s">
        <v>26</v>
      </c>
      <c r="C375" s="2" t="s">
        <v>54</v>
      </c>
      <c r="D375" s="2" t="s">
        <v>38</v>
      </c>
      <c r="E375" s="2" t="s">
        <v>38</v>
      </c>
      <c r="F375" s="2" t="s">
        <v>55</v>
      </c>
      <c r="G375" s="2" t="s">
        <v>66</v>
      </c>
      <c r="H375" s="57" t="str">
        <f>Table1[[#This Row],[Tabela]]&amp;Table1[[#This Row],[Campo]]</f>
        <v>PROCESSGUARANTEE_TYPE_CODE</v>
      </c>
      <c r="I375" s="2" t="s">
        <v>614</v>
      </c>
      <c r="J375" s="43">
        <f>VLOOKUP(Table1[[#This Row],[Status]],Auxiliar!$B$16:$C$24,2,0)</f>
        <v>1</v>
      </c>
      <c r="K375" s="2" t="s">
        <v>1255</v>
      </c>
      <c r="L375" s="29" t="s">
        <v>1258</v>
      </c>
      <c r="M375" s="21" t="s">
        <v>1259</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customHeight="1" x14ac:dyDescent="0.25">
      <c r="B376" s="2" t="s">
        <v>26</v>
      </c>
      <c r="C376" s="2" t="s">
        <v>54</v>
      </c>
      <c r="D376" s="2" t="s">
        <v>38</v>
      </c>
      <c r="E376" s="2" t="s">
        <v>38</v>
      </c>
      <c r="F376" s="2" t="s">
        <v>55</v>
      </c>
      <c r="G376" s="2" t="s">
        <v>67</v>
      </c>
      <c r="H376" s="57" t="str">
        <f>Table1[[#This Row],[Tabela]]&amp;Table1[[#This Row],[Campo]]</f>
        <v>PROCESSPROCESS_REFERENCE_CODE</v>
      </c>
      <c r="I376" s="2" t="s">
        <v>614</v>
      </c>
      <c r="J376" s="43">
        <f>VLOOKUP(Table1[[#This Row],[Status]],Auxiliar!$B$16:$C$24,2,0)</f>
        <v>1</v>
      </c>
      <c r="K376" s="2" t="s">
        <v>1252</v>
      </c>
      <c r="L376" s="29" t="s">
        <v>1258</v>
      </c>
      <c r="M376" s="21" t="s">
        <v>1259</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customHeight="1" x14ac:dyDescent="0.25">
      <c r="B377" s="2" t="s">
        <v>26</v>
      </c>
      <c r="C377" s="2" t="s">
        <v>54</v>
      </c>
      <c r="D377" s="2" t="s">
        <v>38</v>
      </c>
      <c r="E377" s="2" t="s">
        <v>38</v>
      </c>
      <c r="F377" s="2" t="s">
        <v>55</v>
      </c>
      <c r="G377" s="2" t="s">
        <v>67</v>
      </c>
      <c r="H377" s="57" t="str">
        <f>Table1[[#This Row],[Tabela]]&amp;Table1[[#This Row],[Campo]]</f>
        <v>PROCESSPROCESS_REFERENCE_CODE</v>
      </c>
      <c r="I377" s="2" t="s">
        <v>614</v>
      </c>
      <c r="J377" s="43">
        <f>VLOOKUP(Table1[[#This Row],[Status]],Auxiliar!$B$16:$C$24,2,0)</f>
        <v>1</v>
      </c>
      <c r="K377" s="2" t="s">
        <v>1253</v>
      </c>
      <c r="L377" s="29" t="s">
        <v>1258</v>
      </c>
      <c r="M377" s="21" t="s">
        <v>1259</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customHeight="1" x14ac:dyDescent="0.25">
      <c r="B378" s="2" t="s">
        <v>26</v>
      </c>
      <c r="C378" s="2" t="s">
        <v>54</v>
      </c>
      <c r="D378" s="2" t="s">
        <v>38</v>
      </c>
      <c r="E378" s="2" t="s">
        <v>38</v>
      </c>
      <c r="F378" s="2" t="s">
        <v>55</v>
      </c>
      <c r="G378" s="2" t="s">
        <v>67</v>
      </c>
      <c r="H378" s="57" t="str">
        <f>Table1[[#This Row],[Tabela]]&amp;Table1[[#This Row],[Campo]]</f>
        <v>PROCESSPROCESS_REFERENCE_CODE</v>
      </c>
      <c r="I378" s="2" t="s">
        <v>614</v>
      </c>
      <c r="J378" s="43">
        <f>VLOOKUP(Table1[[#This Row],[Status]],Auxiliar!$B$16:$C$24,2,0)</f>
        <v>1</v>
      </c>
      <c r="K378" s="2" t="s">
        <v>1255</v>
      </c>
      <c r="L378" s="29" t="s">
        <v>1258</v>
      </c>
      <c r="M378" s="21" t="s">
        <v>1259</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customHeight="1" x14ac:dyDescent="0.25">
      <c r="B379" s="2" t="s">
        <v>26</v>
      </c>
      <c r="C379" s="2" t="s">
        <v>54</v>
      </c>
      <c r="D379" s="2" t="s">
        <v>38</v>
      </c>
      <c r="E379" s="2" t="s">
        <v>38</v>
      </c>
      <c r="F379" s="2" t="s">
        <v>55</v>
      </c>
      <c r="G379" s="2" t="s">
        <v>68</v>
      </c>
      <c r="H379" s="57" t="str">
        <f>Table1[[#This Row],[Tabela]]&amp;Table1[[#This Row],[Campo]]</f>
        <v>PROCESSPROCESS_START_DATE</v>
      </c>
      <c r="I379" s="2" t="s">
        <v>614</v>
      </c>
      <c r="J379" s="43">
        <f>VLOOKUP(Table1[[#This Row],[Status]],Auxiliar!$B$16:$C$24,2,0)</f>
        <v>1</v>
      </c>
      <c r="K379" s="2" t="s">
        <v>1252</v>
      </c>
      <c r="L379" s="29" t="s">
        <v>1258</v>
      </c>
      <c r="M379" s="21" t="s">
        <v>1259</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customHeight="1" x14ac:dyDescent="0.25">
      <c r="B380" s="2" t="s">
        <v>26</v>
      </c>
      <c r="C380" s="2" t="s">
        <v>54</v>
      </c>
      <c r="D380" s="2" t="s">
        <v>38</v>
      </c>
      <c r="E380" s="2" t="s">
        <v>38</v>
      </c>
      <c r="F380" s="2" t="s">
        <v>55</v>
      </c>
      <c r="G380" s="2" t="s">
        <v>68</v>
      </c>
      <c r="H380" s="57" t="str">
        <f>Table1[[#This Row],[Tabela]]&amp;Table1[[#This Row],[Campo]]</f>
        <v>PROCESSPROCESS_START_DATE</v>
      </c>
      <c r="I380" s="2" t="s">
        <v>614</v>
      </c>
      <c r="J380" s="43">
        <f>VLOOKUP(Table1[[#This Row],[Status]],Auxiliar!$B$16:$C$24,2,0)</f>
        <v>1</v>
      </c>
      <c r="K380" s="2" t="s">
        <v>1253</v>
      </c>
      <c r="L380" s="29" t="s">
        <v>1258</v>
      </c>
      <c r="M380" s="21" t="s">
        <v>1259</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customHeight="1" x14ac:dyDescent="0.25">
      <c r="B381" s="2" t="s">
        <v>26</v>
      </c>
      <c r="C381" s="2" t="s">
        <v>54</v>
      </c>
      <c r="D381" s="2" t="s">
        <v>38</v>
      </c>
      <c r="E381" s="2" t="s">
        <v>38</v>
      </c>
      <c r="F381" s="2" t="s">
        <v>55</v>
      </c>
      <c r="G381" s="2" t="s">
        <v>68</v>
      </c>
      <c r="H381" s="57" t="str">
        <f>Table1[[#This Row],[Tabela]]&amp;Table1[[#This Row],[Campo]]</f>
        <v>PROCESSPROCESS_START_DATE</v>
      </c>
      <c r="I381" s="2" t="s">
        <v>614</v>
      </c>
      <c r="J381" s="43">
        <f>VLOOKUP(Table1[[#This Row],[Status]],Auxiliar!$B$16:$C$24,2,0)</f>
        <v>1</v>
      </c>
      <c r="K381" s="2" t="s">
        <v>1255</v>
      </c>
      <c r="L381" s="29" t="s">
        <v>1258</v>
      </c>
      <c r="M381" s="21" t="s">
        <v>1259</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customHeight="1" x14ac:dyDescent="0.25">
      <c r="B382" s="2" t="s">
        <v>26</v>
      </c>
      <c r="C382" s="2" t="s">
        <v>54</v>
      </c>
      <c r="D382" s="2" t="s">
        <v>38</v>
      </c>
      <c r="E382" s="2" t="s">
        <v>38</v>
      </c>
      <c r="F382" s="2" t="s">
        <v>55</v>
      </c>
      <c r="G382" s="2" t="s">
        <v>69</v>
      </c>
      <c r="H382" s="57" t="str">
        <f>Table1[[#This Row],[Tabela]]&amp;Table1[[#This Row],[Campo]]</f>
        <v>PROCESSPROCESS_DUE_DATE</v>
      </c>
      <c r="I382" s="2" t="s">
        <v>614</v>
      </c>
      <c r="J382" s="43">
        <f>VLOOKUP(Table1[[#This Row],[Status]],Auxiliar!$B$16:$C$24,2,0)</f>
        <v>1</v>
      </c>
      <c r="K382" s="2" t="s">
        <v>1252</v>
      </c>
      <c r="L382" s="29" t="s">
        <v>1258</v>
      </c>
      <c r="M382" s="21" t="s">
        <v>1259</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customHeight="1" x14ac:dyDescent="0.25">
      <c r="B383" s="2" t="s">
        <v>26</v>
      </c>
      <c r="C383" s="2" t="s">
        <v>54</v>
      </c>
      <c r="D383" s="2" t="s">
        <v>38</v>
      </c>
      <c r="E383" s="2" t="s">
        <v>38</v>
      </c>
      <c r="F383" s="2" t="s">
        <v>55</v>
      </c>
      <c r="G383" s="2" t="s">
        <v>69</v>
      </c>
      <c r="H383" s="57" t="str">
        <f>Table1[[#This Row],[Tabela]]&amp;Table1[[#This Row],[Campo]]</f>
        <v>PROCESSPROCESS_DUE_DATE</v>
      </c>
      <c r="I383" s="2" t="s">
        <v>614</v>
      </c>
      <c r="J383" s="43">
        <f>VLOOKUP(Table1[[#This Row],[Status]],Auxiliar!$B$16:$C$24,2,0)</f>
        <v>1</v>
      </c>
      <c r="K383" s="2" t="s">
        <v>1253</v>
      </c>
      <c r="L383" s="29" t="s">
        <v>1258</v>
      </c>
      <c r="M383" s="21" t="s">
        <v>1259</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customHeight="1" x14ac:dyDescent="0.25">
      <c r="B384" s="2" t="s">
        <v>26</v>
      </c>
      <c r="C384" s="2" t="s">
        <v>54</v>
      </c>
      <c r="D384" s="2" t="s">
        <v>38</v>
      </c>
      <c r="E384" s="2" t="s">
        <v>38</v>
      </c>
      <c r="F384" s="2" t="s">
        <v>55</v>
      </c>
      <c r="G384" s="2" t="s">
        <v>69</v>
      </c>
      <c r="H384" s="57" t="str">
        <f>Table1[[#This Row],[Tabela]]&amp;Table1[[#This Row],[Campo]]</f>
        <v>PROCESSPROCESS_DUE_DATE</v>
      </c>
      <c r="I384" s="2" t="s">
        <v>614</v>
      </c>
      <c r="J384" s="43">
        <f>VLOOKUP(Table1[[#This Row],[Status]],Auxiliar!$B$16:$C$24,2,0)</f>
        <v>1</v>
      </c>
      <c r="K384" s="2" t="s">
        <v>1255</v>
      </c>
      <c r="L384" s="29" t="s">
        <v>1258</v>
      </c>
      <c r="M384" s="21" t="s">
        <v>1259</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customHeight="1" x14ac:dyDescent="0.25">
      <c r="B385" s="2" t="s">
        <v>26</v>
      </c>
      <c r="C385" s="2" t="s">
        <v>54</v>
      </c>
      <c r="D385" s="2" t="s">
        <v>38</v>
      </c>
      <c r="E385" s="2" t="s">
        <v>38</v>
      </c>
      <c r="F385" s="2" t="s">
        <v>55</v>
      </c>
      <c r="G385" s="2" t="s">
        <v>70</v>
      </c>
      <c r="H385" s="57" t="str">
        <f>Table1[[#This Row],[Tabela]]&amp;Table1[[#This Row],[Campo]]</f>
        <v>PROCESSmontante_eur</v>
      </c>
      <c r="I385" s="2" t="s">
        <v>613</v>
      </c>
      <c r="J385" s="43">
        <f>VLOOKUP(Table1[[#This Row],[Status]],Auxiliar!$B$16:$C$24,2,0)</f>
        <v>0</v>
      </c>
      <c r="K385" s="2" t="s">
        <v>1252</v>
      </c>
      <c r="L385" s="29" t="s">
        <v>1270</v>
      </c>
      <c r="M385" s="21" t="s">
        <v>1259</v>
      </c>
      <c r="N385" s="48">
        <v>45485</v>
      </c>
      <c r="O385" s="21">
        <f>INDEX(Auxiliar!$D$5:$F$13,MATCH(Table1[[#This Row],[Tipologia_Testes]],Auxiliar!$B$5:$B$13,0),MATCH(Table1[[#This Row],[Complexidade]],Auxiliar!$D$4:$F$4,0))</f>
        <v>2</v>
      </c>
      <c r="P385" s="2" t="s">
        <v>1278</v>
      </c>
      <c r="Q385" s="2"/>
      <c r="R385" s="152">
        <v>45425</v>
      </c>
      <c r="S385" s="152"/>
      <c r="T385" s="152"/>
      <c r="U385" s="152"/>
      <c r="V385" s="152"/>
      <c r="W385" s="2">
        <f>VLOOKUP(Table1[[#This Row],[Status]],Auxiliar!$B$16:$D$24,3,0)*Table1[[#This Row],[Estimação (horas)]]</f>
        <v>0</v>
      </c>
      <c r="X385" s="2"/>
    </row>
    <row r="386" spans="2:24" ht="17.7" customHeight="1" x14ac:dyDescent="0.25">
      <c r="B386" s="2" t="s">
        <v>26</v>
      </c>
      <c r="C386" s="2" t="s">
        <v>54</v>
      </c>
      <c r="D386" s="2" t="s">
        <v>38</v>
      </c>
      <c r="E386" s="2" t="s">
        <v>38</v>
      </c>
      <c r="F386" s="2" t="s">
        <v>55</v>
      </c>
      <c r="G386" s="2" t="s">
        <v>71</v>
      </c>
      <c r="H386" s="57" t="str">
        <f>Table1[[#This Row],[Tabela]]&amp;Table1[[#This Row],[Campo]]</f>
        <v>PROCESSmontante_org</v>
      </c>
      <c r="I386" s="2" t="s">
        <v>613</v>
      </c>
      <c r="J386" s="43">
        <f>VLOOKUP(Table1[[#This Row],[Status]],Auxiliar!$B$16:$C$24,2,0)</f>
        <v>0</v>
      </c>
      <c r="K386" s="2" t="s">
        <v>1252</v>
      </c>
      <c r="L386" s="29" t="s">
        <v>1270</v>
      </c>
      <c r="M386" s="21" t="s">
        <v>1259</v>
      </c>
      <c r="N386" s="48">
        <v>45485</v>
      </c>
      <c r="O386" s="21">
        <f>INDEX(Auxiliar!$D$5:$F$13,MATCH(Table1[[#This Row],[Tipologia_Testes]],Auxiliar!$B$5:$B$13,0),MATCH(Table1[[#This Row],[Complexidade]],Auxiliar!$D$4:$F$4,0))</f>
        <v>2</v>
      </c>
      <c r="P386" s="2" t="s">
        <v>1278</v>
      </c>
      <c r="Q386" s="2"/>
      <c r="R386" s="152">
        <v>45425</v>
      </c>
      <c r="S386" s="152"/>
      <c r="T386" s="152"/>
      <c r="U386" s="152"/>
      <c r="V386" s="152"/>
      <c r="W386" s="2">
        <f>VLOOKUP(Table1[[#This Row],[Status]],Auxiliar!$B$16:$D$24,3,0)*Table1[[#This Row],[Estimação (horas)]]</f>
        <v>0</v>
      </c>
      <c r="X386" s="2"/>
    </row>
    <row r="387" spans="2:24" ht="17.7" customHeight="1" x14ac:dyDescent="0.25">
      <c r="B387" s="2" t="s">
        <v>26</v>
      </c>
      <c r="C387" s="2" t="s">
        <v>54</v>
      </c>
      <c r="D387" s="2" t="s">
        <v>38</v>
      </c>
      <c r="E387" s="2" t="s">
        <v>38</v>
      </c>
      <c r="F387" s="2" t="s">
        <v>55</v>
      </c>
      <c r="G387" s="2" t="s">
        <v>72</v>
      </c>
      <c r="H387" s="57" t="str">
        <f>Table1[[#This Row],[Tabela]]&amp;Table1[[#This Row],[Campo]]</f>
        <v>PROCESSorigem</v>
      </c>
      <c r="I387" s="2" t="s">
        <v>613</v>
      </c>
      <c r="J387" s="43">
        <f>VLOOKUP(Table1[[#This Row],[Status]],Auxiliar!$B$16:$C$24,2,0)</f>
        <v>0</v>
      </c>
      <c r="K387" s="2" t="s">
        <v>1252</v>
      </c>
      <c r="L387" s="29" t="s">
        <v>1258</v>
      </c>
      <c r="M387" s="21" t="s">
        <v>1259</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7" customHeight="1" x14ac:dyDescent="0.25">
      <c r="B388" s="2" t="s">
        <v>26</v>
      </c>
      <c r="C388" s="2" t="s">
        <v>54</v>
      </c>
      <c r="D388" s="2" t="s">
        <v>38</v>
      </c>
      <c r="E388" s="2" t="s">
        <v>38</v>
      </c>
      <c r="F388" s="2" t="s">
        <v>55</v>
      </c>
      <c r="G388" s="2" t="s">
        <v>72</v>
      </c>
      <c r="H388" s="57" t="str">
        <f>Table1[[#This Row],[Tabela]]&amp;Table1[[#This Row],[Campo]]</f>
        <v>PROCESSorigem</v>
      </c>
      <c r="I388" s="2" t="s">
        <v>613</v>
      </c>
      <c r="J388" s="43">
        <f>VLOOKUP(Table1[[#This Row],[Status]],Auxiliar!$B$16:$C$24,2,0)</f>
        <v>0</v>
      </c>
      <c r="K388" s="2" t="s">
        <v>1253</v>
      </c>
      <c r="L388" s="29" t="s">
        <v>1258</v>
      </c>
      <c r="M388" s="21" t="s">
        <v>1259</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0</v>
      </c>
      <c r="X388" s="2"/>
    </row>
    <row r="389" spans="2:24" ht="17.7" customHeight="1" x14ac:dyDescent="0.25">
      <c r="B389" s="2" t="s">
        <v>26</v>
      </c>
      <c r="C389" s="2" t="s">
        <v>54</v>
      </c>
      <c r="D389" s="2" t="s">
        <v>38</v>
      </c>
      <c r="E389" s="2" t="s">
        <v>38</v>
      </c>
      <c r="F389" s="2" t="s">
        <v>55</v>
      </c>
      <c r="G389" s="2" t="s">
        <v>72</v>
      </c>
      <c r="H389" s="57" t="str">
        <f>Table1[[#This Row],[Tabela]]&amp;Table1[[#This Row],[Campo]]</f>
        <v>PROCESSorigem</v>
      </c>
      <c r="I389" s="2" t="s">
        <v>613</v>
      </c>
      <c r="J389" s="43">
        <f>VLOOKUP(Table1[[#This Row],[Status]],Auxiliar!$B$16:$C$24,2,0)</f>
        <v>0</v>
      </c>
      <c r="K389" s="2" t="s">
        <v>1255</v>
      </c>
      <c r="L389" s="29" t="s">
        <v>1258</v>
      </c>
      <c r="M389" s="21" t="s">
        <v>1259</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v>
      </c>
      <c r="X389" s="2"/>
    </row>
    <row r="390" spans="2:24" ht="17.7" customHeight="1" x14ac:dyDescent="0.25">
      <c r="B390" s="2" t="s">
        <v>26</v>
      </c>
      <c r="C390" s="2" t="s">
        <v>54</v>
      </c>
      <c r="D390" s="2" t="s">
        <v>38</v>
      </c>
      <c r="E390" s="2" t="s">
        <v>38</v>
      </c>
      <c r="F390" s="2" t="s">
        <v>55</v>
      </c>
      <c r="G390" s="2" t="s">
        <v>73</v>
      </c>
      <c r="H390" s="57" t="str">
        <f>Table1[[#This Row],[Tabela]]&amp;Table1[[#This Row],[Campo]]</f>
        <v>PROCESSDATA_DATE_PART</v>
      </c>
      <c r="I390" s="2" t="s">
        <v>614</v>
      </c>
      <c r="J390" s="43">
        <f>VLOOKUP(Table1[[#This Row],[Status]],Auxiliar!$B$16:$C$24,2,0)</f>
        <v>1</v>
      </c>
      <c r="K390" s="2" t="s">
        <v>1252</v>
      </c>
      <c r="L390" s="29" t="s">
        <v>1258</v>
      </c>
      <c r="M390" s="21" t="s">
        <v>1259</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7" customHeight="1" x14ac:dyDescent="0.25">
      <c r="B391" s="2" t="s">
        <v>26</v>
      </c>
      <c r="C391" s="2" t="s">
        <v>54</v>
      </c>
      <c r="D391" s="2" t="s">
        <v>38</v>
      </c>
      <c r="E391" s="2" t="s">
        <v>38</v>
      </c>
      <c r="F391" s="2" t="s">
        <v>55</v>
      </c>
      <c r="G391" s="2" t="s">
        <v>73</v>
      </c>
      <c r="H391" s="57" t="str">
        <f>Table1[[#This Row],[Tabela]]&amp;Table1[[#This Row],[Campo]]</f>
        <v>PROCESSDATA_DATE_PART</v>
      </c>
      <c r="I391" s="2" t="s">
        <v>614</v>
      </c>
      <c r="J391" s="43">
        <f>VLOOKUP(Table1[[#This Row],[Status]],Auxiliar!$B$16:$C$24,2,0)</f>
        <v>1</v>
      </c>
      <c r="K391" s="2" t="s">
        <v>1253</v>
      </c>
      <c r="L391" s="29" t="s">
        <v>1258</v>
      </c>
      <c r="M391" s="21" t="s">
        <v>1259</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2</v>
      </c>
      <c r="X391" s="2"/>
    </row>
    <row r="392" spans="2:24" ht="17.7" customHeight="1" x14ac:dyDescent="0.25">
      <c r="B392" s="2" t="s">
        <v>26</v>
      </c>
      <c r="C392" s="2" t="s">
        <v>54</v>
      </c>
      <c r="D392" s="2" t="s">
        <v>38</v>
      </c>
      <c r="E392" s="2" t="s">
        <v>38</v>
      </c>
      <c r="F392" s="2" t="s">
        <v>55</v>
      </c>
      <c r="G392" s="2" t="s">
        <v>73</v>
      </c>
      <c r="H392" s="57" t="str">
        <f>Table1[[#This Row],[Tabela]]&amp;Table1[[#This Row],[Campo]]</f>
        <v>PROCESSDATA_DATE_PART</v>
      </c>
      <c r="I392" s="2" t="s">
        <v>614</v>
      </c>
      <c r="J392" s="43">
        <f>VLOOKUP(Table1[[#This Row],[Status]],Auxiliar!$B$16:$C$24,2,0)</f>
        <v>1</v>
      </c>
      <c r="K392" s="2" t="s">
        <v>1255</v>
      </c>
      <c r="L392" s="29" t="s">
        <v>1258</v>
      </c>
      <c r="M392" s="21" t="s">
        <v>1259</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0.1</v>
      </c>
      <c r="X392" s="2"/>
    </row>
    <row r="393" spans="2:24" ht="69.599999999999994" customHeight="1" x14ac:dyDescent="0.25">
      <c r="B393" s="2" t="s">
        <v>26</v>
      </c>
      <c r="C393" s="2" t="s">
        <v>54</v>
      </c>
      <c r="D393" s="2" t="s">
        <v>38</v>
      </c>
      <c r="E393" s="2" t="s">
        <v>38</v>
      </c>
      <c r="F393" s="2" t="s">
        <v>74</v>
      </c>
      <c r="G393" s="2" t="s">
        <v>38</v>
      </c>
      <c r="H393" s="57" t="str">
        <f>Table1[[#This Row],[Tabela]]&amp;Table1[[#This Row],[Campo]]</f>
        <v>RESPONSIBILITY_PROCESS_RELn.a.</v>
      </c>
      <c r="I393" s="2" t="s">
        <v>614</v>
      </c>
      <c r="J393" s="43">
        <f>VLOOKUP(Table1[[#This Row],[Status]],Auxiliar!$B$16:$C$24,2,0)</f>
        <v>1</v>
      </c>
      <c r="K393" s="2" t="s">
        <v>1249</v>
      </c>
      <c r="L393" s="29" t="s">
        <v>1250</v>
      </c>
      <c r="M393" s="21" t="s">
        <v>1251</v>
      </c>
      <c r="N393" s="48">
        <v>45512</v>
      </c>
      <c r="O393" s="21">
        <f>INDEX(Auxiliar!$D$5:$F$13,MATCH(Table1[[#This Row],[Tipologia_Testes]],Auxiliar!$B$5:$B$13,0),MATCH(Table1[[#This Row],[Complexidade]],Auxiliar!$D$4:$F$4,0))</f>
        <v>8</v>
      </c>
      <c r="P393" s="23" t="s">
        <v>1279</v>
      </c>
      <c r="Q393" s="2"/>
      <c r="R393" s="152">
        <v>45261</v>
      </c>
      <c r="S393" s="152"/>
      <c r="T393" s="152"/>
      <c r="U393" s="152"/>
      <c r="V393" s="152"/>
      <c r="W393" s="2">
        <f>VLOOKUP(Table1[[#This Row],[Status]],Auxiliar!$B$16:$D$24,3,0)*Table1[[#This Row],[Estimação (horas)]]</f>
        <v>8</v>
      </c>
      <c r="X393" s="2"/>
    </row>
    <row r="394" spans="2:24" ht="17.7" customHeight="1" x14ac:dyDescent="0.25">
      <c r="B394" s="2" t="s">
        <v>26</v>
      </c>
      <c r="C394" s="2" t="s">
        <v>54</v>
      </c>
      <c r="D394" s="2" t="s">
        <v>38</v>
      </c>
      <c r="E394" s="2" t="s">
        <v>38</v>
      </c>
      <c r="F394" s="2" t="s">
        <v>74</v>
      </c>
      <c r="G394" s="2" t="s">
        <v>57</v>
      </c>
      <c r="H394" s="57" t="str">
        <f>Table1[[#This Row],[Tabela]]&amp;Table1[[#This Row],[Campo]]</f>
        <v>RESPONSIBILITY_PROCESS_RELPROCESS_BANK_ID</v>
      </c>
      <c r="I394" s="2" t="s">
        <v>614</v>
      </c>
      <c r="J394" s="43">
        <f>VLOOKUP(Table1[[#This Row],[Status]],Auxiliar!$B$16:$C$24,2,0)</f>
        <v>1</v>
      </c>
      <c r="K394" s="2" t="s">
        <v>1252</v>
      </c>
      <c r="L394" s="29" t="s">
        <v>1250</v>
      </c>
      <c r="M394" s="21" t="s">
        <v>1260</v>
      </c>
      <c r="N394" s="48">
        <v>45499</v>
      </c>
      <c r="O394" s="21">
        <f>INDEX(Auxiliar!$D$5:$F$13,MATCH(Table1[[#This Row],[Tipologia_Testes]],Auxiliar!$B$5:$B$13,0),MATCH(Table1[[#This Row],[Complexidade]],Auxiliar!$D$4:$F$4,0))</f>
        <v>4</v>
      </c>
      <c r="P394" s="2" t="s">
        <v>1272</v>
      </c>
      <c r="Q394" s="2" t="s">
        <v>1269</v>
      </c>
      <c r="R394" s="152">
        <v>45261</v>
      </c>
      <c r="S394" s="152">
        <v>45495</v>
      </c>
      <c r="T394" s="152"/>
      <c r="U394" s="152"/>
      <c r="V394" s="152"/>
      <c r="W394" s="2">
        <f>VLOOKUP(Table1[[#This Row],[Status]],Auxiliar!$B$16:$D$24,3,0)*Table1[[#This Row],[Estimação (horas)]]</f>
        <v>4</v>
      </c>
      <c r="X394" s="2"/>
    </row>
    <row r="395" spans="2:24" ht="17.7" customHeight="1" x14ac:dyDescent="0.25">
      <c r="B395" s="2" t="s">
        <v>26</v>
      </c>
      <c r="C395" s="2" t="s">
        <v>54</v>
      </c>
      <c r="D395" s="2" t="s">
        <v>38</v>
      </c>
      <c r="E395" s="2" t="s">
        <v>38</v>
      </c>
      <c r="F395" s="2" t="s">
        <v>74</v>
      </c>
      <c r="G395" s="2" t="s">
        <v>57</v>
      </c>
      <c r="H395" s="57" t="str">
        <f>Table1[[#This Row],[Tabela]]&amp;Table1[[#This Row],[Campo]]</f>
        <v>RESPONSIBILITY_PROCESS_RELPROCESS_BANK_ID</v>
      </c>
      <c r="I395" s="2" t="s">
        <v>614</v>
      </c>
      <c r="J395" s="43">
        <f>VLOOKUP(Table1[[#This Row],[Status]],Auxiliar!$B$16:$C$24,2,0)</f>
        <v>1</v>
      </c>
      <c r="K395" s="2" t="s">
        <v>1253</v>
      </c>
      <c r="L395" s="29" t="s">
        <v>1250</v>
      </c>
      <c r="M395" s="21" t="s">
        <v>1260</v>
      </c>
      <c r="N395" s="48">
        <v>45499</v>
      </c>
      <c r="O395" s="21">
        <f>INDEX(Auxiliar!$D$5:$F$13,MATCH(Table1[[#This Row],[Tipologia_Testes]],Auxiliar!$B$5:$B$13,0),MATCH(Table1[[#This Row],[Complexidade]],Auxiliar!$D$4:$F$4,0))</f>
        <v>4</v>
      </c>
      <c r="P395" s="2" t="s">
        <v>1272</v>
      </c>
      <c r="Q395" s="2" t="s">
        <v>1269</v>
      </c>
      <c r="R395" s="152">
        <v>45261</v>
      </c>
      <c r="S395" s="152">
        <v>45495</v>
      </c>
      <c r="T395" s="152"/>
      <c r="U395" s="152"/>
      <c r="V395" s="152"/>
      <c r="W395" s="2">
        <f>VLOOKUP(Table1[[#This Row],[Status]],Auxiliar!$B$16:$D$24,3,0)*Table1[[#This Row],[Estimação (horas)]]</f>
        <v>4</v>
      </c>
      <c r="X395" s="2"/>
    </row>
    <row r="396" spans="2:24" ht="17.7" customHeight="1" x14ac:dyDescent="0.25">
      <c r="B396" s="2" t="s">
        <v>26</v>
      </c>
      <c r="C396" s="2" t="s">
        <v>54</v>
      </c>
      <c r="D396" s="2" t="s">
        <v>38</v>
      </c>
      <c r="E396" s="2" t="s">
        <v>38</v>
      </c>
      <c r="F396" s="2" t="s">
        <v>74</v>
      </c>
      <c r="G396" s="2" t="s">
        <v>57</v>
      </c>
      <c r="H396" s="57" t="str">
        <f>Table1[[#This Row],[Tabela]]&amp;Table1[[#This Row],[Campo]]</f>
        <v>RESPONSIBILITY_PROCESS_RELPROCESS_BANK_ID</v>
      </c>
      <c r="I396" s="2" t="s">
        <v>614</v>
      </c>
      <c r="J396" s="43">
        <f>VLOOKUP(Table1[[#This Row],[Status]],Auxiliar!$B$16:$C$24,2,0)</f>
        <v>1</v>
      </c>
      <c r="K396" s="2" t="s">
        <v>1255</v>
      </c>
      <c r="L396" s="29" t="s">
        <v>1250</v>
      </c>
      <c r="M396" s="21" t="s">
        <v>1260</v>
      </c>
      <c r="N396" s="48">
        <v>45499</v>
      </c>
      <c r="O396" s="21">
        <f>INDEX(Auxiliar!$D$5:$F$13,MATCH(Table1[[#This Row],[Tipologia_Testes]],Auxiliar!$B$5:$B$13,0),MATCH(Table1[[#This Row],[Complexidade]],Auxiliar!$D$4:$F$4,0))</f>
        <v>0.1</v>
      </c>
      <c r="P396" s="2" t="s">
        <v>1272</v>
      </c>
      <c r="Q396" s="2" t="s">
        <v>1269</v>
      </c>
      <c r="R396" s="152">
        <v>45261</v>
      </c>
      <c r="S396" s="152">
        <v>45495</v>
      </c>
      <c r="T396" s="152"/>
      <c r="U396" s="152"/>
      <c r="V396" s="152"/>
      <c r="W396" s="2">
        <f>VLOOKUP(Table1[[#This Row],[Status]],Auxiliar!$B$16:$D$24,3,0)*Table1[[#This Row],[Estimação (horas)]]</f>
        <v>0.1</v>
      </c>
      <c r="X396" s="2"/>
    </row>
    <row r="397" spans="2:24" ht="17.7" customHeight="1" x14ac:dyDescent="0.25">
      <c r="B397" s="2" t="s">
        <v>26</v>
      </c>
      <c r="C397" s="2" t="s">
        <v>54</v>
      </c>
      <c r="D397" s="2" t="s">
        <v>38</v>
      </c>
      <c r="E397" s="2" t="s">
        <v>38</v>
      </c>
      <c r="F397" s="2" t="s">
        <v>74</v>
      </c>
      <c r="G397" s="2" t="s">
        <v>75</v>
      </c>
      <c r="H397" s="57" t="str">
        <f>Table1[[#This Row],[Tabela]]&amp;Table1[[#This Row],[Campo]]</f>
        <v>RESPONSIBILITY_PROCESS_RELBANK_ID</v>
      </c>
      <c r="I397" s="2" t="s">
        <v>614</v>
      </c>
      <c r="J397" s="43">
        <f>VLOOKUP(Table1[[#This Row],[Status]],Auxiliar!$B$16:$C$24,2,0)</f>
        <v>1</v>
      </c>
      <c r="K397" s="2" t="s">
        <v>1252</v>
      </c>
      <c r="L397" s="29" t="s">
        <v>1250</v>
      </c>
      <c r="M397" s="21" t="s">
        <v>1260</v>
      </c>
      <c r="N397" s="48">
        <v>45499</v>
      </c>
      <c r="O397" s="21">
        <f>INDEX(Auxiliar!$D$5:$F$13,MATCH(Table1[[#This Row],[Tipologia_Testes]],Auxiliar!$B$5:$B$13,0),MATCH(Table1[[#This Row],[Complexidade]],Auxiliar!$D$4:$F$4,0))</f>
        <v>4</v>
      </c>
      <c r="P397" s="2" t="s">
        <v>1272</v>
      </c>
      <c r="Q397" s="2" t="s">
        <v>1269</v>
      </c>
      <c r="R397" s="152">
        <v>45261</v>
      </c>
      <c r="S397" s="152">
        <v>45495</v>
      </c>
      <c r="T397" s="152"/>
      <c r="U397" s="152"/>
      <c r="V397" s="152"/>
      <c r="W397" s="2">
        <f>VLOOKUP(Table1[[#This Row],[Status]],Auxiliar!$B$16:$D$24,3,0)*Table1[[#This Row],[Estimação (horas)]]</f>
        <v>4</v>
      </c>
      <c r="X397" s="2"/>
    </row>
    <row r="398" spans="2:24" ht="17.7" customHeight="1" x14ac:dyDescent="0.25">
      <c r="B398" s="2" t="s">
        <v>26</v>
      </c>
      <c r="C398" s="2" t="s">
        <v>54</v>
      </c>
      <c r="D398" s="2" t="s">
        <v>38</v>
      </c>
      <c r="E398" s="2" t="s">
        <v>38</v>
      </c>
      <c r="F398" s="2" t="s">
        <v>74</v>
      </c>
      <c r="G398" s="2" t="s">
        <v>75</v>
      </c>
      <c r="H398" s="57" t="str">
        <f>Table1[[#This Row],[Tabela]]&amp;Table1[[#This Row],[Campo]]</f>
        <v>RESPONSIBILITY_PROCESS_RELBANK_ID</v>
      </c>
      <c r="I398" s="2" t="s">
        <v>614</v>
      </c>
      <c r="J398" s="43">
        <f>VLOOKUP(Table1[[#This Row],[Status]],Auxiliar!$B$16:$C$24,2,0)</f>
        <v>1</v>
      </c>
      <c r="K398" s="2" t="s">
        <v>1253</v>
      </c>
      <c r="L398" s="29" t="s">
        <v>1250</v>
      </c>
      <c r="M398" s="21" t="s">
        <v>1260</v>
      </c>
      <c r="N398" s="48">
        <v>45499</v>
      </c>
      <c r="O398" s="21">
        <f>INDEX(Auxiliar!$D$5:$F$13,MATCH(Table1[[#This Row],[Tipologia_Testes]],Auxiliar!$B$5:$B$13,0),MATCH(Table1[[#This Row],[Complexidade]],Auxiliar!$D$4:$F$4,0))</f>
        <v>4</v>
      </c>
      <c r="P398" s="2" t="s">
        <v>1272</v>
      </c>
      <c r="Q398" s="2" t="s">
        <v>1269</v>
      </c>
      <c r="R398" s="152">
        <v>45261</v>
      </c>
      <c r="S398" s="152">
        <v>45495</v>
      </c>
      <c r="T398" s="152"/>
      <c r="U398" s="152"/>
      <c r="V398" s="152"/>
      <c r="W398" s="2">
        <f>VLOOKUP(Table1[[#This Row],[Status]],Auxiliar!$B$16:$D$24,3,0)*Table1[[#This Row],[Estimação (horas)]]</f>
        <v>4</v>
      </c>
      <c r="X398" s="2"/>
    </row>
    <row r="399" spans="2:24" ht="17.7" customHeight="1" x14ac:dyDescent="0.25">
      <c r="B399" s="2" t="s">
        <v>26</v>
      </c>
      <c r="C399" s="2" t="s">
        <v>54</v>
      </c>
      <c r="D399" s="2" t="s">
        <v>38</v>
      </c>
      <c r="E399" s="2" t="s">
        <v>38</v>
      </c>
      <c r="F399" s="2" t="s">
        <v>74</v>
      </c>
      <c r="G399" s="2" t="s">
        <v>75</v>
      </c>
      <c r="H399" s="57" t="str">
        <f>Table1[[#This Row],[Tabela]]&amp;Table1[[#This Row],[Campo]]</f>
        <v>RESPONSIBILITY_PROCESS_RELBANK_ID</v>
      </c>
      <c r="I399" s="2" t="s">
        <v>614</v>
      </c>
      <c r="J399" s="43">
        <f>VLOOKUP(Table1[[#This Row],[Status]],Auxiliar!$B$16:$C$24,2,0)</f>
        <v>1</v>
      </c>
      <c r="K399" s="2" t="s">
        <v>1255</v>
      </c>
      <c r="L399" s="29" t="s">
        <v>1250</v>
      </c>
      <c r="M399" s="21" t="s">
        <v>1260</v>
      </c>
      <c r="N399" s="48">
        <v>45499</v>
      </c>
      <c r="O399" s="21">
        <f>INDEX(Auxiliar!$D$5:$F$13,MATCH(Table1[[#This Row],[Tipologia_Testes]],Auxiliar!$B$5:$B$13,0),MATCH(Table1[[#This Row],[Complexidade]],Auxiliar!$D$4:$F$4,0))</f>
        <v>0.1</v>
      </c>
      <c r="P399" s="2" t="s">
        <v>1272</v>
      </c>
      <c r="Q399" s="2" t="s">
        <v>1269</v>
      </c>
      <c r="R399" s="152">
        <v>45261</v>
      </c>
      <c r="S399" s="152">
        <v>45495</v>
      </c>
      <c r="T399" s="152"/>
      <c r="U399" s="152"/>
      <c r="V399" s="152"/>
      <c r="W399" s="2">
        <f>VLOOKUP(Table1[[#This Row],[Status]],Auxiliar!$B$16:$D$24,3,0)*Table1[[#This Row],[Estimação (horas)]]</f>
        <v>0.1</v>
      </c>
      <c r="X399" s="2"/>
    </row>
    <row r="400" spans="2:24" ht="17.7" customHeight="1" x14ac:dyDescent="0.25">
      <c r="B400" s="2" t="s">
        <v>26</v>
      </c>
      <c r="C400" s="2" t="s">
        <v>54</v>
      </c>
      <c r="D400" s="2" t="s">
        <v>38</v>
      </c>
      <c r="E400" s="2" t="s">
        <v>38</v>
      </c>
      <c r="F400" s="2" t="s">
        <v>74</v>
      </c>
      <c r="G400" s="2" t="s">
        <v>58</v>
      </c>
      <c r="H400" s="57" t="str">
        <f>Table1[[#This Row],[Tabela]]&amp;Table1[[#This Row],[Campo]]</f>
        <v>RESPONSIBILITY_PROCESS_RELPROCESS_BRANCH_CODE</v>
      </c>
      <c r="I400" s="2" t="s">
        <v>614</v>
      </c>
      <c r="J400" s="43">
        <f>VLOOKUP(Table1[[#This Row],[Status]],Auxiliar!$B$16:$C$24,2,0)</f>
        <v>1</v>
      </c>
      <c r="K400" s="2" t="s">
        <v>1252</v>
      </c>
      <c r="L400" s="29" t="s">
        <v>1250</v>
      </c>
      <c r="M400" s="21" t="s">
        <v>1260</v>
      </c>
      <c r="N400" s="48">
        <v>45499</v>
      </c>
      <c r="O400" s="21">
        <f>INDEX(Auxiliar!$D$5:$F$13,MATCH(Table1[[#This Row],[Tipologia_Testes]],Auxiliar!$B$5:$B$13,0),MATCH(Table1[[#This Row],[Complexidade]],Auxiliar!$D$4:$F$4,0))</f>
        <v>4</v>
      </c>
      <c r="P400" s="2" t="s">
        <v>1272</v>
      </c>
      <c r="Q400" s="2" t="s">
        <v>1269</v>
      </c>
      <c r="R400" s="152">
        <v>45261</v>
      </c>
      <c r="S400" s="152">
        <v>45495</v>
      </c>
      <c r="T400" s="152"/>
      <c r="U400" s="152"/>
      <c r="V400" s="152"/>
      <c r="W400" s="2">
        <f>VLOOKUP(Table1[[#This Row],[Status]],Auxiliar!$B$16:$D$24,3,0)*Table1[[#This Row],[Estimação (horas)]]</f>
        <v>4</v>
      </c>
      <c r="X400" s="2"/>
    </row>
    <row r="401" spans="2:24" ht="17.7" customHeight="1" x14ac:dyDescent="0.25">
      <c r="B401" s="2" t="s">
        <v>26</v>
      </c>
      <c r="C401" s="2" t="s">
        <v>54</v>
      </c>
      <c r="D401" s="2" t="s">
        <v>38</v>
      </c>
      <c r="E401" s="2" t="s">
        <v>38</v>
      </c>
      <c r="F401" s="2" t="s">
        <v>74</v>
      </c>
      <c r="G401" s="2" t="s">
        <v>58</v>
      </c>
      <c r="H401" s="57" t="str">
        <f>Table1[[#This Row],[Tabela]]&amp;Table1[[#This Row],[Campo]]</f>
        <v>RESPONSIBILITY_PROCESS_RELPROCESS_BRANCH_CODE</v>
      </c>
      <c r="I401" s="2" t="s">
        <v>614</v>
      </c>
      <c r="J401" s="43">
        <f>VLOOKUP(Table1[[#This Row],[Status]],Auxiliar!$B$16:$C$24,2,0)</f>
        <v>1</v>
      </c>
      <c r="K401" s="2" t="s">
        <v>1253</v>
      </c>
      <c r="L401" s="29" t="s">
        <v>1250</v>
      </c>
      <c r="M401" s="21" t="s">
        <v>1260</v>
      </c>
      <c r="N401" s="48">
        <v>45499</v>
      </c>
      <c r="O401" s="21">
        <f>INDEX(Auxiliar!$D$5:$F$13,MATCH(Table1[[#This Row],[Tipologia_Testes]],Auxiliar!$B$5:$B$13,0),MATCH(Table1[[#This Row],[Complexidade]],Auxiliar!$D$4:$F$4,0))</f>
        <v>4</v>
      </c>
      <c r="P401" s="2" t="s">
        <v>1272</v>
      </c>
      <c r="Q401" s="2" t="s">
        <v>1269</v>
      </c>
      <c r="R401" s="152">
        <v>45261</v>
      </c>
      <c r="S401" s="152">
        <v>45495</v>
      </c>
      <c r="T401" s="152"/>
      <c r="U401" s="152"/>
      <c r="V401" s="152"/>
      <c r="W401" s="2">
        <f>VLOOKUP(Table1[[#This Row],[Status]],Auxiliar!$B$16:$D$24,3,0)*Table1[[#This Row],[Estimação (horas)]]</f>
        <v>4</v>
      </c>
      <c r="X401" s="2"/>
    </row>
    <row r="402" spans="2:24" ht="17.7" customHeight="1" x14ac:dyDescent="0.25">
      <c r="B402" s="2" t="s">
        <v>26</v>
      </c>
      <c r="C402" s="2" t="s">
        <v>54</v>
      </c>
      <c r="D402" s="2" t="s">
        <v>38</v>
      </c>
      <c r="E402" s="2" t="s">
        <v>38</v>
      </c>
      <c r="F402" s="2" t="s">
        <v>74</v>
      </c>
      <c r="G402" s="2" t="s">
        <v>58</v>
      </c>
      <c r="H402" s="57" t="str">
        <f>Table1[[#This Row],[Tabela]]&amp;Table1[[#This Row],[Campo]]</f>
        <v>RESPONSIBILITY_PROCESS_RELPROCESS_BRANCH_CODE</v>
      </c>
      <c r="I402" s="2" t="s">
        <v>614</v>
      </c>
      <c r="J402" s="43">
        <f>VLOOKUP(Table1[[#This Row],[Status]],Auxiliar!$B$16:$C$24,2,0)</f>
        <v>1</v>
      </c>
      <c r="K402" s="2" t="s">
        <v>1255</v>
      </c>
      <c r="L402" s="29" t="s">
        <v>1250</v>
      </c>
      <c r="M402" s="21" t="s">
        <v>1260</v>
      </c>
      <c r="N402" s="48">
        <v>45499</v>
      </c>
      <c r="O402" s="21">
        <f>INDEX(Auxiliar!$D$5:$F$13,MATCH(Table1[[#This Row],[Tipologia_Testes]],Auxiliar!$B$5:$B$13,0),MATCH(Table1[[#This Row],[Complexidade]],Auxiliar!$D$4:$F$4,0))</f>
        <v>0.1</v>
      </c>
      <c r="P402" s="2" t="s">
        <v>1272</v>
      </c>
      <c r="Q402" s="2" t="s">
        <v>1269</v>
      </c>
      <c r="R402" s="152">
        <v>45261</v>
      </c>
      <c r="S402" s="152">
        <v>45495</v>
      </c>
      <c r="T402" s="152"/>
      <c r="U402" s="152"/>
      <c r="V402" s="152"/>
      <c r="W402" s="2">
        <f>VLOOKUP(Table1[[#This Row],[Status]],Auxiliar!$B$16:$D$24,3,0)*Table1[[#This Row],[Estimação (horas)]]</f>
        <v>0.1</v>
      </c>
      <c r="X402" s="2"/>
    </row>
    <row r="403" spans="2:24" ht="17.7" customHeight="1" x14ac:dyDescent="0.25">
      <c r="B403" s="2" t="s">
        <v>26</v>
      </c>
      <c r="C403" s="2" t="s">
        <v>54</v>
      </c>
      <c r="D403" s="2" t="s">
        <v>38</v>
      </c>
      <c r="E403" s="2" t="s">
        <v>38</v>
      </c>
      <c r="F403" s="2" t="s">
        <v>74</v>
      </c>
      <c r="G403" s="2" t="s">
        <v>76</v>
      </c>
      <c r="H403" s="57" t="str">
        <f>Table1[[#This Row],[Tabela]]&amp;Table1[[#This Row],[Campo]]</f>
        <v>RESPONSIBILITY_PROCESS_RELBRANCH_CODE</v>
      </c>
      <c r="I403" s="2" t="s">
        <v>614</v>
      </c>
      <c r="J403" s="43">
        <f>VLOOKUP(Table1[[#This Row],[Status]],Auxiliar!$B$16:$C$24,2,0)</f>
        <v>1</v>
      </c>
      <c r="K403" s="2" t="s">
        <v>1252</v>
      </c>
      <c r="L403" s="29" t="s">
        <v>1250</v>
      </c>
      <c r="M403" s="21" t="s">
        <v>1260</v>
      </c>
      <c r="N403" s="48">
        <v>45499</v>
      </c>
      <c r="O403" s="21">
        <f>INDEX(Auxiliar!$D$5:$F$13,MATCH(Table1[[#This Row],[Tipologia_Testes]],Auxiliar!$B$5:$B$13,0),MATCH(Table1[[#This Row],[Complexidade]],Auxiliar!$D$4:$F$4,0))</f>
        <v>4</v>
      </c>
      <c r="P403" s="2" t="s">
        <v>1272</v>
      </c>
      <c r="Q403" s="2" t="s">
        <v>1269</v>
      </c>
      <c r="R403" s="152">
        <v>45261</v>
      </c>
      <c r="S403" s="152">
        <v>45495</v>
      </c>
      <c r="T403" s="152"/>
      <c r="U403" s="152"/>
      <c r="V403" s="152"/>
      <c r="W403" s="2">
        <f>VLOOKUP(Table1[[#This Row],[Status]],Auxiliar!$B$16:$D$24,3,0)*Table1[[#This Row],[Estimação (horas)]]</f>
        <v>4</v>
      </c>
      <c r="X403" s="2"/>
    </row>
    <row r="404" spans="2:24" ht="17.7" customHeight="1" x14ac:dyDescent="0.25">
      <c r="B404" s="2" t="s">
        <v>26</v>
      </c>
      <c r="C404" s="2" t="s">
        <v>54</v>
      </c>
      <c r="D404" s="2" t="s">
        <v>38</v>
      </c>
      <c r="E404" s="2" t="s">
        <v>38</v>
      </c>
      <c r="F404" s="2" t="s">
        <v>74</v>
      </c>
      <c r="G404" s="2" t="s">
        <v>76</v>
      </c>
      <c r="H404" s="57" t="str">
        <f>Table1[[#This Row],[Tabela]]&amp;Table1[[#This Row],[Campo]]</f>
        <v>RESPONSIBILITY_PROCESS_RELBRANCH_CODE</v>
      </c>
      <c r="I404" s="2" t="s">
        <v>614</v>
      </c>
      <c r="J404" s="43">
        <f>VLOOKUP(Table1[[#This Row],[Status]],Auxiliar!$B$16:$C$24,2,0)</f>
        <v>1</v>
      </c>
      <c r="K404" s="2" t="s">
        <v>1253</v>
      </c>
      <c r="L404" s="29" t="s">
        <v>1250</v>
      </c>
      <c r="M404" s="21" t="s">
        <v>1260</v>
      </c>
      <c r="N404" s="48">
        <v>45499</v>
      </c>
      <c r="O404" s="21">
        <f>INDEX(Auxiliar!$D$5:$F$13,MATCH(Table1[[#This Row],[Tipologia_Testes]],Auxiliar!$B$5:$B$13,0),MATCH(Table1[[#This Row],[Complexidade]],Auxiliar!$D$4:$F$4,0))</f>
        <v>4</v>
      </c>
      <c r="P404" s="2" t="s">
        <v>1272</v>
      </c>
      <c r="Q404" s="2" t="s">
        <v>1269</v>
      </c>
      <c r="R404" s="152">
        <v>45261</v>
      </c>
      <c r="S404" s="152">
        <v>45495</v>
      </c>
      <c r="T404" s="152"/>
      <c r="U404" s="152"/>
      <c r="V404" s="152"/>
      <c r="W404" s="2">
        <f>VLOOKUP(Table1[[#This Row],[Status]],Auxiliar!$B$16:$D$24,3,0)*Table1[[#This Row],[Estimação (horas)]]</f>
        <v>4</v>
      </c>
      <c r="X404" s="2"/>
    </row>
    <row r="405" spans="2:24" ht="17.7" customHeight="1" x14ac:dyDescent="0.25">
      <c r="B405" s="2" t="s">
        <v>26</v>
      </c>
      <c r="C405" s="2" t="s">
        <v>54</v>
      </c>
      <c r="D405" s="2" t="s">
        <v>38</v>
      </c>
      <c r="E405" s="2" t="s">
        <v>38</v>
      </c>
      <c r="F405" s="2" t="s">
        <v>74</v>
      </c>
      <c r="G405" s="2" t="s">
        <v>76</v>
      </c>
      <c r="H405" s="57" t="str">
        <f>Table1[[#This Row],[Tabela]]&amp;Table1[[#This Row],[Campo]]</f>
        <v>RESPONSIBILITY_PROCESS_RELBRANCH_CODE</v>
      </c>
      <c r="I405" s="2" t="s">
        <v>614</v>
      </c>
      <c r="J405" s="43">
        <f>VLOOKUP(Table1[[#This Row],[Status]],Auxiliar!$B$16:$C$24,2,0)</f>
        <v>1</v>
      </c>
      <c r="K405" s="2" t="s">
        <v>1255</v>
      </c>
      <c r="L405" s="29" t="s">
        <v>1250</v>
      </c>
      <c r="M405" s="21" t="s">
        <v>1260</v>
      </c>
      <c r="N405" s="48">
        <v>45499</v>
      </c>
      <c r="O405" s="21">
        <f>INDEX(Auxiliar!$D$5:$F$13,MATCH(Table1[[#This Row],[Tipologia_Testes]],Auxiliar!$B$5:$B$13,0),MATCH(Table1[[#This Row],[Complexidade]],Auxiliar!$D$4:$F$4,0))</f>
        <v>0.1</v>
      </c>
      <c r="P405" s="2" t="s">
        <v>1272</v>
      </c>
      <c r="Q405" s="2" t="s">
        <v>1269</v>
      </c>
      <c r="R405" s="152">
        <v>45261</v>
      </c>
      <c r="S405" s="152">
        <v>45495</v>
      </c>
      <c r="T405" s="152"/>
      <c r="U405" s="152"/>
      <c r="V405" s="152"/>
      <c r="W405" s="2">
        <f>VLOOKUP(Table1[[#This Row],[Status]],Auxiliar!$B$16:$D$24,3,0)*Table1[[#This Row],[Estimação (horas)]]</f>
        <v>0.1</v>
      </c>
      <c r="X405" s="2"/>
    </row>
    <row r="406" spans="2:24" ht="17.7" customHeight="1" x14ac:dyDescent="0.25">
      <c r="B406" s="2" t="s">
        <v>26</v>
      </c>
      <c r="C406" s="2" t="s">
        <v>54</v>
      </c>
      <c r="D406" s="2" t="s">
        <v>38</v>
      </c>
      <c r="E406" s="2" t="s">
        <v>38</v>
      </c>
      <c r="F406" s="2" t="s">
        <v>74</v>
      </c>
      <c r="G406" s="2" t="s">
        <v>77</v>
      </c>
      <c r="H406" s="57" t="str">
        <f>Table1[[#This Row],[Tabela]]&amp;Table1[[#This Row],[Campo]]</f>
        <v>RESPONSIBILITY_PROCESS_RELCONTRACT_ID</v>
      </c>
      <c r="I406" s="2" t="s">
        <v>614</v>
      </c>
      <c r="J406" s="43">
        <f>VLOOKUP(Table1[[#This Row],[Status]],Auxiliar!$B$16:$C$24,2,0)</f>
        <v>1</v>
      </c>
      <c r="K406" s="2" t="s">
        <v>1252</v>
      </c>
      <c r="L406" s="29" t="s">
        <v>1250</v>
      </c>
      <c r="M406" s="21" t="s">
        <v>1260</v>
      </c>
      <c r="N406" s="48">
        <v>45499</v>
      </c>
      <c r="O406" s="21">
        <f>INDEX(Auxiliar!$D$5:$F$13,MATCH(Table1[[#This Row],[Tipologia_Testes]],Auxiliar!$B$5:$B$13,0),MATCH(Table1[[#This Row],[Complexidade]],Auxiliar!$D$4:$F$4,0))</f>
        <v>4</v>
      </c>
      <c r="P406" s="2" t="s">
        <v>1272</v>
      </c>
      <c r="Q406" s="2" t="s">
        <v>1269</v>
      </c>
      <c r="R406" s="152">
        <v>45261</v>
      </c>
      <c r="S406" s="152">
        <v>45495</v>
      </c>
      <c r="T406" s="152"/>
      <c r="U406" s="152"/>
      <c r="V406" s="152"/>
      <c r="W406" s="2">
        <f>VLOOKUP(Table1[[#This Row],[Status]],Auxiliar!$B$16:$D$24,3,0)*Table1[[#This Row],[Estimação (horas)]]</f>
        <v>4</v>
      </c>
      <c r="X406" s="2"/>
    </row>
    <row r="407" spans="2:24" ht="17.7" customHeight="1" x14ac:dyDescent="0.25">
      <c r="B407" s="2" t="s">
        <v>26</v>
      </c>
      <c r="C407" s="2" t="s">
        <v>54</v>
      </c>
      <c r="D407" s="2" t="s">
        <v>38</v>
      </c>
      <c r="E407" s="2" t="s">
        <v>38</v>
      </c>
      <c r="F407" s="2" t="s">
        <v>74</v>
      </c>
      <c r="G407" s="2" t="s">
        <v>77</v>
      </c>
      <c r="H407" s="57" t="str">
        <f>Table1[[#This Row],[Tabela]]&amp;Table1[[#This Row],[Campo]]</f>
        <v>RESPONSIBILITY_PROCESS_RELCONTRACT_ID</v>
      </c>
      <c r="I407" s="2" t="s">
        <v>614</v>
      </c>
      <c r="J407" s="43">
        <f>VLOOKUP(Table1[[#This Row],[Status]],Auxiliar!$B$16:$C$24,2,0)</f>
        <v>1</v>
      </c>
      <c r="K407" s="2" t="s">
        <v>1253</v>
      </c>
      <c r="L407" s="29" t="s">
        <v>1250</v>
      </c>
      <c r="M407" s="21" t="s">
        <v>1260</v>
      </c>
      <c r="N407" s="48">
        <v>45499</v>
      </c>
      <c r="O407" s="21">
        <f>INDEX(Auxiliar!$D$5:$F$13,MATCH(Table1[[#This Row],[Tipologia_Testes]],Auxiliar!$B$5:$B$13,0),MATCH(Table1[[#This Row],[Complexidade]],Auxiliar!$D$4:$F$4,0))</f>
        <v>4</v>
      </c>
      <c r="P407" s="2" t="s">
        <v>1272</v>
      </c>
      <c r="Q407" s="2" t="s">
        <v>1269</v>
      </c>
      <c r="R407" s="152">
        <v>45261</v>
      </c>
      <c r="S407" s="152">
        <v>45495</v>
      </c>
      <c r="T407" s="152"/>
      <c r="U407" s="152"/>
      <c r="V407" s="152"/>
      <c r="W407" s="2">
        <f>VLOOKUP(Table1[[#This Row],[Status]],Auxiliar!$B$16:$D$24,3,0)*Table1[[#This Row],[Estimação (horas)]]</f>
        <v>4</v>
      </c>
      <c r="X407" s="2"/>
    </row>
    <row r="408" spans="2:24" ht="17.7" customHeight="1" x14ac:dyDescent="0.25">
      <c r="B408" s="2" t="s">
        <v>26</v>
      </c>
      <c r="C408" s="2" t="s">
        <v>54</v>
      </c>
      <c r="D408" s="2" t="s">
        <v>38</v>
      </c>
      <c r="E408" s="2" t="s">
        <v>38</v>
      </c>
      <c r="F408" s="2" t="s">
        <v>74</v>
      </c>
      <c r="G408" s="2" t="s">
        <v>77</v>
      </c>
      <c r="H408" s="57" t="str">
        <f>Table1[[#This Row],[Tabela]]&amp;Table1[[#This Row],[Campo]]</f>
        <v>RESPONSIBILITY_PROCESS_RELCONTRACT_ID</v>
      </c>
      <c r="I408" s="2" t="s">
        <v>614</v>
      </c>
      <c r="J408" s="43">
        <f>VLOOKUP(Table1[[#This Row],[Status]],Auxiliar!$B$16:$C$24,2,0)</f>
        <v>1</v>
      </c>
      <c r="K408" s="2" t="s">
        <v>1255</v>
      </c>
      <c r="L408" s="29" t="s">
        <v>1250</v>
      </c>
      <c r="M408" s="21" t="s">
        <v>1260</v>
      </c>
      <c r="N408" s="48">
        <v>45499</v>
      </c>
      <c r="O408" s="21">
        <f>INDEX(Auxiliar!$D$5:$F$13,MATCH(Table1[[#This Row],[Tipologia_Testes]],Auxiliar!$B$5:$B$13,0),MATCH(Table1[[#This Row],[Complexidade]],Auxiliar!$D$4:$F$4,0))</f>
        <v>0.1</v>
      </c>
      <c r="P408" s="2" t="s">
        <v>1272</v>
      </c>
      <c r="Q408" s="2" t="s">
        <v>1269</v>
      </c>
      <c r="R408" s="152">
        <v>45261</v>
      </c>
      <c r="S408" s="152">
        <v>45495</v>
      </c>
      <c r="T408" s="152"/>
      <c r="U408" s="152"/>
      <c r="V408" s="152"/>
      <c r="W408" s="2">
        <f>VLOOKUP(Table1[[#This Row],[Status]],Auxiliar!$B$16:$D$24,3,0)*Table1[[#This Row],[Estimação (horas)]]</f>
        <v>0.1</v>
      </c>
      <c r="X408" s="2"/>
    </row>
    <row r="409" spans="2:24" ht="17.7" customHeight="1" x14ac:dyDescent="0.25">
      <c r="B409" s="2" t="s">
        <v>26</v>
      </c>
      <c r="C409" s="2" t="s">
        <v>54</v>
      </c>
      <c r="D409" s="2" t="s">
        <v>38</v>
      </c>
      <c r="E409" s="2" t="s">
        <v>38</v>
      </c>
      <c r="F409" s="2" t="s">
        <v>74</v>
      </c>
      <c r="G409" s="2" t="s">
        <v>59</v>
      </c>
      <c r="H409" s="57" t="str">
        <f>Table1[[#This Row],[Tabela]]&amp;Table1[[#This Row],[Campo]]</f>
        <v>RESPONSIBILITY_PROCESS_RELPROCESS_ACCOUNT_ID</v>
      </c>
      <c r="I409" s="2" t="s">
        <v>614</v>
      </c>
      <c r="J409" s="43">
        <f>VLOOKUP(Table1[[#This Row],[Status]],Auxiliar!$B$16:$C$24,2,0)</f>
        <v>1</v>
      </c>
      <c r="K409" s="2" t="s">
        <v>1252</v>
      </c>
      <c r="L409" s="29" t="s">
        <v>1250</v>
      </c>
      <c r="M409" s="21" t="s">
        <v>1260</v>
      </c>
      <c r="N409" s="48">
        <v>45499</v>
      </c>
      <c r="O409" s="21">
        <f>INDEX(Auxiliar!$D$5:$F$13,MATCH(Table1[[#This Row],[Tipologia_Testes]],Auxiliar!$B$5:$B$13,0),MATCH(Table1[[#This Row],[Complexidade]],Auxiliar!$D$4:$F$4,0))</f>
        <v>4</v>
      </c>
      <c r="P409" s="2" t="s">
        <v>1272</v>
      </c>
      <c r="Q409" s="2" t="s">
        <v>1269</v>
      </c>
      <c r="R409" s="152">
        <v>45261</v>
      </c>
      <c r="S409" s="152">
        <v>45495</v>
      </c>
      <c r="T409" s="152"/>
      <c r="U409" s="152"/>
      <c r="V409" s="152"/>
      <c r="W409" s="2">
        <f>VLOOKUP(Table1[[#This Row],[Status]],Auxiliar!$B$16:$D$24,3,0)*Table1[[#This Row],[Estimação (horas)]]</f>
        <v>4</v>
      </c>
      <c r="X409" s="2"/>
    </row>
    <row r="410" spans="2:24" ht="17.7" customHeight="1" x14ac:dyDescent="0.25">
      <c r="B410" s="2" t="s">
        <v>26</v>
      </c>
      <c r="C410" s="2" t="s">
        <v>54</v>
      </c>
      <c r="D410" s="2" t="s">
        <v>38</v>
      </c>
      <c r="E410" s="2" t="s">
        <v>38</v>
      </c>
      <c r="F410" s="2" t="s">
        <v>74</v>
      </c>
      <c r="G410" s="2" t="s">
        <v>59</v>
      </c>
      <c r="H410" s="57" t="str">
        <f>Table1[[#This Row],[Tabela]]&amp;Table1[[#This Row],[Campo]]</f>
        <v>RESPONSIBILITY_PROCESS_RELPROCESS_ACCOUNT_ID</v>
      </c>
      <c r="I410" s="2" t="s">
        <v>614</v>
      </c>
      <c r="J410" s="43">
        <f>VLOOKUP(Table1[[#This Row],[Status]],Auxiliar!$B$16:$C$24,2,0)</f>
        <v>1</v>
      </c>
      <c r="K410" s="2" t="s">
        <v>1253</v>
      </c>
      <c r="L410" s="29" t="s">
        <v>1250</v>
      </c>
      <c r="M410" s="21" t="s">
        <v>1260</v>
      </c>
      <c r="N410" s="48">
        <v>45499</v>
      </c>
      <c r="O410" s="21">
        <f>INDEX(Auxiliar!$D$5:$F$13,MATCH(Table1[[#This Row],[Tipologia_Testes]],Auxiliar!$B$5:$B$13,0),MATCH(Table1[[#This Row],[Complexidade]],Auxiliar!$D$4:$F$4,0))</f>
        <v>4</v>
      </c>
      <c r="P410" s="2" t="s">
        <v>1272</v>
      </c>
      <c r="Q410" s="2" t="s">
        <v>1269</v>
      </c>
      <c r="R410" s="152">
        <v>45261</v>
      </c>
      <c r="S410" s="152">
        <v>45495</v>
      </c>
      <c r="T410" s="152"/>
      <c r="U410" s="152"/>
      <c r="V410" s="152"/>
      <c r="W410" s="2">
        <f>VLOOKUP(Table1[[#This Row],[Status]],Auxiliar!$B$16:$D$24,3,0)*Table1[[#This Row],[Estimação (horas)]]</f>
        <v>4</v>
      </c>
      <c r="X410" s="2"/>
    </row>
    <row r="411" spans="2:24" ht="17.7" customHeight="1" x14ac:dyDescent="0.25">
      <c r="B411" s="2" t="s">
        <v>26</v>
      </c>
      <c r="C411" s="2" t="s">
        <v>54</v>
      </c>
      <c r="D411" s="2" t="s">
        <v>38</v>
      </c>
      <c r="E411" s="2" t="s">
        <v>38</v>
      </c>
      <c r="F411" s="2" t="s">
        <v>74</v>
      </c>
      <c r="G411" s="2" t="s">
        <v>59</v>
      </c>
      <c r="H411" s="57" t="str">
        <f>Table1[[#This Row],[Tabela]]&amp;Table1[[#This Row],[Campo]]</f>
        <v>RESPONSIBILITY_PROCESS_RELPROCESS_ACCOUNT_ID</v>
      </c>
      <c r="I411" s="2" t="s">
        <v>614</v>
      </c>
      <c r="J411" s="43">
        <f>VLOOKUP(Table1[[#This Row],[Status]],Auxiliar!$B$16:$C$24,2,0)</f>
        <v>1</v>
      </c>
      <c r="K411" s="2" t="s">
        <v>1255</v>
      </c>
      <c r="L411" s="29" t="s">
        <v>1250</v>
      </c>
      <c r="M411" s="21" t="s">
        <v>1260</v>
      </c>
      <c r="N411" s="48">
        <v>45499</v>
      </c>
      <c r="O411" s="21">
        <f>INDEX(Auxiliar!$D$5:$F$13,MATCH(Table1[[#This Row],[Tipologia_Testes]],Auxiliar!$B$5:$B$13,0),MATCH(Table1[[#This Row],[Complexidade]],Auxiliar!$D$4:$F$4,0))</f>
        <v>0.1</v>
      </c>
      <c r="P411" s="2" t="s">
        <v>1272</v>
      </c>
      <c r="Q411" s="2" t="s">
        <v>1269</v>
      </c>
      <c r="R411" s="152">
        <v>45261</v>
      </c>
      <c r="S411" s="152">
        <v>45495</v>
      </c>
      <c r="T411" s="152"/>
      <c r="U411" s="152"/>
      <c r="V411" s="152"/>
      <c r="W411" s="2">
        <f>VLOOKUP(Table1[[#This Row],[Status]],Auxiliar!$B$16:$D$24,3,0)*Table1[[#This Row],[Estimação (horas)]]</f>
        <v>0.1</v>
      </c>
      <c r="X411" s="2"/>
    </row>
    <row r="412" spans="2:24" ht="17.7" customHeight="1" x14ac:dyDescent="0.25">
      <c r="B412" s="2" t="s">
        <v>26</v>
      </c>
      <c r="C412" s="2" t="s">
        <v>54</v>
      </c>
      <c r="D412" s="2" t="s">
        <v>38</v>
      </c>
      <c r="E412" s="2" t="s">
        <v>38</v>
      </c>
      <c r="F412" s="2" t="s">
        <v>74</v>
      </c>
      <c r="G412" s="2" t="s">
        <v>78</v>
      </c>
      <c r="H412" s="57" t="str">
        <f>Table1[[#This Row],[Tabela]]&amp;Table1[[#This Row],[Campo]]</f>
        <v>RESPONSIBILITY_PROCESS_RELREFERENCE_CODE</v>
      </c>
      <c r="I412" s="2" t="s">
        <v>614</v>
      </c>
      <c r="J412" s="43">
        <f>VLOOKUP(Table1[[#This Row],[Status]],Auxiliar!$B$16:$C$24,2,0)</f>
        <v>1</v>
      </c>
      <c r="K412" s="2" t="s">
        <v>1252</v>
      </c>
      <c r="L412" s="29" t="s">
        <v>1258</v>
      </c>
      <c r="M412" s="21" t="s">
        <v>1260</v>
      </c>
      <c r="N412" s="48">
        <v>45499</v>
      </c>
      <c r="O412" s="21">
        <f>INDEX(Auxiliar!$D$5:$F$13,MATCH(Table1[[#This Row],[Tipologia_Testes]],Auxiliar!$B$5:$B$13,0),MATCH(Table1[[#This Row],[Complexidade]],Auxiliar!$D$4:$F$4,0))</f>
        <v>4</v>
      </c>
      <c r="P412" s="2" t="s">
        <v>1272</v>
      </c>
      <c r="Q412" s="2" t="s">
        <v>1269</v>
      </c>
      <c r="R412" s="152">
        <v>45261</v>
      </c>
      <c r="S412" s="152">
        <v>45495</v>
      </c>
      <c r="T412" s="152"/>
      <c r="U412" s="152"/>
      <c r="V412" s="152"/>
      <c r="W412" s="2">
        <f>VLOOKUP(Table1[[#This Row],[Status]],Auxiliar!$B$16:$D$24,3,0)*Table1[[#This Row],[Estimação (horas)]]</f>
        <v>4</v>
      </c>
      <c r="X412" s="2"/>
    </row>
    <row r="413" spans="2:24" ht="17.7" customHeight="1" x14ac:dyDescent="0.25">
      <c r="B413" s="2" t="s">
        <v>26</v>
      </c>
      <c r="C413" s="2" t="s">
        <v>54</v>
      </c>
      <c r="D413" s="2" t="s">
        <v>38</v>
      </c>
      <c r="E413" s="2" t="s">
        <v>38</v>
      </c>
      <c r="F413" s="2" t="s">
        <v>74</v>
      </c>
      <c r="G413" s="2" t="s">
        <v>78</v>
      </c>
      <c r="H413" s="57" t="str">
        <f>Table1[[#This Row],[Tabela]]&amp;Table1[[#This Row],[Campo]]</f>
        <v>RESPONSIBILITY_PROCESS_RELREFERENCE_CODE</v>
      </c>
      <c r="I413" s="2" t="s">
        <v>614</v>
      </c>
      <c r="J413" s="43">
        <f>VLOOKUP(Table1[[#This Row],[Status]],Auxiliar!$B$16:$C$24,2,0)</f>
        <v>1</v>
      </c>
      <c r="K413" s="2" t="s">
        <v>1253</v>
      </c>
      <c r="L413" s="29" t="s">
        <v>1258</v>
      </c>
      <c r="M413" s="21" t="s">
        <v>1260</v>
      </c>
      <c r="N413" s="48">
        <v>45499</v>
      </c>
      <c r="O413" s="21">
        <f>INDEX(Auxiliar!$D$5:$F$13,MATCH(Table1[[#This Row],[Tipologia_Testes]],Auxiliar!$B$5:$B$13,0),MATCH(Table1[[#This Row],[Complexidade]],Auxiliar!$D$4:$F$4,0))</f>
        <v>4</v>
      </c>
      <c r="P413" s="2" t="s">
        <v>1272</v>
      </c>
      <c r="Q413" s="2" t="s">
        <v>1269</v>
      </c>
      <c r="R413" s="152">
        <v>45261</v>
      </c>
      <c r="S413" s="152">
        <v>45495</v>
      </c>
      <c r="T413" s="152"/>
      <c r="U413" s="152"/>
      <c r="V413" s="152"/>
      <c r="W413" s="2">
        <f>VLOOKUP(Table1[[#This Row],[Status]],Auxiliar!$B$16:$D$24,3,0)*Table1[[#This Row],[Estimação (horas)]]</f>
        <v>4</v>
      </c>
      <c r="X413" s="2"/>
    </row>
    <row r="414" spans="2:24" ht="17.7" customHeight="1" x14ac:dyDescent="0.25">
      <c r="B414" s="2" t="s">
        <v>26</v>
      </c>
      <c r="C414" s="2" t="s">
        <v>54</v>
      </c>
      <c r="D414" s="2" t="s">
        <v>38</v>
      </c>
      <c r="E414" s="2" t="s">
        <v>38</v>
      </c>
      <c r="F414" s="2" t="s">
        <v>74</v>
      </c>
      <c r="G414" s="2" t="s">
        <v>78</v>
      </c>
      <c r="H414" s="57" t="str">
        <f>Table1[[#This Row],[Tabela]]&amp;Table1[[#This Row],[Campo]]</f>
        <v>RESPONSIBILITY_PROCESS_RELREFERENCE_CODE</v>
      </c>
      <c r="I414" s="2" t="s">
        <v>614</v>
      </c>
      <c r="J414" s="43">
        <f>VLOOKUP(Table1[[#This Row],[Status]],Auxiliar!$B$16:$C$24,2,0)</f>
        <v>1</v>
      </c>
      <c r="K414" s="2" t="s">
        <v>1255</v>
      </c>
      <c r="L414" s="29" t="s">
        <v>1258</v>
      </c>
      <c r="M414" s="21" t="s">
        <v>1260</v>
      </c>
      <c r="N414" s="48">
        <v>45499</v>
      </c>
      <c r="O414" s="21">
        <f>INDEX(Auxiliar!$D$5:$F$13,MATCH(Table1[[#This Row],[Tipologia_Testes]],Auxiliar!$B$5:$B$13,0),MATCH(Table1[[#This Row],[Complexidade]],Auxiliar!$D$4:$F$4,0))</f>
        <v>0.1</v>
      </c>
      <c r="P414" s="2" t="s">
        <v>1272</v>
      </c>
      <c r="Q414" s="2" t="s">
        <v>1269</v>
      </c>
      <c r="R414" s="152">
        <v>45261</v>
      </c>
      <c r="S414" s="152">
        <v>45495</v>
      </c>
      <c r="T414" s="152"/>
      <c r="U414" s="152"/>
      <c r="V414" s="152"/>
      <c r="W414" s="2">
        <f>VLOOKUP(Table1[[#This Row],[Status]],Auxiliar!$B$16:$D$24,3,0)*Table1[[#This Row],[Estimação (horas)]]</f>
        <v>0.1</v>
      </c>
      <c r="X414" s="2"/>
    </row>
    <row r="415" spans="2:24" ht="17.7" customHeight="1" x14ac:dyDescent="0.25">
      <c r="B415" s="2" t="s">
        <v>26</v>
      </c>
      <c r="C415" s="2" t="s">
        <v>54</v>
      </c>
      <c r="D415" s="2" t="s">
        <v>38</v>
      </c>
      <c r="E415" s="2" t="s">
        <v>38</v>
      </c>
      <c r="F415" s="2" t="s">
        <v>74</v>
      </c>
      <c r="G415" s="2" t="s">
        <v>79</v>
      </c>
      <c r="H415" s="57" t="str">
        <f>Table1[[#This Row],[Tabela]]&amp;Table1[[#This Row],[Campo]]</f>
        <v>RESPONSIBILITY_PROCESS_RELPURPOSE_CODE</v>
      </c>
      <c r="I415" s="2" t="s">
        <v>614</v>
      </c>
      <c r="J415" s="43">
        <f>VLOOKUP(Table1[[#This Row],[Status]],Auxiliar!$B$16:$C$24,2,0)</f>
        <v>1</v>
      </c>
      <c r="K415" s="2" t="s">
        <v>1252</v>
      </c>
      <c r="L415" s="29" t="s">
        <v>1258</v>
      </c>
      <c r="M415" s="21" t="s">
        <v>1260</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customHeight="1" x14ac:dyDescent="0.25">
      <c r="B416" s="2" t="s">
        <v>26</v>
      </c>
      <c r="C416" s="2" t="s">
        <v>54</v>
      </c>
      <c r="D416" s="2" t="s">
        <v>38</v>
      </c>
      <c r="E416" s="2" t="s">
        <v>38</v>
      </c>
      <c r="F416" s="2" t="s">
        <v>74</v>
      </c>
      <c r="G416" s="2" t="s">
        <v>79</v>
      </c>
      <c r="H416" s="57" t="str">
        <f>Table1[[#This Row],[Tabela]]&amp;Table1[[#This Row],[Campo]]</f>
        <v>RESPONSIBILITY_PROCESS_RELPURPOSE_CODE</v>
      </c>
      <c r="I416" s="2" t="s">
        <v>614</v>
      </c>
      <c r="J416" s="43">
        <f>VLOOKUP(Table1[[#This Row],[Status]],Auxiliar!$B$16:$C$24,2,0)</f>
        <v>1</v>
      </c>
      <c r="K416" s="2" t="s">
        <v>1253</v>
      </c>
      <c r="L416" s="29" t="s">
        <v>1258</v>
      </c>
      <c r="M416" s="21" t="s">
        <v>1260</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customHeight="1" x14ac:dyDescent="0.25">
      <c r="B417" s="2" t="s">
        <v>26</v>
      </c>
      <c r="C417" s="2" t="s">
        <v>54</v>
      </c>
      <c r="D417" s="2" t="s">
        <v>38</v>
      </c>
      <c r="E417" s="2" t="s">
        <v>38</v>
      </c>
      <c r="F417" s="2" t="s">
        <v>74</v>
      </c>
      <c r="G417" s="2" t="s">
        <v>79</v>
      </c>
      <c r="H417" s="57" t="str">
        <f>Table1[[#This Row],[Tabela]]&amp;Table1[[#This Row],[Campo]]</f>
        <v>RESPONSIBILITY_PROCESS_RELPURPOSE_CODE</v>
      </c>
      <c r="I417" s="2" t="s">
        <v>614</v>
      </c>
      <c r="J417" s="43">
        <f>VLOOKUP(Table1[[#This Row],[Status]],Auxiliar!$B$16:$C$24,2,0)</f>
        <v>1</v>
      </c>
      <c r="K417" s="2" t="s">
        <v>1255</v>
      </c>
      <c r="L417" s="29" t="s">
        <v>1258</v>
      </c>
      <c r="M417" s="21" t="s">
        <v>1260</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customHeight="1" x14ac:dyDescent="0.25">
      <c r="B418" s="2" t="s">
        <v>26</v>
      </c>
      <c r="C418" s="2" t="s">
        <v>54</v>
      </c>
      <c r="D418" s="2" t="s">
        <v>38</v>
      </c>
      <c r="E418" s="2" t="s">
        <v>38</v>
      </c>
      <c r="F418" s="2" t="s">
        <v>74</v>
      </c>
      <c r="G418" s="2" t="s">
        <v>80</v>
      </c>
      <c r="H418" s="57" t="str">
        <f>Table1[[#This Row],[Tabela]]&amp;Table1[[#This Row],[Campo]]</f>
        <v>RESPONSIBILITY_PROCESS_RELINDIVIDUAL_OCCUPATION_CODE</v>
      </c>
      <c r="I418" s="2" t="s">
        <v>614</v>
      </c>
      <c r="J418" s="43">
        <f>VLOOKUP(Table1[[#This Row],[Status]],Auxiliar!$B$16:$C$24,2,0)</f>
        <v>1</v>
      </c>
      <c r="K418" s="2" t="s">
        <v>1252</v>
      </c>
      <c r="L418" s="29" t="s">
        <v>1258</v>
      </c>
      <c r="M418" s="21" t="s">
        <v>1260</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customHeight="1" x14ac:dyDescent="0.25">
      <c r="B419" s="2" t="s">
        <v>26</v>
      </c>
      <c r="C419" s="2" t="s">
        <v>54</v>
      </c>
      <c r="D419" s="2" t="s">
        <v>38</v>
      </c>
      <c r="E419" s="2" t="s">
        <v>38</v>
      </c>
      <c r="F419" s="2" t="s">
        <v>74</v>
      </c>
      <c r="G419" s="2" t="s">
        <v>80</v>
      </c>
      <c r="H419" s="57" t="str">
        <f>Table1[[#This Row],[Tabela]]&amp;Table1[[#This Row],[Campo]]</f>
        <v>RESPONSIBILITY_PROCESS_RELINDIVIDUAL_OCCUPATION_CODE</v>
      </c>
      <c r="I419" s="2" t="s">
        <v>614</v>
      </c>
      <c r="J419" s="43">
        <f>VLOOKUP(Table1[[#This Row],[Status]],Auxiliar!$B$16:$C$24,2,0)</f>
        <v>1</v>
      </c>
      <c r="K419" s="2" t="s">
        <v>1253</v>
      </c>
      <c r="L419" s="29" t="s">
        <v>1258</v>
      </c>
      <c r="M419" s="21" t="s">
        <v>1260</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customHeight="1" x14ac:dyDescent="0.25">
      <c r="B420" s="2" t="s">
        <v>26</v>
      </c>
      <c r="C420" s="2" t="s">
        <v>54</v>
      </c>
      <c r="D420" s="2" t="s">
        <v>38</v>
      </c>
      <c r="E420" s="2" t="s">
        <v>38</v>
      </c>
      <c r="F420" s="2" t="s">
        <v>74</v>
      </c>
      <c r="G420" s="2" t="s">
        <v>80</v>
      </c>
      <c r="H420" s="57" t="str">
        <f>Table1[[#This Row],[Tabela]]&amp;Table1[[#This Row],[Campo]]</f>
        <v>RESPONSIBILITY_PROCESS_RELINDIVIDUAL_OCCUPATION_CODE</v>
      </c>
      <c r="I420" s="2" t="s">
        <v>614</v>
      </c>
      <c r="J420" s="43">
        <f>VLOOKUP(Table1[[#This Row],[Status]],Auxiliar!$B$16:$C$24,2,0)</f>
        <v>1</v>
      </c>
      <c r="K420" s="2" t="s">
        <v>1255</v>
      </c>
      <c r="L420" s="29" t="s">
        <v>1258</v>
      </c>
      <c r="M420" s="21" t="s">
        <v>1260</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customHeight="1" x14ac:dyDescent="0.25">
      <c r="B421" s="2" t="s">
        <v>26</v>
      </c>
      <c r="C421" s="2" t="s">
        <v>54</v>
      </c>
      <c r="D421" s="2" t="s">
        <v>38</v>
      </c>
      <c r="E421" s="2" t="s">
        <v>38</v>
      </c>
      <c r="F421" s="2" t="s">
        <v>74</v>
      </c>
      <c r="G421" s="2" t="s">
        <v>81</v>
      </c>
      <c r="H421" s="57" t="str">
        <f>Table1[[#This Row],[Tabela]]&amp;Table1[[#This Row],[Campo]]</f>
        <v>RESPONSIBILITY_PROCESS_RELPRODUCT_ID</v>
      </c>
      <c r="I421" s="2" t="s">
        <v>614</v>
      </c>
      <c r="J421" s="43">
        <f>VLOOKUP(Table1[[#This Row],[Status]],Auxiliar!$B$16:$C$24,2,0)</f>
        <v>1</v>
      </c>
      <c r="K421" s="2" t="s">
        <v>1252</v>
      </c>
      <c r="L421" s="29" t="s">
        <v>1258</v>
      </c>
      <c r="M421" s="21" t="s">
        <v>1260</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customHeight="1" x14ac:dyDescent="0.25">
      <c r="B422" s="2" t="s">
        <v>26</v>
      </c>
      <c r="C422" s="2" t="s">
        <v>54</v>
      </c>
      <c r="D422" s="2" t="s">
        <v>38</v>
      </c>
      <c r="E422" s="2" t="s">
        <v>38</v>
      </c>
      <c r="F422" s="2" t="s">
        <v>74</v>
      </c>
      <c r="G422" s="2" t="s">
        <v>81</v>
      </c>
      <c r="H422" s="57" t="str">
        <f>Table1[[#This Row],[Tabela]]&amp;Table1[[#This Row],[Campo]]</f>
        <v>RESPONSIBILITY_PROCESS_RELPRODUCT_ID</v>
      </c>
      <c r="I422" s="2" t="s">
        <v>614</v>
      </c>
      <c r="J422" s="43">
        <f>VLOOKUP(Table1[[#This Row],[Status]],Auxiliar!$B$16:$C$24,2,0)</f>
        <v>1</v>
      </c>
      <c r="K422" s="2" t="s">
        <v>1253</v>
      </c>
      <c r="L422" s="29" t="s">
        <v>1258</v>
      </c>
      <c r="M422" s="21" t="s">
        <v>1260</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customHeight="1" x14ac:dyDescent="0.25">
      <c r="B423" s="2" t="s">
        <v>26</v>
      </c>
      <c r="C423" s="2" t="s">
        <v>54</v>
      </c>
      <c r="D423" s="2" t="s">
        <v>38</v>
      </c>
      <c r="E423" s="2" t="s">
        <v>38</v>
      </c>
      <c r="F423" s="2" t="s">
        <v>74</v>
      </c>
      <c r="G423" s="2" t="s">
        <v>81</v>
      </c>
      <c r="H423" s="57" t="str">
        <f>Table1[[#This Row],[Tabela]]&amp;Table1[[#This Row],[Campo]]</f>
        <v>RESPONSIBILITY_PROCESS_RELPRODUCT_ID</v>
      </c>
      <c r="I423" s="2" t="s">
        <v>614</v>
      </c>
      <c r="J423" s="43">
        <f>VLOOKUP(Table1[[#This Row],[Status]],Auxiliar!$B$16:$C$24,2,0)</f>
        <v>1</v>
      </c>
      <c r="K423" s="2" t="s">
        <v>1255</v>
      </c>
      <c r="L423" s="29" t="s">
        <v>1258</v>
      </c>
      <c r="M423" s="21" t="s">
        <v>1260</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customHeight="1" x14ac:dyDescent="0.25">
      <c r="B424" s="2" t="s">
        <v>26</v>
      </c>
      <c r="C424" s="2" t="s">
        <v>54</v>
      </c>
      <c r="D424" s="2" t="s">
        <v>38</v>
      </c>
      <c r="E424" s="2" t="s">
        <v>38</v>
      </c>
      <c r="F424" s="2" t="s">
        <v>74</v>
      </c>
      <c r="G424" s="2" t="s">
        <v>82</v>
      </c>
      <c r="H424" s="57" t="str">
        <f>Table1[[#This Row],[Tabela]]&amp;Table1[[#This Row],[Campo]]</f>
        <v>RESPONSIBILITY_PROCESS_RELcod_sit</v>
      </c>
      <c r="I424" s="2" t="s">
        <v>613</v>
      </c>
      <c r="J424" s="43">
        <f>VLOOKUP(Table1[[#This Row],[Status]],Auxiliar!$B$16:$C$24,2,0)</f>
        <v>0</v>
      </c>
      <c r="K424" s="2" t="s">
        <v>1252</v>
      </c>
      <c r="L424" s="29" t="s">
        <v>1270</v>
      </c>
      <c r="M424" s="21" t="s">
        <v>1260</v>
      </c>
      <c r="N424" s="48">
        <v>45485</v>
      </c>
      <c r="O424" s="21">
        <f>INDEX(Auxiliar!$D$5:$F$13,MATCH(Table1[[#This Row],[Tipologia_Testes]],Auxiliar!$B$5:$B$13,0),MATCH(Table1[[#This Row],[Complexidade]],Auxiliar!$D$4:$F$4,0))</f>
        <v>4</v>
      </c>
      <c r="P424" s="2" t="s">
        <v>1278</v>
      </c>
      <c r="Q424" s="2"/>
      <c r="R424" s="152">
        <v>45425</v>
      </c>
      <c r="S424" s="152"/>
      <c r="T424" s="152"/>
      <c r="U424" s="152"/>
      <c r="V424" s="152"/>
      <c r="W424" s="2">
        <f>VLOOKUP(Table1[[#This Row],[Status]],Auxiliar!$B$16:$D$24,3,0)*Table1[[#This Row],[Estimação (horas)]]</f>
        <v>0</v>
      </c>
      <c r="X424" s="2"/>
    </row>
    <row r="425" spans="2:24" ht="17.7" customHeight="1" x14ac:dyDescent="0.25">
      <c r="B425" s="2" t="s">
        <v>26</v>
      </c>
      <c r="C425" s="2" t="s">
        <v>54</v>
      </c>
      <c r="D425" s="2" t="s">
        <v>38</v>
      </c>
      <c r="E425" s="2" t="s">
        <v>38</v>
      </c>
      <c r="F425" s="2" t="s">
        <v>74</v>
      </c>
      <c r="G425" s="2" t="s">
        <v>83</v>
      </c>
      <c r="H425" s="57" t="str">
        <f>Table1[[#This Row],[Tabela]]&amp;Table1[[#This Row],[Campo]]</f>
        <v>RESPONSIBILITY_PROCESS_RELSUBPRODUCT_ID</v>
      </c>
      <c r="I425" s="2" t="s">
        <v>614</v>
      </c>
      <c r="J425" s="43">
        <f>VLOOKUP(Table1[[#This Row],[Status]],Auxiliar!$B$16:$C$24,2,0)</f>
        <v>1</v>
      </c>
      <c r="K425" s="2" t="s">
        <v>1252</v>
      </c>
      <c r="L425" s="29" t="s">
        <v>1258</v>
      </c>
      <c r="M425" s="21" t="s">
        <v>1260</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customHeight="1" x14ac:dyDescent="0.25">
      <c r="B426" s="2" t="s">
        <v>26</v>
      </c>
      <c r="C426" s="2" t="s">
        <v>54</v>
      </c>
      <c r="D426" s="2" t="s">
        <v>38</v>
      </c>
      <c r="E426" s="2" t="s">
        <v>38</v>
      </c>
      <c r="F426" s="2" t="s">
        <v>74</v>
      </c>
      <c r="G426" s="2" t="s">
        <v>83</v>
      </c>
      <c r="H426" s="57" t="str">
        <f>Table1[[#This Row],[Tabela]]&amp;Table1[[#This Row],[Campo]]</f>
        <v>RESPONSIBILITY_PROCESS_RELSUBPRODUCT_ID</v>
      </c>
      <c r="I426" s="2" t="s">
        <v>614</v>
      </c>
      <c r="J426" s="43">
        <f>VLOOKUP(Table1[[#This Row],[Status]],Auxiliar!$B$16:$C$24,2,0)</f>
        <v>1</v>
      </c>
      <c r="K426" s="2" t="s">
        <v>1253</v>
      </c>
      <c r="L426" s="29" t="s">
        <v>1258</v>
      </c>
      <c r="M426" s="21" t="s">
        <v>1260</v>
      </c>
      <c r="N426" s="48">
        <v>45485</v>
      </c>
      <c r="O426" s="21">
        <f>INDEX(Auxiliar!$D$5:$F$13,MATCH(Table1[[#This Row],[Tipologia_Testes]],Auxiliar!$B$5:$B$13,0),MATCH(Table1[[#This Row],[Complexidade]],Auxiliar!$D$4:$F$4,0))</f>
        <v>4</v>
      </c>
      <c r="P426" s="2"/>
      <c r="Q426" s="2"/>
      <c r="R426" s="152">
        <v>45261</v>
      </c>
      <c r="S426" s="152"/>
      <c r="T426" s="152"/>
      <c r="U426" s="152"/>
      <c r="V426" s="152"/>
      <c r="W426" s="2">
        <f>VLOOKUP(Table1[[#This Row],[Status]],Auxiliar!$B$16:$D$24,3,0)*Table1[[#This Row],[Estimação (horas)]]</f>
        <v>4</v>
      </c>
      <c r="X426" s="2"/>
    </row>
    <row r="427" spans="2:24" ht="17.7" customHeight="1" x14ac:dyDescent="0.25">
      <c r="B427" s="2" t="s">
        <v>26</v>
      </c>
      <c r="C427" s="2" t="s">
        <v>54</v>
      </c>
      <c r="D427" s="2" t="s">
        <v>38</v>
      </c>
      <c r="E427" s="2" t="s">
        <v>38</v>
      </c>
      <c r="F427" s="2" t="s">
        <v>74</v>
      </c>
      <c r="G427" s="2" t="s">
        <v>83</v>
      </c>
      <c r="H427" s="57" t="str">
        <f>Table1[[#This Row],[Tabela]]&amp;Table1[[#This Row],[Campo]]</f>
        <v>RESPONSIBILITY_PROCESS_RELSUBPRODUCT_ID</v>
      </c>
      <c r="I427" s="2" t="s">
        <v>614</v>
      </c>
      <c r="J427" s="43">
        <f>VLOOKUP(Table1[[#This Row],[Status]],Auxiliar!$B$16:$C$24,2,0)</f>
        <v>1</v>
      </c>
      <c r="K427" s="2" t="s">
        <v>1255</v>
      </c>
      <c r="L427" s="29" t="s">
        <v>1258</v>
      </c>
      <c r="M427" s="21" t="s">
        <v>1260</v>
      </c>
      <c r="N427" s="48">
        <v>45485</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7" customHeight="1" x14ac:dyDescent="0.25">
      <c r="B428" s="2" t="s">
        <v>26</v>
      </c>
      <c r="C428" s="2" t="s">
        <v>54</v>
      </c>
      <c r="D428" s="2" t="s">
        <v>38</v>
      </c>
      <c r="E428" s="2" t="s">
        <v>38</v>
      </c>
      <c r="F428" s="2" t="s">
        <v>74</v>
      </c>
      <c r="G428" s="2" t="s">
        <v>67</v>
      </c>
      <c r="H428" s="57" t="str">
        <f>Table1[[#This Row],[Tabela]]&amp;Table1[[#This Row],[Campo]]</f>
        <v>RESPONSIBILITY_PROCESS_RELPROCESS_REFERENCE_CODE</v>
      </c>
      <c r="I428" s="2" t="s">
        <v>614</v>
      </c>
      <c r="J428" s="43">
        <f>VLOOKUP(Table1[[#This Row],[Status]],Auxiliar!$B$16:$C$24,2,0)</f>
        <v>1</v>
      </c>
      <c r="K428" s="2" t="s">
        <v>1252</v>
      </c>
      <c r="L428" s="29" t="s">
        <v>1250</v>
      </c>
      <c r="M428" s="21" t="s">
        <v>1260</v>
      </c>
      <c r="N428" s="48">
        <v>45512</v>
      </c>
      <c r="O428" s="21">
        <f>INDEX(Auxiliar!$D$5:$F$13,MATCH(Table1[[#This Row],[Tipologia_Testes]],Auxiliar!$B$5:$B$13,0),MATCH(Table1[[#This Row],[Complexidade]],Auxiliar!$D$4:$F$4,0))</f>
        <v>4</v>
      </c>
      <c r="P428" s="2" t="s">
        <v>1280</v>
      </c>
      <c r="Q428" s="2"/>
      <c r="R428" s="152">
        <v>45261</v>
      </c>
      <c r="S428" s="152"/>
      <c r="T428" s="152"/>
      <c r="U428" s="152"/>
      <c r="V428" s="152"/>
      <c r="W428" s="2">
        <f>VLOOKUP(Table1[[#This Row],[Status]],Auxiliar!$B$16:$D$24,3,0)*Table1[[#This Row],[Estimação (horas)]]</f>
        <v>4</v>
      </c>
      <c r="X428" s="2"/>
    </row>
    <row r="429" spans="2:24" ht="17.7" customHeight="1" x14ac:dyDescent="0.25">
      <c r="B429" s="2" t="s">
        <v>26</v>
      </c>
      <c r="C429" s="2" t="s">
        <v>54</v>
      </c>
      <c r="D429" s="2" t="s">
        <v>38</v>
      </c>
      <c r="E429" s="2" t="s">
        <v>38</v>
      </c>
      <c r="F429" s="2" t="s">
        <v>74</v>
      </c>
      <c r="G429" s="2" t="s">
        <v>67</v>
      </c>
      <c r="H429" s="57" t="str">
        <f>Table1[[#This Row],[Tabela]]&amp;Table1[[#This Row],[Campo]]</f>
        <v>RESPONSIBILITY_PROCESS_RELPROCESS_REFERENCE_CODE</v>
      </c>
      <c r="I429" s="2" t="s">
        <v>614</v>
      </c>
      <c r="J429" s="43">
        <f>VLOOKUP(Table1[[#This Row],[Status]],Auxiliar!$B$16:$C$24,2,0)</f>
        <v>1</v>
      </c>
      <c r="K429" s="2" t="s">
        <v>1253</v>
      </c>
      <c r="L429" s="29" t="s">
        <v>1250</v>
      </c>
      <c r="M429" s="21" t="s">
        <v>1260</v>
      </c>
      <c r="N429" s="48">
        <v>45512</v>
      </c>
      <c r="O429" s="21">
        <f>INDEX(Auxiliar!$D$5:$F$13,MATCH(Table1[[#This Row],[Tipologia_Testes]],Auxiliar!$B$5:$B$13,0),MATCH(Table1[[#This Row],[Complexidade]],Auxiliar!$D$4:$F$4,0))</f>
        <v>4</v>
      </c>
      <c r="P429" s="2" t="s">
        <v>1280</v>
      </c>
      <c r="Q429" s="2"/>
      <c r="R429" s="152">
        <v>45261</v>
      </c>
      <c r="S429" s="152"/>
      <c r="T429" s="152"/>
      <c r="U429" s="152"/>
      <c r="V429" s="152"/>
      <c r="W429" s="2">
        <f>VLOOKUP(Table1[[#This Row],[Status]],Auxiliar!$B$16:$D$24,3,0)*Table1[[#This Row],[Estimação (horas)]]</f>
        <v>4</v>
      </c>
      <c r="X429" s="2"/>
    </row>
    <row r="430" spans="2:24" ht="17.7" customHeight="1" x14ac:dyDescent="0.25">
      <c r="B430" s="2" t="s">
        <v>26</v>
      </c>
      <c r="C430" s="2" t="s">
        <v>54</v>
      </c>
      <c r="D430" s="2" t="s">
        <v>38</v>
      </c>
      <c r="E430" s="2" t="s">
        <v>38</v>
      </c>
      <c r="F430" s="2" t="s">
        <v>74</v>
      </c>
      <c r="G430" s="2" t="s">
        <v>67</v>
      </c>
      <c r="H430" s="57" t="str">
        <f>Table1[[#This Row],[Tabela]]&amp;Table1[[#This Row],[Campo]]</f>
        <v>RESPONSIBILITY_PROCESS_RELPROCESS_REFERENCE_CODE</v>
      </c>
      <c r="I430" s="2" t="s">
        <v>614</v>
      </c>
      <c r="J430" s="43">
        <f>VLOOKUP(Table1[[#This Row],[Status]],Auxiliar!$B$16:$C$24,2,0)</f>
        <v>1</v>
      </c>
      <c r="K430" s="2" t="s">
        <v>1255</v>
      </c>
      <c r="L430" s="29" t="s">
        <v>1250</v>
      </c>
      <c r="M430" s="21" t="s">
        <v>1260</v>
      </c>
      <c r="N430" s="48">
        <v>45512</v>
      </c>
      <c r="O430" s="21">
        <f>INDEX(Auxiliar!$D$5:$F$13,MATCH(Table1[[#This Row],[Tipologia_Testes]],Auxiliar!$B$5:$B$13,0),MATCH(Table1[[#This Row],[Complexidade]],Auxiliar!$D$4:$F$4,0))</f>
        <v>0.1</v>
      </c>
      <c r="P430" s="2" t="s">
        <v>1280</v>
      </c>
      <c r="Q430" s="2"/>
      <c r="R430" s="152">
        <v>45261</v>
      </c>
      <c r="S430" s="152"/>
      <c r="T430" s="152"/>
      <c r="U430" s="152"/>
      <c r="V430" s="152"/>
      <c r="W430" s="2">
        <f>VLOOKUP(Table1[[#This Row],[Status]],Auxiliar!$B$16:$D$24,3,0)*Table1[[#This Row],[Estimação (horas)]]</f>
        <v>0.1</v>
      </c>
      <c r="X430" s="2"/>
    </row>
    <row r="431" spans="2:24" ht="17.7" customHeight="1" x14ac:dyDescent="0.25">
      <c r="B431" s="2" t="s">
        <v>26</v>
      </c>
      <c r="C431" s="2" t="s">
        <v>54</v>
      </c>
      <c r="D431" s="2" t="s">
        <v>38</v>
      </c>
      <c r="E431" s="2" t="s">
        <v>38</v>
      </c>
      <c r="F431" s="2" t="s">
        <v>74</v>
      </c>
      <c r="G431" s="2" t="s">
        <v>84</v>
      </c>
      <c r="H431" s="57" t="str">
        <f>Table1[[#This Row],[Tabela]]&amp;Table1[[#This Row],[Campo]]</f>
        <v>RESPONSIBILITY_PROCESS_RELEFFECTIVE_RELATION_END_DATE</v>
      </c>
      <c r="I431" s="2" t="s">
        <v>614</v>
      </c>
      <c r="J431" s="43">
        <f>VLOOKUP(Table1[[#This Row],[Status]],Auxiliar!$B$16:$C$24,2,0)</f>
        <v>1</v>
      </c>
      <c r="K431" s="2" t="s">
        <v>1252</v>
      </c>
      <c r="L431" s="29" t="s">
        <v>1258</v>
      </c>
      <c r="M431" s="21" t="s">
        <v>1260</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customHeight="1" x14ac:dyDescent="0.25">
      <c r="B432" s="2" t="s">
        <v>26</v>
      </c>
      <c r="C432" s="2" t="s">
        <v>54</v>
      </c>
      <c r="D432" s="2" t="s">
        <v>38</v>
      </c>
      <c r="E432" s="2" t="s">
        <v>38</v>
      </c>
      <c r="F432" s="2" t="s">
        <v>74</v>
      </c>
      <c r="G432" s="2" t="s">
        <v>84</v>
      </c>
      <c r="H432" s="57" t="str">
        <f>Table1[[#This Row],[Tabela]]&amp;Table1[[#This Row],[Campo]]</f>
        <v>RESPONSIBILITY_PROCESS_RELEFFECTIVE_RELATION_END_DATE</v>
      </c>
      <c r="I432" s="2" t="s">
        <v>614</v>
      </c>
      <c r="J432" s="43">
        <f>VLOOKUP(Table1[[#This Row],[Status]],Auxiliar!$B$16:$C$24,2,0)</f>
        <v>1</v>
      </c>
      <c r="K432" s="2" t="s">
        <v>1253</v>
      </c>
      <c r="L432" s="29" t="s">
        <v>1258</v>
      </c>
      <c r="M432" s="21" t="s">
        <v>1260</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customHeight="1" x14ac:dyDescent="0.25">
      <c r="B433" s="2" t="s">
        <v>26</v>
      </c>
      <c r="C433" s="2" t="s">
        <v>54</v>
      </c>
      <c r="D433" s="2" t="s">
        <v>38</v>
      </c>
      <c r="E433" s="2" t="s">
        <v>38</v>
      </c>
      <c r="F433" s="2" t="s">
        <v>74</v>
      </c>
      <c r="G433" s="2" t="s">
        <v>84</v>
      </c>
      <c r="H433" s="57" t="str">
        <f>Table1[[#This Row],[Tabela]]&amp;Table1[[#This Row],[Campo]]</f>
        <v>RESPONSIBILITY_PROCESS_RELEFFECTIVE_RELATION_END_DATE</v>
      </c>
      <c r="I433" s="2" t="s">
        <v>614</v>
      </c>
      <c r="J433" s="43">
        <f>VLOOKUP(Table1[[#This Row],[Status]],Auxiliar!$B$16:$C$24,2,0)</f>
        <v>1</v>
      </c>
      <c r="K433" s="2" t="s">
        <v>1255</v>
      </c>
      <c r="L433" s="29" t="s">
        <v>1258</v>
      </c>
      <c r="M433" s="21" t="s">
        <v>1260</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customHeight="1" x14ac:dyDescent="0.25">
      <c r="B434" s="2" t="s">
        <v>26</v>
      </c>
      <c r="C434" s="2" t="s">
        <v>54</v>
      </c>
      <c r="D434" s="2" t="s">
        <v>38</v>
      </c>
      <c r="E434" s="2" t="s">
        <v>38</v>
      </c>
      <c r="F434" s="2" t="s">
        <v>74</v>
      </c>
      <c r="G434" s="2" t="s">
        <v>68</v>
      </c>
      <c r="H434" s="57" t="str">
        <f>Table1[[#This Row],[Tabela]]&amp;Table1[[#This Row],[Campo]]</f>
        <v>RESPONSIBILITY_PROCESS_RELPROCESS_START_DATE</v>
      </c>
      <c r="I434" s="2" t="s">
        <v>614</v>
      </c>
      <c r="J434" s="43">
        <f>VLOOKUP(Table1[[#This Row],[Status]],Auxiliar!$B$16:$C$24,2,0)</f>
        <v>1</v>
      </c>
      <c r="K434" s="2" t="s">
        <v>1252</v>
      </c>
      <c r="L434" s="29" t="s">
        <v>1258</v>
      </c>
      <c r="M434" s="21" t="s">
        <v>1260</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customHeight="1" x14ac:dyDescent="0.25">
      <c r="B435" s="2" t="s">
        <v>26</v>
      </c>
      <c r="C435" s="2" t="s">
        <v>54</v>
      </c>
      <c r="D435" s="2" t="s">
        <v>38</v>
      </c>
      <c r="E435" s="2" t="s">
        <v>38</v>
      </c>
      <c r="F435" s="2" t="s">
        <v>74</v>
      </c>
      <c r="G435" s="2" t="s">
        <v>68</v>
      </c>
      <c r="H435" s="57" t="str">
        <f>Table1[[#This Row],[Tabela]]&amp;Table1[[#This Row],[Campo]]</f>
        <v>RESPONSIBILITY_PROCESS_RELPROCESS_START_DATE</v>
      </c>
      <c r="I435" s="2" t="s">
        <v>614</v>
      </c>
      <c r="J435" s="43">
        <f>VLOOKUP(Table1[[#This Row],[Status]],Auxiliar!$B$16:$C$24,2,0)</f>
        <v>1</v>
      </c>
      <c r="K435" s="2" t="s">
        <v>1253</v>
      </c>
      <c r="L435" s="29" t="s">
        <v>1258</v>
      </c>
      <c r="M435" s="21" t="s">
        <v>1260</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customHeight="1" x14ac:dyDescent="0.25">
      <c r="B436" s="2" t="s">
        <v>26</v>
      </c>
      <c r="C436" s="2" t="s">
        <v>54</v>
      </c>
      <c r="D436" s="2" t="s">
        <v>38</v>
      </c>
      <c r="E436" s="2" t="s">
        <v>38</v>
      </c>
      <c r="F436" s="2" t="s">
        <v>74</v>
      </c>
      <c r="G436" s="2" t="s">
        <v>68</v>
      </c>
      <c r="H436" s="57" t="str">
        <f>Table1[[#This Row],[Tabela]]&amp;Table1[[#This Row],[Campo]]</f>
        <v>RESPONSIBILITY_PROCESS_RELPROCESS_START_DATE</v>
      </c>
      <c r="I436" s="2" t="s">
        <v>614</v>
      </c>
      <c r="J436" s="43">
        <f>VLOOKUP(Table1[[#This Row],[Status]],Auxiliar!$B$16:$C$24,2,0)</f>
        <v>1</v>
      </c>
      <c r="K436" s="2" t="s">
        <v>1255</v>
      </c>
      <c r="L436" s="29" t="s">
        <v>1258</v>
      </c>
      <c r="M436" s="21" t="s">
        <v>1260</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customHeight="1" x14ac:dyDescent="0.25">
      <c r="B437" s="2" t="s">
        <v>26</v>
      </c>
      <c r="C437" s="2" t="s">
        <v>54</v>
      </c>
      <c r="D437" s="2" t="s">
        <v>38</v>
      </c>
      <c r="E437" s="2" t="s">
        <v>38</v>
      </c>
      <c r="F437" s="2" t="s">
        <v>74</v>
      </c>
      <c r="G437" s="2" t="s">
        <v>69</v>
      </c>
      <c r="H437" s="57" t="str">
        <f>Table1[[#This Row],[Tabela]]&amp;Table1[[#This Row],[Campo]]</f>
        <v>RESPONSIBILITY_PROCESS_RELPROCESS_DUE_DATE</v>
      </c>
      <c r="I437" s="2" t="s">
        <v>614</v>
      </c>
      <c r="J437" s="43">
        <f>VLOOKUP(Table1[[#This Row],[Status]],Auxiliar!$B$16:$C$24,2,0)</f>
        <v>1</v>
      </c>
      <c r="K437" s="2" t="s">
        <v>1252</v>
      </c>
      <c r="L437" s="29" t="s">
        <v>1258</v>
      </c>
      <c r="M437" s="21" t="s">
        <v>1260</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customHeight="1" x14ac:dyDescent="0.25">
      <c r="B438" s="2" t="s">
        <v>26</v>
      </c>
      <c r="C438" s="2" t="s">
        <v>54</v>
      </c>
      <c r="D438" s="2" t="s">
        <v>38</v>
      </c>
      <c r="E438" s="2" t="s">
        <v>38</v>
      </c>
      <c r="F438" s="2" t="s">
        <v>74</v>
      </c>
      <c r="G438" s="2" t="s">
        <v>69</v>
      </c>
      <c r="H438" s="57" t="str">
        <f>Table1[[#This Row],[Tabela]]&amp;Table1[[#This Row],[Campo]]</f>
        <v>RESPONSIBILITY_PROCESS_RELPROCESS_DUE_DATE</v>
      </c>
      <c r="I438" s="2" t="s">
        <v>614</v>
      </c>
      <c r="J438" s="43">
        <f>VLOOKUP(Table1[[#This Row],[Status]],Auxiliar!$B$16:$C$24,2,0)</f>
        <v>1</v>
      </c>
      <c r="K438" s="2" t="s">
        <v>1253</v>
      </c>
      <c r="L438" s="29" t="s">
        <v>1258</v>
      </c>
      <c r="M438" s="21" t="s">
        <v>1260</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customHeight="1" x14ac:dyDescent="0.25">
      <c r="B439" s="2" t="s">
        <v>26</v>
      </c>
      <c r="C439" s="2" t="s">
        <v>54</v>
      </c>
      <c r="D439" s="2" t="s">
        <v>38</v>
      </c>
      <c r="E439" s="2" t="s">
        <v>38</v>
      </c>
      <c r="F439" s="2" t="s">
        <v>74</v>
      </c>
      <c r="G439" s="2" t="s">
        <v>69</v>
      </c>
      <c r="H439" s="57" t="str">
        <f>Table1[[#This Row],[Tabela]]&amp;Table1[[#This Row],[Campo]]</f>
        <v>RESPONSIBILITY_PROCESS_RELPROCESS_DUE_DATE</v>
      </c>
      <c r="I439" s="2" t="s">
        <v>614</v>
      </c>
      <c r="J439" s="43">
        <f>VLOOKUP(Table1[[#This Row],[Status]],Auxiliar!$B$16:$C$24,2,0)</f>
        <v>1</v>
      </c>
      <c r="K439" s="2" t="s">
        <v>1255</v>
      </c>
      <c r="L439" s="29" t="s">
        <v>1258</v>
      </c>
      <c r="M439" s="21" t="s">
        <v>1260</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customHeight="1" x14ac:dyDescent="0.25">
      <c r="B440" s="2" t="s">
        <v>26</v>
      </c>
      <c r="C440" s="2" t="s">
        <v>54</v>
      </c>
      <c r="D440" s="2" t="s">
        <v>38</v>
      </c>
      <c r="E440" s="2" t="s">
        <v>38</v>
      </c>
      <c r="F440" s="2" t="s">
        <v>74</v>
      </c>
      <c r="G440" s="2" t="s">
        <v>85</v>
      </c>
      <c r="H440" s="57" t="str">
        <f>Table1[[#This Row],[Tabela]]&amp;Table1[[#This Row],[Campo]]</f>
        <v>RESPONSIBILITY_PROCESS_RELidetgar</v>
      </c>
      <c r="I440" s="2" t="s">
        <v>613</v>
      </c>
      <c r="J440" s="43">
        <f>VLOOKUP(Table1[[#This Row],[Status]],Auxiliar!$B$16:$C$24,2,0)</f>
        <v>0</v>
      </c>
      <c r="K440" s="2" t="s">
        <v>1252</v>
      </c>
      <c r="L440" s="29" t="s">
        <v>1270</v>
      </c>
      <c r="M440" s="21" t="s">
        <v>1260</v>
      </c>
      <c r="N440" s="48">
        <v>45485</v>
      </c>
      <c r="O440" s="21">
        <f>INDEX(Auxiliar!$D$5:$F$13,MATCH(Table1[[#This Row],[Tipologia_Testes]],Auxiliar!$B$5:$B$13,0),MATCH(Table1[[#This Row],[Complexidade]],Auxiliar!$D$4:$F$4,0))</f>
        <v>4</v>
      </c>
      <c r="P440" s="2" t="s">
        <v>1278</v>
      </c>
      <c r="Q440" s="2"/>
      <c r="R440" s="152">
        <v>45425</v>
      </c>
      <c r="S440" s="152"/>
      <c r="T440" s="152"/>
      <c r="U440" s="152"/>
      <c r="V440" s="152"/>
      <c r="W440" s="2">
        <f>VLOOKUP(Table1[[#This Row],[Status]],Auxiliar!$B$16:$D$24,3,0)*Table1[[#This Row],[Estimação (horas)]]</f>
        <v>0</v>
      </c>
      <c r="X440" s="2"/>
    </row>
    <row r="441" spans="2:24" ht="17.7" customHeight="1" x14ac:dyDescent="0.25">
      <c r="B441" s="2" t="s">
        <v>26</v>
      </c>
      <c r="C441" s="2" t="s">
        <v>54</v>
      </c>
      <c r="D441" s="2" t="s">
        <v>38</v>
      </c>
      <c r="E441" s="2" t="s">
        <v>38</v>
      </c>
      <c r="F441" s="2" t="s">
        <v>74</v>
      </c>
      <c r="G441" s="2" t="s">
        <v>86</v>
      </c>
      <c r="H441" s="57" t="str">
        <f>Table1[[#This Row],[Tabela]]&amp;Table1[[#This Row],[Campo]]</f>
        <v>RESPONSIBILITY_PROCESS_RELnum_prop</v>
      </c>
      <c r="I441" s="2" t="s">
        <v>613</v>
      </c>
      <c r="J441" s="43">
        <f>VLOOKUP(Table1[[#This Row],[Status]],Auxiliar!$B$16:$C$24,2,0)</f>
        <v>0</v>
      </c>
      <c r="K441" s="2" t="s">
        <v>1252</v>
      </c>
      <c r="L441" s="29" t="s">
        <v>1270</v>
      </c>
      <c r="M441" s="21" t="s">
        <v>1260</v>
      </c>
      <c r="N441" s="48">
        <v>45485</v>
      </c>
      <c r="O441" s="21">
        <f>INDEX(Auxiliar!$D$5:$F$13,MATCH(Table1[[#This Row],[Tipologia_Testes]],Auxiliar!$B$5:$B$13,0),MATCH(Table1[[#This Row],[Complexidade]],Auxiliar!$D$4:$F$4,0))</f>
        <v>4</v>
      </c>
      <c r="P441" s="2" t="s">
        <v>1278</v>
      </c>
      <c r="Q441" s="2"/>
      <c r="R441" s="152">
        <v>45425</v>
      </c>
      <c r="S441" s="152"/>
      <c r="T441" s="152"/>
      <c r="U441" s="152"/>
      <c r="V441" s="152"/>
      <c r="W441" s="2">
        <f>VLOOKUP(Table1[[#This Row],[Status]],Auxiliar!$B$16:$D$24,3,0)*Table1[[#This Row],[Estimação (horas)]]</f>
        <v>0</v>
      </c>
      <c r="X441" s="2"/>
    </row>
    <row r="442" spans="2:24" ht="17.7" customHeight="1" x14ac:dyDescent="0.25">
      <c r="B442" s="2" t="s">
        <v>26</v>
      </c>
      <c r="C442" s="2" t="s">
        <v>54</v>
      </c>
      <c r="D442" s="2" t="s">
        <v>38</v>
      </c>
      <c r="E442" s="2" t="s">
        <v>38</v>
      </c>
      <c r="F442" s="2" t="s">
        <v>74</v>
      </c>
      <c r="G442" s="2" t="s">
        <v>87</v>
      </c>
      <c r="H442" s="57" t="str">
        <f>Table1[[#This Row],[Tabela]]&amp;Table1[[#This Row],[Campo]]</f>
        <v>RESPONSIBILITY_PROCESS_RELSOURCE_CODE</v>
      </c>
      <c r="I442" s="2" t="s">
        <v>614</v>
      </c>
      <c r="J442" s="43">
        <f>VLOOKUP(Table1[[#This Row],[Status]],Auxiliar!$B$16:$C$24,2,0)</f>
        <v>1</v>
      </c>
      <c r="K442" s="2" t="s">
        <v>1252</v>
      </c>
      <c r="L442" s="29" t="s">
        <v>1258</v>
      </c>
      <c r="M442" s="21" t="s">
        <v>1259</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customHeight="1" x14ac:dyDescent="0.25">
      <c r="B443" s="2" t="s">
        <v>26</v>
      </c>
      <c r="C443" s="2" t="s">
        <v>54</v>
      </c>
      <c r="D443" s="2" t="s">
        <v>38</v>
      </c>
      <c r="E443" s="2" t="s">
        <v>38</v>
      </c>
      <c r="F443" s="2" t="s">
        <v>74</v>
      </c>
      <c r="G443" s="2" t="s">
        <v>87</v>
      </c>
      <c r="H443" s="57" t="str">
        <f>Table1[[#This Row],[Tabela]]&amp;Table1[[#This Row],[Campo]]</f>
        <v>RESPONSIBILITY_PROCESS_RELSOURCE_CODE</v>
      </c>
      <c r="I443" s="2" t="s">
        <v>614</v>
      </c>
      <c r="J443" s="43">
        <f>VLOOKUP(Table1[[#This Row],[Status]],Auxiliar!$B$16:$C$24,2,0)</f>
        <v>1</v>
      </c>
      <c r="K443" s="2" t="s">
        <v>1253</v>
      </c>
      <c r="L443" s="29" t="s">
        <v>1258</v>
      </c>
      <c r="M443" s="21" t="s">
        <v>1259</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customHeight="1" x14ac:dyDescent="0.25">
      <c r="B444" s="2" t="s">
        <v>26</v>
      </c>
      <c r="C444" s="2" t="s">
        <v>54</v>
      </c>
      <c r="D444" s="2" t="s">
        <v>38</v>
      </c>
      <c r="E444" s="2" t="s">
        <v>38</v>
      </c>
      <c r="F444" s="2" t="s">
        <v>74</v>
      </c>
      <c r="G444" s="2" t="s">
        <v>87</v>
      </c>
      <c r="H444" s="57" t="str">
        <f>Table1[[#This Row],[Tabela]]&amp;Table1[[#This Row],[Campo]]</f>
        <v>RESPONSIBILITY_PROCESS_RELSOURCE_CODE</v>
      </c>
      <c r="I444" s="2" t="s">
        <v>614</v>
      </c>
      <c r="J444" s="43">
        <f>VLOOKUP(Table1[[#This Row],[Status]],Auxiliar!$B$16:$C$24,2,0)</f>
        <v>1</v>
      </c>
      <c r="K444" s="2" t="s">
        <v>1255</v>
      </c>
      <c r="L444" s="29" t="s">
        <v>1258</v>
      </c>
      <c r="M444" s="21" t="s">
        <v>1259</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17.7" customHeight="1" x14ac:dyDescent="0.25">
      <c r="B445" s="2" t="s">
        <v>26</v>
      </c>
      <c r="C445" s="2" t="s">
        <v>54</v>
      </c>
      <c r="D445" s="2" t="s">
        <v>38</v>
      </c>
      <c r="E445" s="2" t="s">
        <v>38</v>
      </c>
      <c r="F445" s="2" t="s">
        <v>74</v>
      </c>
      <c r="G445" s="2" t="s">
        <v>73</v>
      </c>
      <c r="H445" s="57" t="str">
        <f>Table1[[#This Row],[Tabela]]&amp;Table1[[#This Row],[Campo]]</f>
        <v>RESPONSIBILITY_PROCESS_RELDATA_DATE_PART</v>
      </c>
      <c r="I445" s="2" t="s">
        <v>614</v>
      </c>
      <c r="J445" s="43">
        <f>VLOOKUP(Table1[[#This Row],[Status]],Auxiliar!$B$16:$C$24,2,0)</f>
        <v>1</v>
      </c>
      <c r="K445" s="2" t="s">
        <v>1252</v>
      </c>
      <c r="L445" s="29" t="s">
        <v>1258</v>
      </c>
      <c r="M445" s="21" t="s">
        <v>1259</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customHeight="1" x14ac:dyDescent="0.25">
      <c r="B446" s="2" t="s">
        <v>26</v>
      </c>
      <c r="C446" s="2" t="s">
        <v>54</v>
      </c>
      <c r="D446" s="2" t="s">
        <v>38</v>
      </c>
      <c r="E446" s="2" t="s">
        <v>38</v>
      </c>
      <c r="F446" s="2" t="s">
        <v>74</v>
      </c>
      <c r="G446" s="2" t="s">
        <v>73</v>
      </c>
      <c r="H446" s="57" t="str">
        <f>Table1[[#This Row],[Tabela]]&amp;Table1[[#This Row],[Campo]]</f>
        <v>RESPONSIBILITY_PROCESS_RELDATA_DATE_PART</v>
      </c>
      <c r="I446" s="2" t="s">
        <v>614</v>
      </c>
      <c r="J446" s="43">
        <f>VLOOKUP(Table1[[#This Row],[Status]],Auxiliar!$B$16:$C$24,2,0)</f>
        <v>1</v>
      </c>
      <c r="K446" s="2" t="s">
        <v>1253</v>
      </c>
      <c r="L446" s="29" t="s">
        <v>1258</v>
      </c>
      <c r="M446" s="21" t="s">
        <v>1259</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customHeight="1" x14ac:dyDescent="0.25">
      <c r="B447" s="2" t="s">
        <v>26</v>
      </c>
      <c r="C447" s="2" t="s">
        <v>54</v>
      </c>
      <c r="D447" s="2" t="s">
        <v>38</v>
      </c>
      <c r="E447" s="2" t="s">
        <v>38</v>
      </c>
      <c r="F447" s="2" t="s">
        <v>74</v>
      </c>
      <c r="G447" s="2" t="s">
        <v>73</v>
      </c>
      <c r="H447" s="57" t="str">
        <f>Table1[[#This Row],[Tabela]]&amp;Table1[[#This Row],[Campo]]</f>
        <v>RESPONSIBILITY_PROCESS_RELDATA_DATE_PART</v>
      </c>
      <c r="I447" s="2" t="s">
        <v>614</v>
      </c>
      <c r="J447" s="43">
        <f>VLOOKUP(Table1[[#This Row],[Status]],Auxiliar!$B$16:$C$24,2,0)</f>
        <v>1</v>
      </c>
      <c r="K447" s="2" t="s">
        <v>1255</v>
      </c>
      <c r="L447" s="29" t="s">
        <v>1258</v>
      </c>
      <c r="M447" s="21" t="s">
        <v>1259</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69.599999999999994" customHeight="1" x14ac:dyDescent="0.25">
      <c r="B448" s="2" t="s">
        <v>26</v>
      </c>
      <c r="C448" s="2" t="s">
        <v>54</v>
      </c>
      <c r="D448" s="2" t="s">
        <v>38</v>
      </c>
      <c r="E448" s="2" t="s">
        <v>38</v>
      </c>
      <c r="F448" s="2" t="s">
        <v>88</v>
      </c>
      <c r="G448" s="2" t="s">
        <v>38</v>
      </c>
      <c r="H448" s="57" t="str">
        <f>Table1[[#This Row],[Tabela]]&amp;Table1[[#This Row],[Campo]]</f>
        <v>PROCESS_PROPERTY_RELn.a.</v>
      </c>
      <c r="I448" s="2" t="s">
        <v>614</v>
      </c>
      <c r="J448" s="43">
        <f>VLOOKUP(Table1[[#This Row],[Status]],Auxiliar!$B$16:$C$24,2,0)</f>
        <v>1</v>
      </c>
      <c r="K448" s="2" t="s">
        <v>1249</v>
      </c>
      <c r="L448" s="29" t="s">
        <v>1250</v>
      </c>
      <c r="M448" s="21" t="s">
        <v>1251</v>
      </c>
      <c r="N448" s="48">
        <v>45485</v>
      </c>
      <c r="O448" s="21">
        <f>INDEX(Auxiliar!$D$5:$F$13,MATCH(Table1[[#This Row],[Tipologia_Testes]],Auxiliar!$B$5:$B$13,0),MATCH(Table1[[#This Row],[Complexidade]],Auxiliar!$D$4:$F$4,0))</f>
        <v>8</v>
      </c>
      <c r="P448" s="23" t="s">
        <v>1279</v>
      </c>
      <c r="Q448" s="2"/>
      <c r="R448" s="152">
        <v>45261</v>
      </c>
      <c r="S448" s="152"/>
      <c r="T448" s="152"/>
      <c r="U448" s="152"/>
      <c r="V448" s="152"/>
      <c r="W448" s="2">
        <f>VLOOKUP(Table1[[#This Row],[Status]],Auxiliar!$B$16:$D$24,3,0)*Table1[[#This Row],[Estimação (horas)]]</f>
        <v>8</v>
      </c>
      <c r="X448" s="2"/>
    </row>
    <row r="449" spans="2:24" ht="17.7" customHeight="1" x14ac:dyDescent="0.25">
      <c r="B449" s="2" t="s">
        <v>26</v>
      </c>
      <c r="C449" s="2" t="s">
        <v>54</v>
      </c>
      <c r="D449" s="2" t="s">
        <v>38</v>
      </c>
      <c r="E449" s="2" t="s">
        <v>38</v>
      </c>
      <c r="F449" s="2" t="s">
        <v>88</v>
      </c>
      <c r="G449" s="2" t="s">
        <v>41</v>
      </c>
      <c r="H449" s="57" t="str">
        <f>Table1[[#This Row],[Tabela]]&amp;Table1[[#This Row],[Campo]]</f>
        <v>PROCESS_PROPERTY_RELPROPERTY_BANK_ID</v>
      </c>
      <c r="I449" s="3" t="s">
        <v>614</v>
      </c>
      <c r="J449" s="55">
        <f>VLOOKUP(Table1[[#This Row],[Status]],Auxiliar!$B$16:$C$24,2,0)</f>
        <v>1</v>
      </c>
      <c r="K449" s="2" t="s">
        <v>1252</v>
      </c>
      <c r="L449" s="29" t="s">
        <v>1258</v>
      </c>
      <c r="M449" s="21" t="s">
        <v>1259</v>
      </c>
      <c r="N449" s="48">
        <v>45485</v>
      </c>
      <c r="O449" s="21">
        <f>INDEX(Auxiliar!$D$5:$F$13,MATCH(Table1[[#This Row],[Tipologia_Testes]],Auxiliar!$B$5:$B$13,0),MATCH(Table1[[#This Row],[Complexidade]],Auxiliar!$D$4:$F$4,0))</f>
        <v>2</v>
      </c>
      <c r="P449" s="2" t="s">
        <v>1272</v>
      </c>
      <c r="Q449" s="2" t="s">
        <v>1269</v>
      </c>
      <c r="R449" s="152">
        <v>45261</v>
      </c>
      <c r="S449" s="152"/>
      <c r="T449" s="152"/>
      <c r="U449" s="152"/>
      <c r="V449" s="152"/>
      <c r="W449" s="2">
        <f>VLOOKUP(Table1[[#This Row],[Status]],Auxiliar!$B$16:$D$24,3,0)*Table1[[#This Row],[Estimação (horas)]]</f>
        <v>2</v>
      </c>
      <c r="X449" s="2"/>
    </row>
    <row r="450" spans="2:24" ht="17.7" customHeight="1" x14ac:dyDescent="0.25">
      <c r="B450" s="2" t="s">
        <v>26</v>
      </c>
      <c r="C450" s="2" t="s">
        <v>54</v>
      </c>
      <c r="D450" s="2" t="s">
        <v>38</v>
      </c>
      <c r="E450" s="2" t="s">
        <v>38</v>
      </c>
      <c r="F450" s="2" t="s">
        <v>88</v>
      </c>
      <c r="G450" s="2" t="s">
        <v>41</v>
      </c>
      <c r="H450" s="57" t="str">
        <f>Table1[[#This Row],[Tabela]]&amp;Table1[[#This Row],[Campo]]</f>
        <v>PROCESS_PROPERTY_RELPROPERTY_BANK_ID</v>
      </c>
      <c r="I450" s="3" t="s">
        <v>614</v>
      </c>
      <c r="J450" s="55">
        <f>VLOOKUP(Table1[[#This Row],[Status]],Auxiliar!$B$16:$C$24,2,0)</f>
        <v>1</v>
      </c>
      <c r="K450" s="2" t="s">
        <v>1253</v>
      </c>
      <c r="L450" s="29" t="s">
        <v>1258</v>
      </c>
      <c r="M450" s="21" t="s">
        <v>1259</v>
      </c>
      <c r="N450" s="48">
        <v>45485</v>
      </c>
      <c r="O450" s="21">
        <f>INDEX(Auxiliar!$D$5:$F$13,MATCH(Table1[[#This Row],[Tipologia_Testes]],Auxiliar!$B$5:$B$13,0),MATCH(Table1[[#This Row],[Complexidade]],Auxiliar!$D$4:$F$4,0))</f>
        <v>2</v>
      </c>
      <c r="P450" s="2" t="s">
        <v>1272</v>
      </c>
      <c r="Q450" s="2" t="s">
        <v>1269</v>
      </c>
      <c r="R450" s="152">
        <v>45261</v>
      </c>
      <c r="S450" s="152"/>
      <c r="T450" s="152"/>
      <c r="U450" s="152"/>
      <c r="V450" s="152"/>
      <c r="W450" s="2">
        <f>VLOOKUP(Table1[[#This Row],[Status]],Auxiliar!$B$16:$D$24,3,0)*Table1[[#This Row],[Estimação (horas)]]</f>
        <v>2</v>
      </c>
      <c r="X450" s="2"/>
    </row>
    <row r="451" spans="2:24" ht="17.7" customHeight="1" x14ac:dyDescent="0.25">
      <c r="B451" s="2" t="s">
        <v>26</v>
      </c>
      <c r="C451" s="2" t="s">
        <v>54</v>
      </c>
      <c r="D451" s="2" t="s">
        <v>38</v>
      </c>
      <c r="E451" s="2" t="s">
        <v>38</v>
      </c>
      <c r="F451" s="2" t="s">
        <v>88</v>
      </c>
      <c r="G451" s="2" t="s">
        <v>41</v>
      </c>
      <c r="H451" s="57" t="str">
        <f>Table1[[#This Row],[Tabela]]&amp;Table1[[#This Row],[Campo]]</f>
        <v>PROCESS_PROPERTY_RELPROPERTY_BANK_ID</v>
      </c>
      <c r="I451" s="3" t="s">
        <v>614</v>
      </c>
      <c r="J451" s="55">
        <f>VLOOKUP(Table1[[#This Row],[Status]],Auxiliar!$B$16:$C$24,2,0)</f>
        <v>1</v>
      </c>
      <c r="K451" s="2" t="s">
        <v>1255</v>
      </c>
      <c r="L451" s="29" t="s">
        <v>1258</v>
      </c>
      <c r="M451" s="21" t="s">
        <v>1259</v>
      </c>
      <c r="N451" s="48">
        <v>45485</v>
      </c>
      <c r="O451" s="21">
        <f>INDEX(Auxiliar!$D$5:$F$13,MATCH(Table1[[#This Row],[Tipologia_Testes]],Auxiliar!$B$5:$B$13,0),MATCH(Table1[[#This Row],[Complexidade]],Auxiliar!$D$4:$F$4,0))</f>
        <v>0.1</v>
      </c>
      <c r="P451" s="2" t="s">
        <v>1272</v>
      </c>
      <c r="Q451" s="2" t="s">
        <v>1269</v>
      </c>
      <c r="R451" s="152">
        <v>45261</v>
      </c>
      <c r="S451" s="152"/>
      <c r="T451" s="152"/>
      <c r="U451" s="152"/>
      <c r="V451" s="152"/>
      <c r="W451" s="2">
        <f>VLOOKUP(Table1[[#This Row],[Status]],Auxiliar!$B$16:$D$24,3,0)*Table1[[#This Row],[Estimação (horas)]]</f>
        <v>0.1</v>
      </c>
      <c r="X451" s="2"/>
    </row>
    <row r="452" spans="2:24" ht="17.7" customHeight="1" x14ac:dyDescent="0.25">
      <c r="B452" s="2" t="s">
        <v>26</v>
      </c>
      <c r="C452" s="2" t="s">
        <v>54</v>
      </c>
      <c r="D452" s="2" t="s">
        <v>38</v>
      </c>
      <c r="E452" s="2" t="s">
        <v>38</v>
      </c>
      <c r="F452" s="2" t="s">
        <v>88</v>
      </c>
      <c r="G452" s="2" t="s">
        <v>57</v>
      </c>
      <c r="H452" s="57" t="str">
        <f>Table1[[#This Row],[Tabela]]&amp;Table1[[#This Row],[Campo]]</f>
        <v>PROCESS_PROPERTY_RELPROCESS_BANK_ID</v>
      </c>
      <c r="I452" s="2" t="s">
        <v>614</v>
      </c>
      <c r="J452" s="43">
        <f>VLOOKUP(Table1[[#This Row],[Status]],Auxiliar!$B$16:$C$24,2,0)</f>
        <v>1</v>
      </c>
      <c r="K452" s="2" t="s">
        <v>1252</v>
      </c>
      <c r="L452" s="29" t="s">
        <v>1250</v>
      </c>
      <c r="M452" s="21" t="s">
        <v>1260</v>
      </c>
      <c r="N452" s="48">
        <v>45499</v>
      </c>
      <c r="O452" s="21">
        <f>INDEX(Auxiliar!$D$5:$F$13,MATCH(Table1[[#This Row],[Tipologia_Testes]],Auxiliar!$B$5:$B$13,0),MATCH(Table1[[#This Row],[Complexidade]],Auxiliar!$D$4:$F$4,0))</f>
        <v>4</v>
      </c>
      <c r="P452" s="2" t="s">
        <v>1272</v>
      </c>
      <c r="Q452" s="2" t="s">
        <v>1269</v>
      </c>
      <c r="R452" s="152">
        <v>45261</v>
      </c>
      <c r="S452" s="152">
        <v>45495</v>
      </c>
      <c r="T452" s="152"/>
      <c r="U452" s="152"/>
      <c r="V452" s="152"/>
      <c r="W452" s="2">
        <f>VLOOKUP(Table1[[#This Row],[Status]],Auxiliar!$B$16:$D$24,3,0)*Table1[[#This Row],[Estimação (horas)]]</f>
        <v>4</v>
      </c>
      <c r="X452" s="2"/>
    </row>
    <row r="453" spans="2:24" ht="17.7" customHeight="1" x14ac:dyDescent="0.25">
      <c r="B453" s="2" t="s">
        <v>26</v>
      </c>
      <c r="C453" s="2" t="s">
        <v>54</v>
      </c>
      <c r="D453" s="2" t="s">
        <v>38</v>
      </c>
      <c r="E453" s="2" t="s">
        <v>38</v>
      </c>
      <c r="F453" s="2" t="s">
        <v>88</v>
      </c>
      <c r="G453" s="2" t="s">
        <v>57</v>
      </c>
      <c r="H453" s="57" t="str">
        <f>Table1[[#This Row],[Tabela]]&amp;Table1[[#This Row],[Campo]]</f>
        <v>PROCESS_PROPERTY_RELPROCESS_BANK_ID</v>
      </c>
      <c r="I453" s="2" t="s">
        <v>614</v>
      </c>
      <c r="J453" s="43">
        <f>VLOOKUP(Table1[[#This Row],[Status]],Auxiliar!$B$16:$C$24,2,0)</f>
        <v>1</v>
      </c>
      <c r="K453" s="2" t="s">
        <v>1253</v>
      </c>
      <c r="L453" s="29" t="s">
        <v>1250</v>
      </c>
      <c r="M453" s="21" t="s">
        <v>1260</v>
      </c>
      <c r="N453" s="48">
        <v>45499</v>
      </c>
      <c r="O453" s="21">
        <f>INDEX(Auxiliar!$D$5:$F$13,MATCH(Table1[[#This Row],[Tipologia_Testes]],Auxiliar!$B$5:$B$13,0),MATCH(Table1[[#This Row],[Complexidade]],Auxiliar!$D$4:$F$4,0))</f>
        <v>4</v>
      </c>
      <c r="P453" s="2" t="s">
        <v>1272</v>
      </c>
      <c r="Q453" s="2" t="s">
        <v>1269</v>
      </c>
      <c r="R453" s="152">
        <v>45261</v>
      </c>
      <c r="S453" s="152">
        <v>45495</v>
      </c>
      <c r="T453" s="152"/>
      <c r="U453" s="152"/>
      <c r="V453" s="152"/>
      <c r="W453" s="2">
        <f>VLOOKUP(Table1[[#This Row],[Status]],Auxiliar!$B$16:$D$24,3,0)*Table1[[#This Row],[Estimação (horas)]]</f>
        <v>4</v>
      </c>
      <c r="X453" s="2"/>
    </row>
    <row r="454" spans="2:24" ht="17.7" customHeight="1" x14ac:dyDescent="0.25">
      <c r="B454" s="2" t="s">
        <v>26</v>
      </c>
      <c r="C454" s="2" t="s">
        <v>54</v>
      </c>
      <c r="D454" s="2" t="s">
        <v>38</v>
      </c>
      <c r="E454" s="2" t="s">
        <v>38</v>
      </c>
      <c r="F454" s="2" t="s">
        <v>88</v>
      </c>
      <c r="G454" s="2" t="s">
        <v>57</v>
      </c>
      <c r="H454" s="57" t="str">
        <f>Table1[[#This Row],[Tabela]]&amp;Table1[[#This Row],[Campo]]</f>
        <v>PROCESS_PROPERTY_RELPROCESS_BANK_ID</v>
      </c>
      <c r="I454" s="2" t="s">
        <v>614</v>
      </c>
      <c r="J454" s="43">
        <f>VLOOKUP(Table1[[#This Row],[Status]],Auxiliar!$B$16:$C$24,2,0)</f>
        <v>1</v>
      </c>
      <c r="K454" s="2" t="s">
        <v>1255</v>
      </c>
      <c r="L454" s="29" t="s">
        <v>1250</v>
      </c>
      <c r="M454" s="21" t="s">
        <v>1260</v>
      </c>
      <c r="N454" s="48">
        <v>45499</v>
      </c>
      <c r="O454" s="21">
        <f>INDEX(Auxiliar!$D$5:$F$13,MATCH(Table1[[#This Row],[Tipologia_Testes]],Auxiliar!$B$5:$B$13,0),MATCH(Table1[[#This Row],[Complexidade]],Auxiliar!$D$4:$F$4,0))</f>
        <v>0.1</v>
      </c>
      <c r="P454" s="2" t="s">
        <v>1272</v>
      </c>
      <c r="Q454" s="2" t="s">
        <v>1269</v>
      </c>
      <c r="R454" s="152">
        <v>45261</v>
      </c>
      <c r="S454" s="152">
        <v>45495</v>
      </c>
      <c r="T454" s="152"/>
      <c r="U454" s="152"/>
      <c r="V454" s="152"/>
      <c r="W454" s="2">
        <f>VLOOKUP(Table1[[#This Row],[Status]],Auxiliar!$B$16:$D$24,3,0)*Table1[[#This Row],[Estimação (horas)]]</f>
        <v>0.1</v>
      </c>
      <c r="X454" s="2"/>
    </row>
    <row r="455" spans="2:24" ht="17.7" customHeight="1" x14ac:dyDescent="0.25">
      <c r="B455" s="2" t="s">
        <v>26</v>
      </c>
      <c r="C455" s="2" t="s">
        <v>54</v>
      </c>
      <c r="D455" s="2" t="s">
        <v>38</v>
      </c>
      <c r="E455" s="2" t="s">
        <v>38</v>
      </c>
      <c r="F455" s="2" t="s">
        <v>88</v>
      </c>
      <c r="G455" s="2" t="s">
        <v>43</v>
      </c>
      <c r="H455" s="57" t="str">
        <f>Table1[[#This Row],[Tabela]]&amp;Table1[[#This Row],[Campo]]</f>
        <v>PROCESS_PROPERTY_RELPROPERTY_BRANCH_CODE</v>
      </c>
      <c r="I455" s="2" t="s">
        <v>614</v>
      </c>
      <c r="J455" s="43">
        <f>VLOOKUP(Table1[[#This Row],[Status]],Auxiliar!$B$16:$C$24,2,0)</f>
        <v>1</v>
      </c>
      <c r="K455" s="2" t="s">
        <v>1252</v>
      </c>
      <c r="L455" s="29" t="s">
        <v>1250</v>
      </c>
      <c r="M455" s="21" t="s">
        <v>1260</v>
      </c>
      <c r="N455" s="48">
        <v>45499</v>
      </c>
      <c r="O455" s="21">
        <f>INDEX(Auxiliar!$D$5:$F$13,MATCH(Table1[[#This Row],[Tipologia_Testes]],Auxiliar!$B$5:$B$13,0),MATCH(Table1[[#This Row],[Complexidade]],Auxiliar!$D$4:$F$4,0))</f>
        <v>4</v>
      </c>
      <c r="P455" s="2" t="s">
        <v>1272</v>
      </c>
      <c r="Q455" s="2" t="s">
        <v>1269</v>
      </c>
      <c r="R455" s="152">
        <v>45261</v>
      </c>
      <c r="S455" s="152">
        <v>45495</v>
      </c>
      <c r="T455" s="152"/>
      <c r="U455" s="152"/>
      <c r="V455" s="152"/>
      <c r="W455" s="2">
        <f>VLOOKUP(Table1[[#This Row],[Status]],Auxiliar!$B$16:$D$24,3,0)*Table1[[#This Row],[Estimação (horas)]]</f>
        <v>4</v>
      </c>
      <c r="X455" s="2"/>
    </row>
    <row r="456" spans="2:24" ht="17.7" customHeight="1" x14ac:dyDescent="0.25">
      <c r="B456" s="2" t="s">
        <v>26</v>
      </c>
      <c r="C456" s="2" t="s">
        <v>54</v>
      </c>
      <c r="D456" s="2" t="s">
        <v>38</v>
      </c>
      <c r="E456" s="2" t="s">
        <v>38</v>
      </c>
      <c r="F456" s="2" t="s">
        <v>88</v>
      </c>
      <c r="G456" s="2" t="s">
        <v>43</v>
      </c>
      <c r="H456" s="57" t="str">
        <f>Table1[[#This Row],[Tabela]]&amp;Table1[[#This Row],[Campo]]</f>
        <v>PROCESS_PROPERTY_RELPROPERTY_BRANCH_CODE</v>
      </c>
      <c r="I456" s="2" t="s">
        <v>614</v>
      </c>
      <c r="J456" s="43">
        <f>VLOOKUP(Table1[[#This Row],[Status]],Auxiliar!$B$16:$C$24,2,0)</f>
        <v>1</v>
      </c>
      <c r="K456" s="2" t="s">
        <v>1253</v>
      </c>
      <c r="L456" s="29" t="s">
        <v>1250</v>
      </c>
      <c r="M456" s="21" t="s">
        <v>1260</v>
      </c>
      <c r="N456" s="48">
        <v>45499</v>
      </c>
      <c r="O456" s="21">
        <f>INDEX(Auxiliar!$D$5:$F$13,MATCH(Table1[[#This Row],[Tipologia_Testes]],Auxiliar!$B$5:$B$13,0),MATCH(Table1[[#This Row],[Complexidade]],Auxiliar!$D$4:$F$4,0))</f>
        <v>4</v>
      </c>
      <c r="P456" s="2" t="s">
        <v>1272</v>
      </c>
      <c r="Q456" s="2" t="s">
        <v>1269</v>
      </c>
      <c r="R456" s="152">
        <v>45261</v>
      </c>
      <c r="S456" s="152">
        <v>45495</v>
      </c>
      <c r="T456" s="152"/>
      <c r="U456" s="152"/>
      <c r="V456" s="152"/>
      <c r="W456" s="2">
        <f>VLOOKUP(Table1[[#This Row],[Status]],Auxiliar!$B$16:$D$24,3,0)*Table1[[#This Row],[Estimação (horas)]]</f>
        <v>4</v>
      </c>
      <c r="X456" s="2"/>
    </row>
    <row r="457" spans="2:24" ht="17.7" customHeight="1" x14ac:dyDescent="0.25">
      <c r="B457" s="2" t="s">
        <v>26</v>
      </c>
      <c r="C457" s="2" t="s">
        <v>54</v>
      </c>
      <c r="D457" s="2" t="s">
        <v>38</v>
      </c>
      <c r="E457" s="2" t="s">
        <v>38</v>
      </c>
      <c r="F457" s="2" t="s">
        <v>88</v>
      </c>
      <c r="G457" s="2" t="s">
        <v>43</v>
      </c>
      <c r="H457" s="57" t="str">
        <f>Table1[[#This Row],[Tabela]]&amp;Table1[[#This Row],[Campo]]</f>
        <v>PROCESS_PROPERTY_RELPROPERTY_BRANCH_CODE</v>
      </c>
      <c r="I457" s="2" t="s">
        <v>614</v>
      </c>
      <c r="J457" s="43">
        <f>VLOOKUP(Table1[[#This Row],[Status]],Auxiliar!$B$16:$C$24,2,0)</f>
        <v>1</v>
      </c>
      <c r="K457" s="2" t="s">
        <v>1255</v>
      </c>
      <c r="L457" s="29" t="s">
        <v>1250</v>
      </c>
      <c r="M457" s="21" t="s">
        <v>1260</v>
      </c>
      <c r="N457" s="48">
        <v>45499</v>
      </c>
      <c r="O457" s="21">
        <f>INDEX(Auxiliar!$D$5:$F$13,MATCH(Table1[[#This Row],[Tipologia_Testes]],Auxiliar!$B$5:$B$13,0),MATCH(Table1[[#This Row],[Complexidade]],Auxiliar!$D$4:$F$4,0))</f>
        <v>0.1</v>
      </c>
      <c r="P457" s="2" t="s">
        <v>1272</v>
      </c>
      <c r="Q457" s="2" t="s">
        <v>1269</v>
      </c>
      <c r="R457" s="152">
        <v>45261</v>
      </c>
      <c r="S457" s="152">
        <v>45495</v>
      </c>
      <c r="T457" s="152"/>
      <c r="U457" s="152"/>
      <c r="V457" s="152"/>
      <c r="W457" s="2">
        <f>VLOOKUP(Table1[[#This Row],[Status]],Auxiliar!$B$16:$D$24,3,0)*Table1[[#This Row],[Estimação (horas)]]</f>
        <v>0.1</v>
      </c>
      <c r="X457" s="2"/>
    </row>
    <row r="458" spans="2:24" ht="17.7" customHeight="1" x14ac:dyDescent="0.25">
      <c r="B458" s="2" t="s">
        <v>26</v>
      </c>
      <c r="C458" s="2" t="s">
        <v>54</v>
      </c>
      <c r="D458" s="2" t="s">
        <v>38</v>
      </c>
      <c r="E458" s="2" t="s">
        <v>38</v>
      </c>
      <c r="F458" s="2" t="s">
        <v>88</v>
      </c>
      <c r="G458" s="2" t="s">
        <v>58</v>
      </c>
      <c r="H458" s="57" t="str">
        <f>Table1[[#This Row],[Tabela]]&amp;Table1[[#This Row],[Campo]]</f>
        <v>PROCESS_PROPERTY_RELPROCESS_BRANCH_CODE</v>
      </c>
      <c r="I458" s="2" t="s">
        <v>614</v>
      </c>
      <c r="J458" s="43">
        <f>VLOOKUP(Table1[[#This Row],[Status]],Auxiliar!$B$16:$C$24,2,0)</f>
        <v>1</v>
      </c>
      <c r="K458" s="2" t="s">
        <v>1252</v>
      </c>
      <c r="L458" s="29" t="s">
        <v>1250</v>
      </c>
      <c r="M458" s="21" t="s">
        <v>1260</v>
      </c>
      <c r="N458" s="48">
        <v>45499</v>
      </c>
      <c r="O458" s="21">
        <f>INDEX(Auxiliar!$D$5:$F$13,MATCH(Table1[[#This Row],[Tipologia_Testes]],Auxiliar!$B$5:$B$13,0),MATCH(Table1[[#This Row],[Complexidade]],Auxiliar!$D$4:$F$4,0))</f>
        <v>4</v>
      </c>
      <c r="P458" s="2" t="s">
        <v>1272</v>
      </c>
      <c r="Q458" s="2" t="s">
        <v>1269</v>
      </c>
      <c r="R458" s="152">
        <v>45261</v>
      </c>
      <c r="S458" s="152">
        <v>45495</v>
      </c>
      <c r="T458" s="152"/>
      <c r="U458" s="152"/>
      <c r="V458" s="152"/>
      <c r="W458" s="2">
        <f>VLOOKUP(Table1[[#This Row],[Status]],Auxiliar!$B$16:$D$24,3,0)*Table1[[#This Row],[Estimação (horas)]]</f>
        <v>4</v>
      </c>
      <c r="X458" s="2"/>
    </row>
    <row r="459" spans="2:24" ht="17.7" customHeight="1" x14ac:dyDescent="0.25">
      <c r="B459" s="2" t="s">
        <v>26</v>
      </c>
      <c r="C459" s="2" t="s">
        <v>54</v>
      </c>
      <c r="D459" s="2" t="s">
        <v>38</v>
      </c>
      <c r="E459" s="2" t="s">
        <v>38</v>
      </c>
      <c r="F459" s="2" t="s">
        <v>88</v>
      </c>
      <c r="G459" s="2" t="s">
        <v>58</v>
      </c>
      <c r="H459" s="57" t="str">
        <f>Table1[[#This Row],[Tabela]]&amp;Table1[[#This Row],[Campo]]</f>
        <v>PROCESS_PROPERTY_RELPROCESS_BRANCH_CODE</v>
      </c>
      <c r="I459" s="2" t="s">
        <v>614</v>
      </c>
      <c r="J459" s="43">
        <f>VLOOKUP(Table1[[#This Row],[Status]],Auxiliar!$B$16:$C$24,2,0)</f>
        <v>1</v>
      </c>
      <c r="K459" s="2" t="s">
        <v>1253</v>
      </c>
      <c r="L459" s="29" t="s">
        <v>1250</v>
      </c>
      <c r="M459" s="21" t="s">
        <v>1260</v>
      </c>
      <c r="N459" s="48">
        <v>45499</v>
      </c>
      <c r="O459" s="21">
        <f>INDEX(Auxiliar!$D$5:$F$13,MATCH(Table1[[#This Row],[Tipologia_Testes]],Auxiliar!$B$5:$B$13,0),MATCH(Table1[[#This Row],[Complexidade]],Auxiliar!$D$4:$F$4,0))</f>
        <v>4</v>
      </c>
      <c r="P459" s="2" t="s">
        <v>1272</v>
      </c>
      <c r="Q459" s="2" t="s">
        <v>1269</v>
      </c>
      <c r="R459" s="152">
        <v>45261</v>
      </c>
      <c r="S459" s="152">
        <v>45495</v>
      </c>
      <c r="T459" s="152"/>
      <c r="U459" s="152"/>
      <c r="V459" s="152"/>
      <c r="W459" s="2">
        <f>VLOOKUP(Table1[[#This Row],[Status]],Auxiliar!$B$16:$D$24,3,0)*Table1[[#This Row],[Estimação (horas)]]</f>
        <v>4</v>
      </c>
      <c r="X459" s="2"/>
    </row>
    <row r="460" spans="2:24" ht="17.7" customHeight="1" x14ac:dyDescent="0.25">
      <c r="B460" s="2" t="s">
        <v>26</v>
      </c>
      <c r="C460" s="2" t="s">
        <v>54</v>
      </c>
      <c r="D460" s="2" t="s">
        <v>38</v>
      </c>
      <c r="E460" s="2" t="s">
        <v>38</v>
      </c>
      <c r="F460" s="2" t="s">
        <v>88</v>
      </c>
      <c r="G460" s="2" t="s">
        <v>58</v>
      </c>
      <c r="H460" s="57" t="str">
        <f>Table1[[#This Row],[Tabela]]&amp;Table1[[#This Row],[Campo]]</f>
        <v>PROCESS_PROPERTY_RELPROCESS_BRANCH_CODE</v>
      </c>
      <c r="I460" s="2" t="s">
        <v>614</v>
      </c>
      <c r="J460" s="43">
        <f>VLOOKUP(Table1[[#This Row],[Status]],Auxiliar!$B$16:$C$24,2,0)</f>
        <v>1</v>
      </c>
      <c r="K460" s="2" t="s">
        <v>1255</v>
      </c>
      <c r="L460" s="29" t="s">
        <v>1250</v>
      </c>
      <c r="M460" s="21" t="s">
        <v>1260</v>
      </c>
      <c r="N460" s="48">
        <v>45499</v>
      </c>
      <c r="O460" s="21">
        <f>INDEX(Auxiliar!$D$5:$F$13,MATCH(Table1[[#This Row],[Tipologia_Testes]],Auxiliar!$B$5:$B$13,0),MATCH(Table1[[#This Row],[Complexidade]],Auxiliar!$D$4:$F$4,0))</f>
        <v>0.1</v>
      </c>
      <c r="P460" s="2" t="s">
        <v>1272</v>
      </c>
      <c r="Q460" s="2" t="s">
        <v>1269</v>
      </c>
      <c r="R460" s="152">
        <v>45261</v>
      </c>
      <c r="S460" s="152">
        <v>45495</v>
      </c>
      <c r="T460" s="152"/>
      <c r="U460" s="152"/>
      <c r="V460" s="152"/>
      <c r="W460" s="2">
        <f>VLOOKUP(Table1[[#This Row],[Status]],Auxiliar!$B$16:$D$24,3,0)*Table1[[#This Row],[Estimação (horas)]]</f>
        <v>0.1</v>
      </c>
      <c r="X460" s="2"/>
    </row>
    <row r="461" spans="2:24" ht="17.7" customHeight="1" x14ac:dyDescent="0.25">
      <c r="B461" s="2" t="s">
        <v>26</v>
      </c>
      <c r="C461" s="2" t="s">
        <v>54</v>
      </c>
      <c r="D461" s="2" t="s">
        <v>38</v>
      </c>
      <c r="E461" s="2" t="s">
        <v>38</v>
      </c>
      <c r="F461" s="2" t="s">
        <v>88</v>
      </c>
      <c r="G461" s="2" t="s">
        <v>44</v>
      </c>
      <c r="H461" s="57" t="str">
        <f>Table1[[#This Row],[Tabela]]&amp;Table1[[#This Row],[Campo]]</f>
        <v>PROCESS_PROPERTY_RELPROPERTY_CONTRACT_ID</v>
      </c>
      <c r="I461" s="2" t="s">
        <v>614</v>
      </c>
      <c r="J461" s="43">
        <f>VLOOKUP(Table1[[#This Row],[Status]],Auxiliar!$B$16:$C$24,2,0)</f>
        <v>1</v>
      </c>
      <c r="K461" s="2" t="s">
        <v>1252</v>
      </c>
      <c r="L461" s="29" t="s">
        <v>1250</v>
      </c>
      <c r="M461" s="21" t="s">
        <v>1260</v>
      </c>
      <c r="N461" s="48">
        <v>45499</v>
      </c>
      <c r="O461" s="21">
        <f>INDEX(Auxiliar!$D$5:$F$13,MATCH(Table1[[#This Row],[Tipologia_Testes]],Auxiliar!$B$5:$B$13,0),MATCH(Table1[[#This Row],[Complexidade]],Auxiliar!$D$4:$F$4,0))</f>
        <v>4</v>
      </c>
      <c r="P461" s="2" t="s">
        <v>1272</v>
      </c>
      <c r="Q461" s="2" t="s">
        <v>1269</v>
      </c>
      <c r="R461" s="152">
        <v>45261</v>
      </c>
      <c r="S461" s="152">
        <v>45495</v>
      </c>
      <c r="T461" s="152"/>
      <c r="U461" s="152"/>
      <c r="V461" s="152"/>
      <c r="W461" s="2">
        <f>VLOOKUP(Table1[[#This Row],[Status]],Auxiliar!$B$16:$D$24,3,0)*Table1[[#This Row],[Estimação (horas)]]</f>
        <v>4</v>
      </c>
      <c r="X461" s="2"/>
    </row>
    <row r="462" spans="2:24" ht="17.7" customHeight="1" x14ac:dyDescent="0.25">
      <c r="B462" s="2" t="s">
        <v>26</v>
      </c>
      <c r="C462" s="2" t="s">
        <v>54</v>
      </c>
      <c r="D462" s="2" t="s">
        <v>38</v>
      </c>
      <c r="E462" s="2" t="s">
        <v>38</v>
      </c>
      <c r="F462" s="2" t="s">
        <v>88</v>
      </c>
      <c r="G462" s="2" t="s">
        <v>44</v>
      </c>
      <c r="H462" s="57" t="str">
        <f>Table1[[#This Row],[Tabela]]&amp;Table1[[#This Row],[Campo]]</f>
        <v>PROCESS_PROPERTY_RELPROPERTY_CONTRACT_ID</v>
      </c>
      <c r="I462" s="2" t="s">
        <v>614</v>
      </c>
      <c r="J462" s="43">
        <f>VLOOKUP(Table1[[#This Row],[Status]],Auxiliar!$B$16:$C$24,2,0)</f>
        <v>1</v>
      </c>
      <c r="K462" s="2" t="s">
        <v>1253</v>
      </c>
      <c r="L462" s="29" t="s">
        <v>1250</v>
      </c>
      <c r="M462" s="21" t="s">
        <v>1260</v>
      </c>
      <c r="N462" s="48">
        <v>45499</v>
      </c>
      <c r="O462" s="21">
        <f>INDEX(Auxiliar!$D$5:$F$13,MATCH(Table1[[#This Row],[Tipologia_Testes]],Auxiliar!$B$5:$B$13,0),MATCH(Table1[[#This Row],[Complexidade]],Auxiliar!$D$4:$F$4,0))</f>
        <v>4</v>
      </c>
      <c r="P462" s="2" t="s">
        <v>1272</v>
      </c>
      <c r="Q462" s="2" t="s">
        <v>1269</v>
      </c>
      <c r="R462" s="152">
        <v>45261</v>
      </c>
      <c r="S462" s="152">
        <v>45495</v>
      </c>
      <c r="T462" s="152"/>
      <c r="U462" s="152"/>
      <c r="V462" s="152"/>
      <c r="W462" s="2">
        <f>VLOOKUP(Table1[[#This Row],[Status]],Auxiliar!$B$16:$D$24,3,0)*Table1[[#This Row],[Estimação (horas)]]</f>
        <v>4</v>
      </c>
      <c r="X462" s="2"/>
    </row>
    <row r="463" spans="2:24" ht="17.7" customHeight="1" x14ac:dyDescent="0.25">
      <c r="B463" s="2" t="s">
        <v>26</v>
      </c>
      <c r="C463" s="2" t="s">
        <v>54</v>
      </c>
      <c r="D463" s="2" t="s">
        <v>38</v>
      </c>
      <c r="E463" s="2" t="s">
        <v>38</v>
      </c>
      <c r="F463" s="2" t="s">
        <v>88</v>
      </c>
      <c r="G463" s="2" t="s">
        <v>44</v>
      </c>
      <c r="H463" s="57" t="str">
        <f>Table1[[#This Row],[Tabela]]&amp;Table1[[#This Row],[Campo]]</f>
        <v>PROCESS_PROPERTY_RELPROPERTY_CONTRACT_ID</v>
      </c>
      <c r="I463" s="2" t="s">
        <v>614</v>
      </c>
      <c r="J463" s="43">
        <f>VLOOKUP(Table1[[#This Row],[Status]],Auxiliar!$B$16:$C$24,2,0)</f>
        <v>1</v>
      </c>
      <c r="K463" s="2" t="s">
        <v>1255</v>
      </c>
      <c r="L463" s="29" t="s">
        <v>1250</v>
      </c>
      <c r="M463" s="21" t="s">
        <v>1260</v>
      </c>
      <c r="N463" s="48">
        <v>45499</v>
      </c>
      <c r="O463" s="21">
        <f>INDEX(Auxiliar!$D$5:$F$13,MATCH(Table1[[#This Row],[Tipologia_Testes]],Auxiliar!$B$5:$B$13,0),MATCH(Table1[[#This Row],[Complexidade]],Auxiliar!$D$4:$F$4,0))</f>
        <v>0.1</v>
      </c>
      <c r="P463" s="2" t="s">
        <v>1272</v>
      </c>
      <c r="Q463" s="2" t="s">
        <v>1269</v>
      </c>
      <c r="R463" s="152">
        <v>45261</v>
      </c>
      <c r="S463" s="152">
        <v>45495</v>
      </c>
      <c r="T463" s="152"/>
      <c r="U463" s="152"/>
      <c r="V463" s="152"/>
      <c r="W463" s="2">
        <f>VLOOKUP(Table1[[#This Row],[Status]],Auxiliar!$B$16:$D$24,3,0)*Table1[[#This Row],[Estimação (horas)]]</f>
        <v>0.1</v>
      </c>
      <c r="X463" s="2"/>
    </row>
    <row r="464" spans="2:24" ht="17.7" customHeight="1" x14ac:dyDescent="0.25">
      <c r="B464" s="2" t="s">
        <v>26</v>
      </c>
      <c r="C464" s="2" t="s">
        <v>54</v>
      </c>
      <c r="D464" s="2" t="s">
        <v>38</v>
      </c>
      <c r="E464" s="2" t="s">
        <v>38</v>
      </c>
      <c r="F464" s="2" t="s">
        <v>88</v>
      </c>
      <c r="G464" s="2" t="s">
        <v>59</v>
      </c>
      <c r="H464" s="57" t="str">
        <f>Table1[[#This Row],[Tabela]]&amp;Table1[[#This Row],[Campo]]</f>
        <v>PROCESS_PROPERTY_RELPROCESS_ACCOUNT_ID</v>
      </c>
      <c r="I464" s="2" t="s">
        <v>614</v>
      </c>
      <c r="J464" s="43">
        <f>VLOOKUP(Table1[[#This Row],[Status]],Auxiliar!$B$16:$C$24,2,0)</f>
        <v>1</v>
      </c>
      <c r="K464" s="2" t="s">
        <v>1252</v>
      </c>
      <c r="L464" s="29" t="s">
        <v>1250</v>
      </c>
      <c r="M464" s="21" t="s">
        <v>1260</v>
      </c>
      <c r="N464" s="48">
        <v>45499</v>
      </c>
      <c r="O464" s="21">
        <f>INDEX(Auxiliar!$D$5:$F$13,MATCH(Table1[[#This Row],[Tipologia_Testes]],Auxiliar!$B$5:$B$13,0),MATCH(Table1[[#This Row],[Complexidade]],Auxiliar!$D$4:$F$4,0))</f>
        <v>4</v>
      </c>
      <c r="P464" s="2" t="s">
        <v>1272</v>
      </c>
      <c r="Q464" s="2" t="s">
        <v>1269</v>
      </c>
      <c r="R464" s="152">
        <v>45261</v>
      </c>
      <c r="S464" s="152">
        <v>45495</v>
      </c>
      <c r="T464" s="152"/>
      <c r="U464" s="152"/>
      <c r="V464" s="152"/>
      <c r="W464" s="2">
        <f>VLOOKUP(Table1[[#This Row],[Status]],Auxiliar!$B$16:$D$24,3,0)*Table1[[#This Row],[Estimação (horas)]]</f>
        <v>4</v>
      </c>
      <c r="X464" s="2"/>
    </row>
    <row r="465" spans="2:24" ht="17.7" customHeight="1" x14ac:dyDescent="0.25">
      <c r="B465" s="2" t="s">
        <v>26</v>
      </c>
      <c r="C465" s="2" t="s">
        <v>54</v>
      </c>
      <c r="D465" s="2" t="s">
        <v>38</v>
      </c>
      <c r="E465" s="2" t="s">
        <v>38</v>
      </c>
      <c r="F465" s="2" t="s">
        <v>88</v>
      </c>
      <c r="G465" s="2" t="s">
        <v>59</v>
      </c>
      <c r="H465" s="57" t="str">
        <f>Table1[[#This Row],[Tabela]]&amp;Table1[[#This Row],[Campo]]</f>
        <v>PROCESS_PROPERTY_RELPROCESS_ACCOUNT_ID</v>
      </c>
      <c r="I465" s="2" t="s">
        <v>614</v>
      </c>
      <c r="J465" s="43">
        <f>VLOOKUP(Table1[[#This Row],[Status]],Auxiliar!$B$16:$C$24,2,0)</f>
        <v>1</v>
      </c>
      <c r="K465" s="2" t="s">
        <v>1253</v>
      </c>
      <c r="L465" s="29" t="s">
        <v>1250</v>
      </c>
      <c r="M465" s="21" t="s">
        <v>1260</v>
      </c>
      <c r="N465" s="48">
        <v>45499</v>
      </c>
      <c r="O465" s="21">
        <f>INDEX(Auxiliar!$D$5:$F$13,MATCH(Table1[[#This Row],[Tipologia_Testes]],Auxiliar!$B$5:$B$13,0),MATCH(Table1[[#This Row],[Complexidade]],Auxiliar!$D$4:$F$4,0))</f>
        <v>4</v>
      </c>
      <c r="P465" s="2" t="s">
        <v>1272</v>
      </c>
      <c r="Q465" s="2" t="s">
        <v>1269</v>
      </c>
      <c r="R465" s="152">
        <v>45261</v>
      </c>
      <c r="S465" s="152">
        <v>45495</v>
      </c>
      <c r="T465" s="152"/>
      <c r="U465" s="152"/>
      <c r="V465" s="152"/>
      <c r="W465" s="2">
        <f>VLOOKUP(Table1[[#This Row],[Status]],Auxiliar!$B$16:$D$24,3,0)*Table1[[#This Row],[Estimação (horas)]]</f>
        <v>4</v>
      </c>
      <c r="X465" s="2"/>
    </row>
    <row r="466" spans="2:24" ht="17.7" customHeight="1" x14ac:dyDescent="0.25">
      <c r="B466" s="2" t="s">
        <v>26</v>
      </c>
      <c r="C466" s="2" t="s">
        <v>54</v>
      </c>
      <c r="D466" s="2" t="s">
        <v>38</v>
      </c>
      <c r="E466" s="2" t="s">
        <v>38</v>
      </c>
      <c r="F466" s="2" t="s">
        <v>88</v>
      </c>
      <c r="G466" s="2" t="s">
        <v>59</v>
      </c>
      <c r="H466" s="57" t="str">
        <f>Table1[[#This Row],[Tabela]]&amp;Table1[[#This Row],[Campo]]</f>
        <v>PROCESS_PROPERTY_RELPROCESS_ACCOUNT_ID</v>
      </c>
      <c r="I466" s="2" t="s">
        <v>614</v>
      </c>
      <c r="J466" s="43">
        <f>VLOOKUP(Table1[[#This Row],[Status]],Auxiliar!$B$16:$C$24,2,0)</f>
        <v>1</v>
      </c>
      <c r="K466" s="2" t="s">
        <v>1255</v>
      </c>
      <c r="L466" s="29" t="s">
        <v>1250</v>
      </c>
      <c r="M466" s="21" t="s">
        <v>1260</v>
      </c>
      <c r="N466" s="48">
        <v>45499</v>
      </c>
      <c r="O466" s="21">
        <f>INDEX(Auxiliar!$D$5:$F$13,MATCH(Table1[[#This Row],[Tipologia_Testes]],Auxiliar!$B$5:$B$13,0),MATCH(Table1[[#This Row],[Complexidade]],Auxiliar!$D$4:$F$4,0))</f>
        <v>0.1</v>
      </c>
      <c r="P466" s="2" t="s">
        <v>1272</v>
      </c>
      <c r="Q466" s="2" t="s">
        <v>1269</v>
      </c>
      <c r="R466" s="152">
        <v>45261</v>
      </c>
      <c r="S466" s="152">
        <v>45495</v>
      </c>
      <c r="T466" s="152"/>
      <c r="U466" s="152"/>
      <c r="V466" s="152"/>
      <c r="W466" s="2">
        <f>VLOOKUP(Table1[[#This Row],[Status]],Auxiliar!$B$16:$D$24,3,0)*Table1[[#This Row],[Estimação (horas)]]</f>
        <v>0.1</v>
      </c>
      <c r="X466" s="2"/>
    </row>
    <row r="467" spans="2:24" ht="17.7" customHeight="1" x14ac:dyDescent="0.25">
      <c r="B467" s="2" t="s">
        <v>26</v>
      </c>
      <c r="C467" s="2" t="s">
        <v>54</v>
      </c>
      <c r="D467" s="2" t="s">
        <v>38</v>
      </c>
      <c r="E467" s="2" t="s">
        <v>38</v>
      </c>
      <c r="F467" s="2" t="s">
        <v>88</v>
      </c>
      <c r="G467" s="2" t="s">
        <v>45</v>
      </c>
      <c r="H467" s="57" t="str">
        <f>Table1[[#This Row],[Tabela]]&amp;Table1[[#This Row],[Campo]]</f>
        <v>PROCESS_PROPERTY_RELPROPERTY_REFERENCE_CODE</v>
      </c>
      <c r="I467" s="3" t="s">
        <v>614</v>
      </c>
      <c r="J467" s="55">
        <f>VLOOKUP(Table1[[#This Row],[Status]],Auxiliar!$B$16:$C$24,2,0)</f>
        <v>1</v>
      </c>
      <c r="K467" s="2" t="s">
        <v>1252</v>
      </c>
      <c r="L467" s="29" t="s">
        <v>1258</v>
      </c>
      <c r="M467" s="21" t="s">
        <v>1259</v>
      </c>
      <c r="N467" s="48">
        <v>45485</v>
      </c>
      <c r="O467" s="21">
        <f>INDEX(Auxiliar!$D$5:$F$13,MATCH(Table1[[#This Row],[Tipologia_Testes]],Auxiliar!$B$5:$B$13,0),MATCH(Table1[[#This Row],[Complexidade]],Auxiliar!$D$4:$F$4,0))</f>
        <v>2</v>
      </c>
      <c r="P467" s="2" t="s">
        <v>1272</v>
      </c>
      <c r="Q467" s="2" t="s">
        <v>1269</v>
      </c>
      <c r="R467" s="152">
        <v>45261</v>
      </c>
      <c r="S467" s="152"/>
      <c r="T467" s="152"/>
      <c r="U467" s="152"/>
      <c r="V467" s="152"/>
      <c r="W467" s="2">
        <f>VLOOKUP(Table1[[#This Row],[Status]],Auxiliar!$B$16:$D$24,3,0)*Table1[[#This Row],[Estimação (horas)]]</f>
        <v>2</v>
      </c>
      <c r="X467" s="2"/>
    </row>
    <row r="468" spans="2:24" ht="17.7" customHeight="1" x14ac:dyDescent="0.25">
      <c r="B468" s="2" t="s">
        <v>26</v>
      </c>
      <c r="C468" s="2" t="s">
        <v>54</v>
      </c>
      <c r="D468" s="2" t="s">
        <v>38</v>
      </c>
      <c r="E468" s="2" t="s">
        <v>38</v>
      </c>
      <c r="F468" s="2" t="s">
        <v>88</v>
      </c>
      <c r="G468" s="2" t="s">
        <v>45</v>
      </c>
      <c r="H468" s="57" t="str">
        <f>Table1[[#This Row],[Tabela]]&amp;Table1[[#This Row],[Campo]]</f>
        <v>PROCESS_PROPERTY_RELPROPERTY_REFERENCE_CODE</v>
      </c>
      <c r="I468" s="3" t="s">
        <v>614</v>
      </c>
      <c r="J468" s="55">
        <f>VLOOKUP(Table1[[#This Row],[Status]],Auxiliar!$B$16:$C$24,2,0)</f>
        <v>1</v>
      </c>
      <c r="K468" s="2" t="s">
        <v>1253</v>
      </c>
      <c r="L468" s="29" t="s">
        <v>1258</v>
      </c>
      <c r="M468" s="21" t="s">
        <v>1259</v>
      </c>
      <c r="N468" s="48">
        <v>45485</v>
      </c>
      <c r="O468" s="21">
        <f>INDEX(Auxiliar!$D$5:$F$13,MATCH(Table1[[#This Row],[Tipologia_Testes]],Auxiliar!$B$5:$B$13,0),MATCH(Table1[[#This Row],[Complexidade]],Auxiliar!$D$4:$F$4,0))</f>
        <v>2</v>
      </c>
      <c r="P468" s="2" t="s">
        <v>1272</v>
      </c>
      <c r="Q468" s="2" t="s">
        <v>1269</v>
      </c>
      <c r="R468" s="152">
        <v>45261</v>
      </c>
      <c r="S468" s="152"/>
      <c r="T468" s="152"/>
      <c r="U468" s="152"/>
      <c r="V468" s="152"/>
      <c r="W468" s="2">
        <f>VLOOKUP(Table1[[#This Row],[Status]],Auxiliar!$B$16:$D$24,3,0)*Table1[[#This Row],[Estimação (horas)]]</f>
        <v>2</v>
      </c>
      <c r="X468" s="2"/>
    </row>
    <row r="469" spans="2:24" ht="17.7" customHeight="1" x14ac:dyDescent="0.25">
      <c r="B469" s="2" t="s">
        <v>26</v>
      </c>
      <c r="C469" s="2" t="s">
        <v>54</v>
      </c>
      <c r="D469" s="2" t="s">
        <v>38</v>
      </c>
      <c r="E469" s="2" t="s">
        <v>38</v>
      </c>
      <c r="F469" s="2" t="s">
        <v>88</v>
      </c>
      <c r="G469" s="2" t="s">
        <v>45</v>
      </c>
      <c r="H469" s="57" t="str">
        <f>Table1[[#This Row],[Tabela]]&amp;Table1[[#This Row],[Campo]]</f>
        <v>PROCESS_PROPERTY_RELPROPERTY_REFERENCE_CODE</v>
      </c>
      <c r="I469" s="3" t="s">
        <v>614</v>
      </c>
      <c r="J469" s="55">
        <f>VLOOKUP(Table1[[#This Row],[Status]],Auxiliar!$B$16:$C$24,2,0)</f>
        <v>1</v>
      </c>
      <c r="K469" s="2" t="s">
        <v>1255</v>
      </c>
      <c r="L469" s="29" t="s">
        <v>1258</v>
      </c>
      <c r="M469" s="21" t="s">
        <v>1259</v>
      </c>
      <c r="N469" s="48">
        <v>45485</v>
      </c>
      <c r="O469" s="21">
        <f>INDEX(Auxiliar!$D$5:$F$13,MATCH(Table1[[#This Row],[Tipologia_Testes]],Auxiliar!$B$5:$B$13,0),MATCH(Table1[[#This Row],[Complexidade]],Auxiliar!$D$4:$F$4,0))</f>
        <v>0.1</v>
      </c>
      <c r="P469" s="2" t="s">
        <v>1272</v>
      </c>
      <c r="Q469" s="2" t="s">
        <v>1269</v>
      </c>
      <c r="R469" s="152">
        <v>45261</v>
      </c>
      <c r="S469" s="152"/>
      <c r="T469" s="152"/>
      <c r="U469" s="152"/>
      <c r="V469" s="152"/>
      <c r="W469" s="2">
        <f>VLOOKUP(Table1[[#This Row],[Status]],Auxiliar!$B$16:$D$24,3,0)*Table1[[#This Row],[Estimação (horas)]]</f>
        <v>0.1</v>
      </c>
      <c r="X469" s="2"/>
    </row>
    <row r="470" spans="2:24" ht="17.7" customHeight="1" x14ac:dyDescent="0.25">
      <c r="B470" s="2" t="s">
        <v>26</v>
      </c>
      <c r="C470" s="2" t="s">
        <v>54</v>
      </c>
      <c r="D470" s="2" t="s">
        <v>38</v>
      </c>
      <c r="E470" s="2" t="s">
        <v>38</v>
      </c>
      <c r="F470" s="2" t="s">
        <v>88</v>
      </c>
      <c r="G470" s="2" t="s">
        <v>67</v>
      </c>
      <c r="H470" s="57" t="str">
        <f>Table1[[#This Row],[Tabela]]&amp;Table1[[#This Row],[Campo]]</f>
        <v>PROCESS_PROPERTY_RELPROCESS_REFERENCE_CODE</v>
      </c>
      <c r="I470" s="3" t="s">
        <v>614</v>
      </c>
      <c r="J470" s="43">
        <f>VLOOKUP(Table1[[#This Row],[Status]],Auxiliar!$B$16:$C$24,2,0)</f>
        <v>1</v>
      </c>
      <c r="K470" s="2" t="s">
        <v>1252</v>
      </c>
      <c r="L470" s="29" t="s">
        <v>1250</v>
      </c>
      <c r="M470" s="21" t="s">
        <v>1260</v>
      </c>
      <c r="N470" s="48">
        <v>45505</v>
      </c>
      <c r="O470" s="21">
        <f>INDEX(Auxiliar!$D$5:$F$13,MATCH(Table1[[#This Row],[Tipologia_Testes]],Auxiliar!$B$5:$B$13,0),MATCH(Table1[[#This Row],[Complexidade]],Auxiliar!$D$4:$F$4,0))</f>
        <v>4</v>
      </c>
      <c r="P470" s="2"/>
      <c r="Q470" s="2" t="s">
        <v>1269</v>
      </c>
      <c r="R470" s="152">
        <v>45261</v>
      </c>
      <c r="S470" s="152"/>
      <c r="T470" s="152"/>
      <c r="U470" s="152"/>
      <c r="V470" s="152"/>
      <c r="W470" s="2">
        <f>VLOOKUP(Table1[[#This Row],[Status]],Auxiliar!$B$16:$D$24,3,0)*Table1[[#This Row],[Estimação (horas)]]</f>
        <v>4</v>
      </c>
      <c r="X470" s="2"/>
    </row>
    <row r="471" spans="2:24" ht="17.7" customHeight="1" x14ac:dyDescent="0.25">
      <c r="B471" s="2" t="s">
        <v>26</v>
      </c>
      <c r="C471" s="2" t="s">
        <v>54</v>
      </c>
      <c r="D471" s="2" t="s">
        <v>38</v>
      </c>
      <c r="E471" s="2" t="s">
        <v>38</v>
      </c>
      <c r="F471" s="2" t="s">
        <v>88</v>
      </c>
      <c r="G471" s="2" t="s">
        <v>67</v>
      </c>
      <c r="H471" s="57" t="str">
        <f>Table1[[#This Row],[Tabela]]&amp;Table1[[#This Row],[Campo]]</f>
        <v>PROCESS_PROPERTY_RELPROCESS_REFERENCE_CODE</v>
      </c>
      <c r="I471" s="3" t="s">
        <v>614</v>
      </c>
      <c r="J471" s="43">
        <f>VLOOKUP(Table1[[#This Row],[Status]],Auxiliar!$B$16:$C$24,2,0)</f>
        <v>1</v>
      </c>
      <c r="K471" s="2" t="s">
        <v>1253</v>
      </c>
      <c r="L471" s="29" t="s">
        <v>1250</v>
      </c>
      <c r="M471" s="21" t="s">
        <v>1260</v>
      </c>
      <c r="N471" s="48">
        <v>45505</v>
      </c>
      <c r="O471" s="21">
        <f>INDEX(Auxiliar!$D$5:$F$13,MATCH(Table1[[#This Row],[Tipologia_Testes]],Auxiliar!$B$5:$B$13,0),MATCH(Table1[[#This Row],[Complexidade]],Auxiliar!$D$4:$F$4,0))</f>
        <v>4</v>
      </c>
      <c r="P471" s="2"/>
      <c r="Q471" s="2" t="s">
        <v>1269</v>
      </c>
      <c r="R471" s="152">
        <v>45261</v>
      </c>
      <c r="S471" s="152"/>
      <c r="T471" s="152"/>
      <c r="U471" s="152"/>
      <c r="V471" s="152"/>
      <c r="W471" s="2">
        <f>VLOOKUP(Table1[[#This Row],[Status]],Auxiliar!$B$16:$D$24,3,0)*Table1[[#This Row],[Estimação (horas)]]</f>
        <v>4</v>
      </c>
      <c r="X471" s="2"/>
    </row>
    <row r="472" spans="2:24" ht="17.7" customHeight="1" x14ac:dyDescent="0.25">
      <c r="B472" s="2" t="s">
        <v>26</v>
      </c>
      <c r="C472" s="2" t="s">
        <v>54</v>
      </c>
      <c r="D472" s="2" t="s">
        <v>38</v>
      </c>
      <c r="E472" s="2" t="s">
        <v>38</v>
      </c>
      <c r="F472" s="2" t="s">
        <v>88</v>
      </c>
      <c r="G472" s="2" t="s">
        <v>67</v>
      </c>
      <c r="H472" s="57" t="str">
        <f>Table1[[#This Row],[Tabela]]&amp;Table1[[#This Row],[Campo]]</f>
        <v>PROCESS_PROPERTY_RELPROCESS_REFERENCE_CODE</v>
      </c>
      <c r="I472" s="3" t="s">
        <v>614</v>
      </c>
      <c r="J472" s="43">
        <f>VLOOKUP(Table1[[#This Row],[Status]],Auxiliar!$B$16:$C$24,2,0)</f>
        <v>1</v>
      </c>
      <c r="K472" s="2" t="s">
        <v>1255</v>
      </c>
      <c r="L472" s="29" t="s">
        <v>1250</v>
      </c>
      <c r="M472" s="21" t="s">
        <v>1260</v>
      </c>
      <c r="N472" s="48">
        <v>45505</v>
      </c>
      <c r="O472" s="21">
        <f>INDEX(Auxiliar!$D$5:$F$13,MATCH(Table1[[#This Row],[Tipologia_Testes]],Auxiliar!$B$5:$B$13,0),MATCH(Table1[[#This Row],[Complexidade]],Auxiliar!$D$4:$F$4,0))</f>
        <v>0.1</v>
      </c>
      <c r="P472" s="2"/>
      <c r="Q472" s="2" t="s">
        <v>1269</v>
      </c>
      <c r="R472" s="152">
        <v>45261</v>
      </c>
      <c r="S472" s="152"/>
      <c r="T472" s="152"/>
      <c r="U472" s="152"/>
      <c r="V472" s="152"/>
      <c r="W472" s="2">
        <f>VLOOKUP(Table1[[#This Row],[Status]],Auxiliar!$B$16:$D$24,3,0)*Table1[[#This Row],[Estimação (horas)]]</f>
        <v>0.1</v>
      </c>
      <c r="X472" s="2"/>
    </row>
    <row r="473" spans="2:24" ht="17.7" customHeight="1" x14ac:dyDescent="0.25">
      <c r="B473" s="2" t="s">
        <v>26</v>
      </c>
      <c r="C473" s="2" t="s">
        <v>54</v>
      </c>
      <c r="D473" s="2" t="s">
        <v>38</v>
      </c>
      <c r="E473" s="2" t="s">
        <v>38</v>
      </c>
      <c r="F473" s="2" t="s">
        <v>88</v>
      </c>
      <c r="G473" s="2" t="s">
        <v>89</v>
      </c>
      <c r="H473" s="57" t="str">
        <f>Table1[[#This Row],[Tabela]]&amp;Table1[[#This Row],[Campo]]</f>
        <v>PROCESS_PROPERTY_RELdata_assc</v>
      </c>
      <c r="I473" s="2" t="s">
        <v>613</v>
      </c>
      <c r="J473" s="43">
        <f>VLOOKUP(Table1[[#This Row],[Status]],Auxiliar!$B$16:$C$24,2,0)</f>
        <v>0</v>
      </c>
      <c r="K473" s="2" t="s">
        <v>1252</v>
      </c>
      <c r="L473" s="29" t="s">
        <v>1270</v>
      </c>
      <c r="M473" s="21" t="s">
        <v>1260</v>
      </c>
      <c r="N473" s="48">
        <v>45485</v>
      </c>
      <c r="O473" s="21">
        <f>INDEX(Auxiliar!$D$5:$F$13,MATCH(Table1[[#This Row],[Tipologia_Testes]],Auxiliar!$B$5:$B$13,0),MATCH(Table1[[#This Row],[Complexidade]],Auxiliar!$D$4:$F$4,0))</f>
        <v>4</v>
      </c>
      <c r="P473" s="2" t="s">
        <v>1278</v>
      </c>
      <c r="Q473" s="2" t="s">
        <v>1269</v>
      </c>
      <c r="R473" s="152">
        <v>45425</v>
      </c>
      <c r="S473" s="152"/>
      <c r="T473" s="152"/>
      <c r="U473" s="152"/>
      <c r="V473" s="152"/>
      <c r="W473" s="2">
        <f>VLOOKUP(Table1[[#This Row],[Status]],Auxiliar!$B$16:$D$24,3,0)*Table1[[#This Row],[Estimação (horas)]]</f>
        <v>0</v>
      </c>
      <c r="X473" s="2"/>
    </row>
    <row r="474" spans="2:24" ht="17.7" customHeight="1" x14ac:dyDescent="0.25">
      <c r="B474" s="2" t="s">
        <v>26</v>
      </c>
      <c r="C474" s="2" t="s">
        <v>54</v>
      </c>
      <c r="D474" s="2" t="s">
        <v>38</v>
      </c>
      <c r="E474" s="2" t="s">
        <v>38</v>
      </c>
      <c r="F474" s="2" t="s">
        <v>88</v>
      </c>
      <c r="G474" s="2" t="s">
        <v>90</v>
      </c>
      <c r="H474" s="57" t="str">
        <f>Table1[[#This Row],[Tabela]]&amp;Table1[[#This Row],[Campo]]</f>
        <v>PROCESS_PROPERTY_RELSEIZED_PROPERTY_IND</v>
      </c>
      <c r="I474" s="3" t="s">
        <v>614</v>
      </c>
      <c r="J474" s="55">
        <f>VLOOKUP(Table1[[#This Row],[Status]],Auxiliar!$B$16:$C$24,2,0)</f>
        <v>1</v>
      </c>
      <c r="K474" s="2" t="s">
        <v>1252</v>
      </c>
      <c r="L474" s="29" t="s">
        <v>1258</v>
      </c>
      <c r="M474" s="21" t="s">
        <v>1259</v>
      </c>
      <c r="N474" s="48">
        <v>45485</v>
      </c>
      <c r="O474" s="21">
        <f>INDEX(Auxiliar!$D$5:$F$13,MATCH(Table1[[#This Row],[Tipologia_Testes]],Auxiliar!$B$5:$B$13,0),MATCH(Table1[[#This Row],[Complexidade]],Auxiliar!$D$4:$F$4,0))</f>
        <v>2</v>
      </c>
      <c r="P474" s="2"/>
      <c r="Q474" s="2" t="s">
        <v>1269</v>
      </c>
      <c r="R474" s="152">
        <v>45261</v>
      </c>
      <c r="S474" s="152"/>
      <c r="T474" s="152"/>
      <c r="U474" s="152"/>
      <c r="V474" s="152"/>
      <c r="W474" s="2">
        <f>VLOOKUP(Table1[[#This Row],[Status]],Auxiliar!$B$16:$D$24,3,0)*Table1[[#This Row],[Estimação (horas)]]</f>
        <v>2</v>
      </c>
      <c r="X474" s="2"/>
    </row>
    <row r="475" spans="2:24" ht="17.7" customHeight="1" x14ac:dyDescent="0.25">
      <c r="B475" s="2" t="s">
        <v>26</v>
      </c>
      <c r="C475" s="2" t="s">
        <v>54</v>
      </c>
      <c r="D475" s="2" t="s">
        <v>38</v>
      </c>
      <c r="E475" s="2" t="s">
        <v>38</v>
      </c>
      <c r="F475" s="2" t="s">
        <v>88</v>
      </c>
      <c r="G475" s="2" t="s">
        <v>90</v>
      </c>
      <c r="H475" s="57" t="str">
        <f>Table1[[#This Row],[Tabela]]&amp;Table1[[#This Row],[Campo]]</f>
        <v>PROCESS_PROPERTY_RELSEIZED_PROPERTY_IND</v>
      </c>
      <c r="I475" s="3" t="s">
        <v>614</v>
      </c>
      <c r="J475" s="55">
        <f>VLOOKUP(Table1[[#This Row],[Status]],Auxiliar!$B$16:$C$24,2,0)</f>
        <v>1</v>
      </c>
      <c r="K475" s="2" t="s">
        <v>1253</v>
      </c>
      <c r="L475" s="29" t="s">
        <v>1258</v>
      </c>
      <c r="M475" s="21" t="s">
        <v>1259</v>
      </c>
      <c r="N475" s="48">
        <v>45485</v>
      </c>
      <c r="O475" s="21">
        <f>INDEX(Auxiliar!$D$5:$F$13,MATCH(Table1[[#This Row],[Tipologia_Testes]],Auxiliar!$B$5:$B$13,0),MATCH(Table1[[#This Row],[Complexidade]],Auxiliar!$D$4:$F$4,0))</f>
        <v>2</v>
      </c>
      <c r="P475" s="2"/>
      <c r="Q475" s="2" t="s">
        <v>1269</v>
      </c>
      <c r="R475" s="152">
        <v>45261</v>
      </c>
      <c r="S475" s="152"/>
      <c r="T475" s="152"/>
      <c r="U475" s="152"/>
      <c r="V475" s="152"/>
      <c r="W475" s="2">
        <f>VLOOKUP(Table1[[#This Row],[Status]],Auxiliar!$B$16:$D$24,3,0)*Table1[[#This Row],[Estimação (horas)]]</f>
        <v>2</v>
      </c>
      <c r="X475" s="2"/>
    </row>
    <row r="476" spans="2:24" ht="17.7" customHeight="1" x14ac:dyDescent="0.25">
      <c r="B476" s="2" t="s">
        <v>26</v>
      </c>
      <c r="C476" s="2" t="s">
        <v>54</v>
      </c>
      <c r="D476" s="2" t="s">
        <v>38</v>
      </c>
      <c r="E476" s="2" t="s">
        <v>38</v>
      </c>
      <c r="F476" s="2" t="s">
        <v>88</v>
      </c>
      <c r="G476" s="2" t="s">
        <v>90</v>
      </c>
      <c r="H476" s="57" t="str">
        <f>Table1[[#This Row],[Tabela]]&amp;Table1[[#This Row],[Campo]]</f>
        <v>PROCESS_PROPERTY_RELSEIZED_PROPERTY_IND</v>
      </c>
      <c r="I476" s="3" t="s">
        <v>614</v>
      </c>
      <c r="J476" s="55">
        <f>VLOOKUP(Table1[[#This Row],[Status]],Auxiliar!$B$16:$C$24,2,0)</f>
        <v>1</v>
      </c>
      <c r="K476" s="2" t="s">
        <v>1255</v>
      </c>
      <c r="L476" s="29" t="s">
        <v>1258</v>
      </c>
      <c r="M476" s="21" t="s">
        <v>1259</v>
      </c>
      <c r="N476" s="48">
        <v>45485</v>
      </c>
      <c r="O476" s="21">
        <f>INDEX(Auxiliar!$D$5:$F$13,MATCH(Table1[[#This Row],[Tipologia_Testes]],Auxiliar!$B$5:$B$13,0),MATCH(Table1[[#This Row],[Complexidade]],Auxiliar!$D$4:$F$4,0))</f>
        <v>0.1</v>
      </c>
      <c r="P476" s="2"/>
      <c r="Q476" s="2" t="s">
        <v>1269</v>
      </c>
      <c r="R476" s="152">
        <v>45261</v>
      </c>
      <c r="S476" s="152"/>
      <c r="T476" s="152"/>
      <c r="U476" s="152"/>
      <c r="V476" s="152"/>
      <c r="W476" s="2">
        <f>VLOOKUP(Table1[[#This Row],[Status]],Auxiliar!$B$16:$D$24,3,0)*Table1[[#This Row],[Estimação (horas)]]</f>
        <v>0.1</v>
      </c>
      <c r="X476" s="2"/>
    </row>
    <row r="477" spans="2:24" ht="17.7" customHeight="1" x14ac:dyDescent="0.25">
      <c r="B477" s="2" t="s">
        <v>26</v>
      </c>
      <c r="C477" s="2" t="s">
        <v>54</v>
      </c>
      <c r="D477" s="2" t="s">
        <v>38</v>
      </c>
      <c r="E477" s="2" t="s">
        <v>38</v>
      </c>
      <c r="F477" s="2" t="s">
        <v>88</v>
      </c>
      <c r="G477" s="2" t="s">
        <v>91</v>
      </c>
      <c r="H477" s="57" t="str">
        <f>Table1[[#This Row],[Tabela]]&amp;Table1[[#This Row],[Campo]]</f>
        <v>PROCESS_PROPERTY_RELCOLLATERAL_PROPERTY_IND</v>
      </c>
      <c r="I477" s="3" t="s">
        <v>614</v>
      </c>
      <c r="J477" s="55">
        <f>VLOOKUP(Table1[[#This Row],[Status]],Auxiliar!$B$16:$C$24,2,0)</f>
        <v>1</v>
      </c>
      <c r="K477" s="2" t="s">
        <v>1252</v>
      </c>
      <c r="L477" s="29" t="s">
        <v>1258</v>
      </c>
      <c r="M477" s="21" t="s">
        <v>1259</v>
      </c>
      <c r="N477" s="48">
        <v>45485</v>
      </c>
      <c r="O477" s="21">
        <f>INDEX(Auxiliar!$D$5:$F$13,MATCH(Table1[[#This Row],[Tipologia_Testes]],Auxiliar!$B$5:$B$13,0),MATCH(Table1[[#This Row],[Complexidade]],Auxiliar!$D$4:$F$4,0))</f>
        <v>2</v>
      </c>
      <c r="P477" s="2"/>
      <c r="Q477" s="2" t="s">
        <v>1269</v>
      </c>
      <c r="R477" s="152">
        <v>45261</v>
      </c>
      <c r="S477" s="152"/>
      <c r="T477" s="152"/>
      <c r="U477" s="152"/>
      <c r="V477" s="152"/>
      <c r="W477" s="2">
        <f>VLOOKUP(Table1[[#This Row],[Status]],Auxiliar!$B$16:$D$24,3,0)*Table1[[#This Row],[Estimação (horas)]]</f>
        <v>2</v>
      </c>
      <c r="X477" s="2"/>
    </row>
    <row r="478" spans="2:24" ht="17.7" customHeight="1" x14ac:dyDescent="0.25">
      <c r="B478" s="2" t="s">
        <v>26</v>
      </c>
      <c r="C478" s="2" t="s">
        <v>54</v>
      </c>
      <c r="D478" s="2" t="s">
        <v>38</v>
      </c>
      <c r="E478" s="2" t="s">
        <v>38</v>
      </c>
      <c r="F478" s="2" t="s">
        <v>88</v>
      </c>
      <c r="G478" s="2" t="s">
        <v>91</v>
      </c>
      <c r="H478" s="57" t="str">
        <f>Table1[[#This Row],[Tabela]]&amp;Table1[[#This Row],[Campo]]</f>
        <v>PROCESS_PROPERTY_RELCOLLATERAL_PROPERTY_IND</v>
      </c>
      <c r="I478" s="3" t="s">
        <v>614</v>
      </c>
      <c r="J478" s="55">
        <f>VLOOKUP(Table1[[#This Row],[Status]],Auxiliar!$B$16:$C$24,2,0)</f>
        <v>1</v>
      </c>
      <c r="K478" s="2" t="s">
        <v>1253</v>
      </c>
      <c r="L478" s="29" t="s">
        <v>1258</v>
      </c>
      <c r="M478" s="21" t="s">
        <v>1259</v>
      </c>
      <c r="N478" s="48">
        <v>45485</v>
      </c>
      <c r="O478" s="21">
        <f>INDEX(Auxiliar!$D$5:$F$13,MATCH(Table1[[#This Row],[Tipologia_Testes]],Auxiliar!$B$5:$B$13,0),MATCH(Table1[[#This Row],[Complexidade]],Auxiliar!$D$4:$F$4,0))</f>
        <v>2</v>
      </c>
      <c r="P478" s="2"/>
      <c r="Q478" s="2" t="s">
        <v>1269</v>
      </c>
      <c r="R478" s="152">
        <v>45261</v>
      </c>
      <c r="S478" s="152"/>
      <c r="T478" s="152"/>
      <c r="U478" s="152"/>
      <c r="V478" s="152"/>
      <c r="W478" s="2">
        <f>VLOOKUP(Table1[[#This Row],[Status]],Auxiliar!$B$16:$D$24,3,0)*Table1[[#This Row],[Estimação (horas)]]</f>
        <v>2</v>
      </c>
      <c r="X478" s="2"/>
    </row>
    <row r="479" spans="2:24" ht="17.7" customHeight="1" x14ac:dyDescent="0.25">
      <c r="B479" s="2" t="s">
        <v>26</v>
      </c>
      <c r="C479" s="2" t="s">
        <v>54</v>
      </c>
      <c r="D479" s="2" t="s">
        <v>38</v>
      </c>
      <c r="E479" s="2" t="s">
        <v>38</v>
      </c>
      <c r="F479" s="2" t="s">
        <v>88</v>
      </c>
      <c r="G479" s="2" t="s">
        <v>91</v>
      </c>
      <c r="H479" s="57" t="str">
        <f>Table1[[#This Row],[Tabela]]&amp;Table1[[#This Row],[Campo]]</f>
        <v>PROCESS_PROPERTY_RELCOLLATERAL_PROPERTY_IND</v>
      </c>
      <c r="I479" s="3" t="s">
        <v>614</v>
      </c>
      <c r="J479" s="55">
        <f>VLOOKUP(Table1[[#This Row],[Status]],Auxiliar!$B$16:$C$24,2,0)</f>
        <v>1</v>
      </c>
      <c r="K479" s="2" t="s">
        <v>1255</v>
      </c>
      <c r="L479" s="29" t="s">
        <v>1258</v>
      </c>
      <c r="M479" s="21" t="s">
        <v>1259</v>
      </c>
      <c r="N479" s="48">
        <v>45485</v>
      </c>
      <c r="O479" s="21">
        <f>INDEX(Auxiliar!$D$5:$F$13,MATCH(Table1[[#This Row],[Tipologia_Testes]],Auxiliar!$B$5:$B$13,0),MATCH(Table1[[#This Row],[Complexidade]],Auxiliar!$D$4:$F$4,0))</f>
        <v>0.1</v>
      </c>
      <c r="P479" s="2"/>
      <c r="Q479" s="2" t="s">
        <v>1269</v>
      </c>
      <c r="R479" s="152">
        <v>45261</v>
      </c>
      <c r="S479" s="152"/>
      <c r="T479" s="152"/>
      <c r="U479" s="152"/>
      <c r="V479" s="152"/>
      <c r="W479" s="2">
        <f>VLOOKUP(Table1[[#This Row],[Status]],Auxiliar!$B$16:$D$24,3,0)*Table1[[#This Row],[Estimação (horas)]]</f>
        <v>0.1</v>
      </c>
      <c r="X479" s="2"/>
    </row>
    <row r="480" spans="2:24" ht="17.7" customHeight="1" x14ac:dyDescent="0.25">
      <c r="B480" s="2" t="s">
        <v>26</v>
      </c>
      <c r="C480" s="2" t="s">
        <v>54</v>
      </c>
      <c r="D480" s="2" t="s">
        <v>38</v>
      </c>
      <c r="E480" s="2" t="s">
        <v>38</v>
      </c>
      <c r="F480" s="2" t="s">
        <v>88</v>
      </c>
      <c r="G480" s="2" t="s">
        <v>92</v>
      </c>
      <c r="H480" s="57" t="str">
        <f>Table1[[#This Row],[Tabela]]&amp;Table1[[#This Row],[Campo]]</f>
        <v>PROCESS_PROPERTY_RELFINANCED_PROPERTY_IND</v>
      </c>
      <c r="I480" s="3" t="s">
        <v>614</v>
      </c>
      <c r="J480" s="55">
        <f>VLOOKUP(Table1[[#This Row],[Status]],Auxiliar!$B$16:$C$24,2,0)</f>
        <v>1</v>
      </c>
      <c r="K480" s="2" t="s">
        <v>1252</v>
      </c>
      <c r="L480" s="29" t="s">
        <v>1258</v>
      </c>
      <c r="M480" s="21" t="s">
        <v>1259</v>
      </c>
      <c r="N480" s="48">
        <v>45485</v>
      </c>
      <c r="O480" s="21">
        <f>INDEX(Auxiliar!$D$5:$F$13,MATCH(Table1[[#This Row],[Tipologia_Testes]],Auxiliar!$B$5:$B$13,0),MATCH(Table1[[#This Row],[Complexidade]],Auxiliar!$D$4:$F$4,0))</f>
        <v>2</v>
      </c>
      <c r="P480" s="2"/>
      <c r="Q480" s="2" t="s">
        <v>1269</v>
      </c>
      <c r="R480" s="152">
        <v>45261</v>
      </c>
      <c r="S480" s="152"/>
      <c r="T480" s="152"/>
      <c r="U480" s="152"/>
      <c r="V480" s="152"/>
      <c r="W480" s="2">
        <f>VLOOKUP(Table1[[#This Row],[Status]],Auxiliar!$B$16:$D$24,3,0)*Table1[[#This Row],[Estimação (horas)]]</f>
        <v>2</v>
      </c>
      <c r="X480" s="2"/>
    </row>
    <row r="481" spans="2:24" ht="17.7" customHeight="1" x14ac:dyDescent="0.25">
      <c r="B481" s="2" t="s">
        <v>26</v>
      </c>
      <c r="C481" s="2" t="s">
        <v>54</v>
      </c>
      <c r="D481" s="2" t="s">
        <v>38</v>
      </c>
      <c r="E481" s="2" t="s">
        <v>38</v>
      </c>
      <c r="F481" s="2" t="s">
        <v>88</v>
      </c>
      <c r="G481" s="2" t="s">
        <v>92</v>
      </c>
      <c r="H481" s="57" t="str">
        <f>Table1[[#This Row],[Tabela]]&amp;Table1[[#This Row],[Campo]]</f>
        <v>PROCESS_PROPERTY_RELFINANCED_PROPERTY_IND</v>
      </c>
      <c r="I481" s="3" t="s">
        <v>614</v>
      </c>
      <c r="J481" s="55">
        <f>VLOOKUP(Table1[[#This Row],[Status]],Auxiliar!$B$16:$C$24,2,0)</f>
        <v>1</v>
      </c>
      <c r="K481" s="2" t="s">
        <v>1253</v>
      </c>
      <c r="L481" s="29" t="s">
        <v>1258</v>
      </c>
      <c r="M481" s="21" t="s">
        <v>1259</v>
      </c>
      <c r="N481" s="48">
        <v>45485</v>
      </c>
      <c r="O481" s="21">
        <f>INDEX(Auxiliar!$D$5:$F$13,MATCH(Table1[[#This Row],[Tipologia_Testes]],Auxiliar!$B$5:$B$13,0),MATCH(Table1[[#This Row],[Complexidade]],Auxiliar!$D$4:$F$4,0))</f>
        <v>2</v>
      </c>
      <c r="P481" s="2"/>
      <c r="Q481" s="2" t="s">
        <v>1269</v>
      </c>
      <c r="R481" s="152">
        <v>45261</v>
      </c>
      <c r="S481" s="152"/>
      <c r="T481" s="152"/>
      <c r="U481" s="152"/>
      <c r="V481" s="152"/>
      <c r="W481" s="2">
        <f>VLOOKUP(Table1[[#This Row],[Status]],Auxiliar!$B$16:$D$24,3,0)*Table1[[#This Row],[Estimação (horas)]]</f>
        <v>2</v>
      </c>
      <c r="X481" s="2"/>
    </row>
    <row r="482" spans="2:24" ht="17.7" customHeight="1" x14ac:dyDescent="0.25">
      <c r="B482" s="2" t="s">
        <v>26</v>
      </c>
      <c r="C482" s="2" t="s">
        <v>54</v>
      </c>
      <c r="D482" s="2" t="s">
        <v>38</v>
      </c>
      <c r="E482" s="2" t="s">
        <v>38</v>
      </c>
      <c r="F482" s="2" t="s">
        <v>88</v>
      </c>
      <c r="G482" s="2" t="s">
        <v>92</v>
      </c>
      <c r="H482" s="57" t="str">
        <f>Table1[[#This Row],[Tabela]]&amp;Table1[[#This Row],[Campo]]</f>
        <v>PROCESS_PROPERTY_RELFINANCED_PROPERTY_IND</v>
      </c>
      <c r="I482" s="3" t="s">
        <v>614</v>
      </c>
      <c r="J482" s="55">
        <f>VLOOKUP(Table1[[#This Row],[Status]],Auxiliar!$B$16:$C$24,2,0)</f>
        <v>1</v>
      </c>
      <c r="K482" s="2" t="s">
        <v>1255</v>
      </c>
      <c r="L482" s="29" t="s">
        <v>1258</v>
      </c>
      <c r="M482" s="21" t="s">
        <v>1259</v>
      </c>
      <c r="N482" s="48">
        <v>45485</v>
      </c>
      <c r="O482" s="21">
        <f>INDEX(Auxiliar!$D$5:$F$13,MATCH(Table1[[#This Row],[Tipologia_Testes]],Auxiliar!$B$5:$B$13,0),MATCH(Table1[[#This Row],[Complexidade]],Auxiliar!$D$4:$F$4,0))</f>
        <v>0.1</v>
      </c>
      <c r="P482" s="2"/>
      <c r="Q482" s="2" t="s">
        <v>1269</v>
      </c>
      <c r="R482" s="152">
        <v>45261</v>
      </c>
      <c r="S482" s="152"/>
      <c r="T482" s="152"/>
      <c r="U482" s="152"/>
      <c r="V482" s="152"/>
      <c r="W482" s="2">
        <f>VLOOKUP(Table1[[#This Row],[Status]],Auxiliar!$B$16:$D$24,3,0)*Table1[[#This Row],[Estimação (horas)]]</f>
        <v>0.1</v>
      </c>
      <c r="X482" s="2"/>
    </row>
    <row r="483" spans="2:24" ht="17.7" customHeight="1" x14ac:dyDescent="0.25">
      <c r="B483" s="2" t="s">
        <v>26</v>
      </c>
      <c r="C483" s="2" t="s">
        <v>54</v>
      </c>
      <c r="D483" s="2" t="s">
        <v>38</v>
      </c>
      <c r="E483" s="2" t="s">
        <v>38</v>
      </c>
      <c r="F483" s="2" t="s">
        <v>88</v>
      </c>
      <c r="G483" s="2" t="s">
        <v>93</v>
      </c>
      <c r="H483" s="57" t="str">
        <f>Table1[[#This Row],[Tabela]]&amp;Table1[[#This Row],[Campo]]</f>
        <v>PROCESS_PROPERTY_RELOWNED_PROPERTY_IND</v>
      </c>
      <c r="I483" s="3" t="s">
        <v>614</v>
      </c>
      <c r="J483" s="55">
        <f>VLOOKUP(Table1[[#This Row],[Status]],Auxiliar!$B$16:$C$24,2,0)</f>
        <v>1</v>
      </c>
      <c r="K483" s="2" t="s">
        <v>1252</v>
      </c>
      <c r="L483" s="29" t="s">
        <v>1258</v>
      </c>
      <c r="M483" s="21" t="s">
        <v>1259</v>
      </c>
      <c r="N483" s="48">
        <v>45485</v>
      </c>
      <c r="O483" s="21">
        <f>INDEX(Auxiliar!$D$5:$F$13,MATCH(Table1[[#This Row],[Tipologia_Testes]],Auxiliar!$B$5:$B$13,0),MATCH(Table1[[#This Row],[Complexidade]],Auxiliar!$D$4:$F$4,0))</f>
        <v>2</v>
      </c>
      <c r="P483" s="2"/>
      <c r="Q483" s="2" t="s">
        <v>1269</v>
      </c>
      <c r="R483" s="152">
        <v>45261</v>
      </c>
      <c r="S483" s="152"/>
      <c r="T483" s="152"/>
      <c r="U483" s="152"/>
      <c r="V483" s="152"/>
      <c r="W483" s="2">
        <f>VLOOKUP(Table1[[#This Row],[Status]],Auxiliar!$B$16:$D$24,3,0)*Table1[[#This Row],[Estimação (horas)]]</f>
        <v>2</v>
      </c>
      <c r="X483" s="2"/>
    </row>
    <row r="484" spans="2:24" ht="17.7" customHeight="1" x14ac:dyDescent="0.25">
      <c r="B484" s="2" t="s">
        <v>26</v>
      </c>
      <c r="C484" s="2" t="s">
        <v>54</v>
      </c>
      <c r="D484" s="2" t="s">
        <v>38</v>
      </c>
      <c r="E484" s="2" t="s">
        <v>38</v>
      </c>
      <c r="F484" s="2" t="s">
        <v>88</v>
      </c>
      <c r="G484" s="2" t="s">
        <v>93</v>
      </c>
      <c r="H484" s="57" t="str">
        <f>Table1[[#This Row],[Tabela]]&amp;Table1[[#This Row],[Campo]]</f>
        <v>PROCESS_PROPERTY_RELOWNED_PROPERTY_IND</v>
      </c>
      <c r="I484" s="3" t="s">
        <v>614</v>
      </c>
      <c r="J484" s="55">
        <f>VLOOKUP(Table1[[#This Row],[Status]],Auxiliar!$B$16:$C$24,2,0)</f>
        <v>1</v>
      </c>
      <c r="K484" s="2" t="s">
        <v>1253</v>
      </c>
      <c r="L484" s="29" t="s">
        <v>1258</v>
      </c>
      <c r="M484" s="21" t="s">
        <v>1259</v>
      </c>
      <c r="N484" s="48">
        <v>45485</v>
      </c>
      <c r="O484" s="21">
        <f>INDEX(Auxiliar!$D$5:$F$13,MATCH(Table1[[#This Row],[Tipologia_Testes]],Auxiliar!$B$5:$B$13,0),MATCH(Table1[[#This Row],[Complexidade]],Auxiliar!$D$4:$F$4,0))</f>
        <v>2</v>
      </c>
      <c r="P484" s="2"/>
      <c r="Q484" s="2" t="s">
        <v>1269</v>
      </c>
      <c r="R484" s="152">
        <v>45261</v>
      </c>
      <c r="S484" s="152"/>
      <c r="T484" s="152"/>
      <c r="U484" s="152"/>
      <c r="V484" s="152"/>
      <c r="W484" s="2">
        <f>VLOOKUP(Table1[[#This Row],[Status]],Auxiliar!$B$16:$D$24,3,0)*Table1[[#This Row],[Estimação (horas)]]</f>
        <v>2</v>
      </c>
      <c r="X484" s="2"/>
    </row>
    <row r="485" spans="2:24" ht="17.7" customHeight="1" x14ac:dyDescent="0.25">
      <c r="B485" s="2" t="s">
        <v>26</v>
      </c>
      <c r="C485" s="2" t="s">
        <v>54</v>
      </c>
      <c r="D485" s="2" t="s">
        <v>38</v>
      </c>
      <c r="E485" s="2" t="s">
        <v>38</v>
      </c>
      <c r="F485" s="2" t="s">
        <v>88</v>
      </c>
      <c r="G485" s="2" t="s">
        <v>93</v>
      </c>
      <c r="H485" s="57" t="str">
        <f>Table1[[#This Row],[Tabela]]&amp;Table1[[#This Row],[Campo]]</f>
        <v>PROCESS_PROPERTY_RELOWNED_PROPERTY_IND</v>
      </c>
      <c r="I485" s="3" t="s">
        <v>614</v>
      </c>
      <c r="J485" s="55">
        <f>VLOOKUP(Table1[[#This Row],[Status]],Auxiliar!$B$16:$C$24,2,0)</f>
        <v>1</v>
      </c>
      <c r="K485" s="2" t="s">
        <v>1255</v>
      </c>
      <c r="L485" s="29" t="s">
        <v>1258</v>
      </c>
      <c r="M485" s="21" t="s">
        <v>1259</v>
      </c>
      <c r="N485" s="48">
        <v>45485</v>
      </c>
      <c r="O485" s="21">
        <f>INDEX(Auxiliar!$D$5:$F$13,MATCH(Table1[[#This Row],[Tipologia_Testes]],Auxiliar!$B$5:$B$13,0),MATCH(Table1[[#This Row],[Complexidade]],Auxiliar!$D$4:$F$4,0))</f>
        <v>0.1</v>
      </c>
      <c r="P485" s="2"/>
      <c r="Q485" s="2" t="s">
        <v>1269</v>
      </c>
      <c r="R485" s="152">
        <v>45261</v>
      </c>
      <c r="S485" s="152"/>
      <c r="T485" s="152"/>
      <c r="U485" s="152"/>
      <c r="V485" s="152"/>
      <c r="W485" s="2">
        <f>VLOOKUP(Table1[[#This Row],[Status]],Auxiliar!$B$16:$D$24,3,0)*Table1[[#This Row],[Estimação (horas)]]</f>
        <v>0.1</v>
      </c>
      <c r="X485" s="2"/>
    </row>
    <row r="486" spans="2:24" ht="17.7" customHeight="1" x14ac:dyDescent="0.25">
      <c r="B486" s="2" t="s">
        <v>26</v>
      </c>
      <c r="C486" s="2" t="s">
        <v>54</v>
      </c>
      <c r="D486" s="2" t="s">
        <v>38</v>
      </c>
      <c r="E486" s="2" t="s">
        <v>38</v>
      </c>
      <c r="F486" s="2" t="s">
        <v>88</v>
      </c>
      <c r="G486" s="2" t="s">
        <v>87</v>
      </c>
      <c r="H486" s="57" t="str">
        <f>Table1[[#This Row],[Tabela]]&amp;Table1[[#This Row],[Campo]]</f>
        <v>PROCESS_PROPERTY_RELSOURCE_CODE</v>
      </c>
      <c r="I486" s="3" t="s">
        <v>614</v>
      </c>
      <c r="J486" s="55">
        <f>VLOOKUP(Table1[[#This Row],[Status]],Auxiliar!$B$16:$C$24,2,0)</f>
        <v>1</v>
      </c>
      <c r="K486" s="2" t="s">
        <v>1252</v>
      </c>
      <c r="L486" s="29" t="s">
        <v>1258</v>
      </c>
      <c r="M486" s="21" t="s">
        <v>1259</v>
      </c>
      <c r="N486" s="48">
        <v>45485</v>
      </c>
      <c r="O486" s="21">
        <f>INDEX(Auxiliar!$D$5:$F$13,MATCH(Table1[[#This Row],[Tipologia_Testes]],Auxiliar!$B$5:$B$13,0),MATCH(Table1[[#This Row],[Complexidade]],Auxiliar!$D$4:$F$4,0))</f>
        <v>2</v>
      </c>
      <c r="P486" s="2"/>
      <c r="Q486" s="2" t="s">
        <v>1269</v>
      </c>
      <c r="R486" s="152">
        <v>45261</v>
      </c>
      <c r="S486" s="152"/>
      <c r="T486" s="152"/>
      <c r="U486" s="152"/>
      <c r="V486" s="152"/>
      <c r="W486" s="2">
        <f>VLOOKUP(Table1[[#This Row],[Status]],Auxiliar!$B$16:$D$24,3,0)*Table1[[#This Row],[Estimação (horas)]]</f>
        <v>2</v>
      </c>
      <c r="X486" s="2"/>
    </row>
    <row r="487" spans="2:24" ht="17.7" customHeight="1" x14ac:dyDescent="0.25">
      <c r="B487" s="2" t="s">
        <v>26</v>
      </c>
      <c r="C487" s="2" t="s">
        <v>54</v>
      </c>
      <c r="D487" s="2" t="s">
        <v>38</v>
      </c>
      <c r="E487" s="2" t="s">
        <v>38</v>
      </c>
      <c r="F487" s="2" t="s">
        <v>88</v>
      </c>
      <c r="G487" s="2" t="s">
        <v>87</v>
      </c>
      <c r="H487" s="57" t="str">
        <f>Table1[[#This Row],[Tabela]]&amp;Table1[[#This Row],[Campo]]</f>
        <v>PROCESS_PROPERTY_RELSOURCE_CODE</v>
      </c>
      <c r="I487" s="3" t="s">
        <v>614</v>
      </c>
      <c r="J487" s="55">
        <f>VLOOKUP(Table1[[#This Row],[Status]],Auxiliar!$B$16:$C$24,2,0)</f>
        <v>1</v>
      </c>
      <c r="K487" s="2" t="s">
        <v>1253</v>
      </c>
      <c r="L487" s="29" t="s">
        <v>1258</v>
      </c>
      <c r="M487" s="21" t="s">
        <v>1259</v>
      </c>
      <c r="N487" s="48">
        <v>45485</v>
      </c>
      <c r="O487" s="21">
        <f>INDEX(Auxiliar!$D$5:$F$13,MATCH(Table1[[#This Row],[Tipologia_Testes]],Auxiliar!$B$5:$B$13,0),MATCH(Table1[[#This Row],[Complexidade]],Auxiliar!$D$4:$F$4,0))</f>
        <v>2</v>
      </c>
      <c r="P487" s="2"/>
      <c r="Q487" s="2" t="s">
        <v>1269</v>
      </c>
      <c r="R487" s="152">
        <v>45261</v>
      </c>
      <c r="S487" s="152"/>
      <c r="T487" s="152"/>
      <c r="U487" s="152"/>
      <c r="V487" s="152"/>
      <c r="W487" s="2">
        <f>VLOOKUP(Table1[[#This Row],[Status]],Auxiliar!$B$16:$D$24,3,0)*Table1[[#This Row],[Estimação (horas)]]</f>
        <v>2</v>
      </c>
      <c r="X487" s="2"/>
    </row>
    <row r="488" spans="2:24" ht="17.7" customHeight="1" x14ac:dyDescent="0.25">
      <c r="B488" s="2" t="s">
        <v>26</v>
      </c>
      <c r="C488" s="2" t="s">
        <v>54</v>
      </c>
      <c r="D488" s="2" t="s">
        <v>38</v>
      </c>
      <c r="E488" s="2" t="s">
        <v>38</v>
      </c>
      <c r="F488" s="2" t="s">
        <v>88</v>
      </c>
      <c r="G488" s="2" t="s">
        <v>87</v>
      </c>
      <c r="H488" s="57" t="str">
        <f>Table1[[#This Row],[Tabela]]&amp;Table1[[#This Row],[Campo]]</f>
        <v>PROCESS_PROPERTY_RELSOURCE_CODE</v>
      </c>
      <c r="I488" s="3" t="s">
        <v>614</v>
      </c>
      <c r="J488" s="55">
        <f>VLOOKUP(Table1[[#This Row],[Status]],Auxiliar!$B$16:$C$24,2,0)</f>
        <v>1</v>
      </c>
      <c r="K488" s="2" t="s">
        <v>1255</v>
      </c>
      <c r="L488" s="29" t="s">
        <v>1258</v>
      </c>
      <c r="M488" s="21" t="s">
        <v>1259</v>
      </c>
      <c r="N488" s="48">
        <v>45485</v>
      </c>
      <c r="O488" s="21">
        <f>INDEX(Auxiliar!$D$5:$F$13,MATCH(Table1[[#This Row],[Tipologia_Testes]],Auxiliar!$B$5:$B$13,0),MATCH(Table1[[#This Row],[Complexidade]],Auxiliar!$D$4:$F$4,0))</f>
        <v>0.1</v>
      </c>
      <c r="P488" s="2"/>
      <c r="Q488" s="2" t="s">
        <v>1269</v>
      </c>
      <c r="R488" s="152">
        <v>45261</v>
      </c>
      <c r="S488" s="152"/>
      <c r="T488" s="152"/>
      <c r="U488" s="152"/>
      <c r="V488" s="152"/>
      <c r="W488" s="2">
        <f>VLOOKUP(Table1[[#This Row],[Status]],Auxiliar!$B$16:$D$24,3,0)*Table1[[#This Row],[Estimação (horas)]]</f>
        <v>0.1</v>
      </c>
      <c r="X488" s="2"/>
    </row>
    <row r="489" spans="2:24" ht="17.7" customHeight="1" x14ac:dyDescent="0.25">
      <c r="B489" s="2" t="s">
        <v>26</v>
      </c>
      <c r="C489" s="2" t="s">
        <v>54</v>
      </c>
      <c r="D489" s="2" t="s">
        <v>38</v>
      </c>
      <c r="E489" s="2" t="s">
        <v>38</v>
      </c>
      <c r="F489" s="2" t="s">
        <v>88</v>
      </c>
      <c r="G489" s="2" t="s">
        <v>73</v>
      </c>
      <c r="H489" s="57" t="str">
        <f>Table1[[#This Row],[Tabela]]&amp;Table1[[#This Row],[Campo]]</f>
        <v>PROCESS_PROPERTY_RELDATA_DATE_PART</v>
      </c>
      <c r="I489" s="3" t="s">
        <v>614</v>
      </c>
      <c r="J489" s="55">
        <f>VLOOKUP(Table1[[#This Row],[Status]],Auxiliar!$B$16:$C$24,2,0)</f>
        <v>1</v>
      </c>
      <c r="K489" s="2" t="s">
        <v>1252</v>
      </c>
      <c r="L489" s="29" t="s">
        <v>1258</v>
      </c>
      <c r="M489" s="21" t="s">
        <v>1259</v>
      </c>
      <c r="N489" s="48">
        <v>45485</v>
      </c>
      <c r="O489" s="21">
        <f>INDEX(Auxiliar!$D$5:$F$13,MATCH(Table1[[#This Row],[Tipologia_Testes]],Auxiliar!$B$5:$B$13,0),MATCH(Table1[[#This Row],[Complexidade]],Auxiliar!$D$4:$F$4,0))</f>
        <v>2</v>
      </c>
      <c r="P489" s="2"/>
      <c r="Q489" s="2" t="s">
        <v>1269</v>
      </c>
      <c r="R489" s="152">
        <v>45261</v>
      </c>
      <c r="S489" s="152"/>
      <c r="T489" s="152"/>
      <c r="U489" s="152"/>
      <c r="V489" s="152"/>
      <c r="W489" s="2">
        <f>VLOOKUP(Table1[[#This Row],[Status]],Auxiliar!$B$16:$D$24,3,0)*Table1[[#This Row],[Estimação (horas)]]</f>
        <v>2</v>
      </c>
      <c r="X489" s="2"/>
    </row>
    <row r="490" spans="2:24" ht="17.7" customHeight="1" x14ac:dyDescent="0.25">
      <c r="B490" s="2" t="s">
        <v>26</v>
      </c>
      <c r="C490" s="2" t="s">
        <v>54</v>
      </c>
      <c r="D490" s="2" t="s">
        <v>38</v>
      </c>
      <c r="E490" s="2" t="s">
        <v>38</v>
      </c>
      <c r="F490" s="2" t="s">
        <v>88</v>
      </c>
      <c r="G490" s="2" t="s">
        <v>73</v>
      </c>
      <c r="H490" s="57" t="str">
        <f>Table1[[#This Row],[Tabela]]&amp;Table1[[#This Row],[Campo]]</f>
        <v>PROCESS_PROPERTY_RELDATA_DATE_PART</v>
      </c>
      <c r="I490" s="3" t="s">
        <v>614</v>
      </c>
      <c r="J490" s="55">
        <f>VLOOKUP(Table1[[#This Row],[Status]],Auxiliar!$B$16:$C$24,2,0)</f>
        <v>1</v>
      </c>
      <c r="K490" s="2" t="s">
        <v>1253</v>
      </c>
      <c r="L490" s="29" t="s">
        <v>1258</v>
      </c>
      <c r="M490" s="21" t="s">
        <v>1259</v>
      </c>
      <c r="N490" s="48">
        <v>45485</v>
      </c>
      <c r="O490" s="21">
        <f>INDEX(Auxiliar!$D$5:$F$13,MATCH(Table1[[#This Row],[Tipologia_Testes]],Auxiliar!$B$5:$B$13,0),MATCH(Table1[[#This Row],[Complexidade]],Auxiliar!$D$4:$F$4,0))</f>
        <v>2</v>
      </c>
      <c r="P490" s="2"/>
      <c r="Q490" s="2" t="s">
        <v>1269</v>
      </c>
      <c r="R490" s="152">
        <v>45261</v>
      </c>
      <c r="S490" s="152"/>
      <c r="T490" s="152"/>
      <c r="U490" s="152"/>
      <c r="V490" s="152"/>
      <c r="W490" s="2">
        <f>VLOOKUP(Table1[[#This Row],[Status]],Auxiliar!$B$16:$D$24,3,0)*Table1[[#This Row],[Estimação (horas)]]</f>
        <v>2</v>
      </c>
      <c r="X490" s="2"/>
    </row>
    <row r="491" spans="2:24" ht="17.7" customHeight="1" x14ac:dyDescent="0.25">
      <c r="B491" s="2" t="s">
        <v>26</v>
      </c>
      <c r="C491" s="2" t="s">
        <v>54</v>
      </c>
      <c r="D491" s="2" t="s">
        <v>38</v>
      </c>
      <c r="E491" s="2" t="s">
        <v>38</v>
      </c>
      <c r="F491" s="2" t="s">
        <v>88</v>
      </c>
      <c r="G491" s="2" t="s">
        <v>73</v>
      </c>
      <c r="H491" s="57" t="str">
        <f>Table1[[#This Row],[Tabela]]&amp;Table1[[#This Row],[Campo]]</f>
        <v>PROCESS_PROPERTY_RELDATA_DATE_PART</v>
      </c>
      <c r="I491" s="3" t="s">
        <v>614</v>
      </c>
      <c r="J491" s="55">
        <f>VLOOKUP(Table1[[#This Row],[Status]],Auxiliar!$B$16:$C$24,2,0)</f>
        <v>1</v>
      </c>
      <c r="K491" s="2" t="s">
        <v>1255</v>
      </c>
      <c r="L491" s="29" t="s">
        <v>1258</v>
      </c>
      <c r="M491" s="21" t="s">
        <v>1259</v>
      </c>
      <c r="N491" s="48">
        <v>45485</v>
      </c>
      <c r="O491" s="21">
        <f>INDEX(Auxiliar!$D$5:$F$13,MATCH(Table1[[#This Row],[Tipologia_Testes]],Auxiliar!$B$5:$B$13,0),MATCH(Table1[[#This Row],[Complexidade]],Auxiliar!$D$4:$F$4,0))</f>
        <v>0.1</v>
      </c>
      <c r="P491" s="2"/>
      <c r="Q491" s="2" t="s">
        <v>1269</v>
      </c>
      <c r="R491" s="152">
        <v>45261</v>
      </c>
      <c r="S491" s="152"/>
      <c r="T491" s="152"/>
      <c r="U491" s="152"/>
      <c r="V491" s="152"/>
      <c r="W491" s="2">
        <f>VLOOKUP(Table1[[#This Row],[Status]],Auxiliar!$B$16:$D$24,3,0)*Table1[[#This Row],[Estimação (horas)]]</f>
        <v>0.1</v>
      </c>
      <c r="X491" s="2"/>
    </row>
    <row r="492" spans="2:24" ht="34.950000000000003" customHeight="1" x14ac:dyDescent="0.25">
      <c r="B492" s="2" t="s">
        <v>26</v>
      </c>
      <c r="C492" s="2" t="s">
        <v>311</v>
      </c>
      <c r="D492" s="2" t="s">
        <v>313</v>
      </c>
      <c r="E492" s="2" t="s">
        <v>38</v>
      </c>
      <c r="F492" s="2" t="s">
        <v>312</v>
      </c>
      <c r="G492" s="2" t="s">
        <v>38</v>
      </c>
      <c r="H492" s="57" t="str">
        <f>Table1[[#This Row],[Tabela]]&amp;Table1[[#This Row],[Campo]]</f>
        <v>modesg_out_bens_imoveisn.a.</v>
      </c>
      <c r="I492" s="3" t="s">
        <v>614</v>
      </c>
      <c r="J492" s="56">
        <f>VLOOKUP(Table1[[#This Row],[Status]],Auxiliar!$B$16:$C$24,2,0)</f>
        <v>1</v>
      </c>
      <c r="K492" s="2" t="s">
        <v>1249</v>
      </c>
      <c r="L492" s="29" t="s">
        <v>1258</v>
      </c>
      <c r="M492" s="21" t="s">
        <v>1259</v>
      </c>
      <c r="N492" s="48">
        <v>45505</v>
      </c>
      <c r="O492" s="21">
        <f>INDEX(Auxiliar!$D$5:$F$13,MATCH(Table1[[#This Row],[Tipologia_Testes]],Auxiliar!$B$5:$B$13,0),MATCH(Table1[[#This Row],[Complexidade]],Auxiliar!$D$4:$F$4,0))</f>
        <v>8</v>
      </c>
      <c r="P492" s="23" t="s">
        <v>1281</v>
      </c>
      <c r="Q492" s="2"/>
      <c r="R492" s="152">
        <v>45261</v>
      </c>
      <c r="S492" s="152"/>
      <c r="T492" s="152"/>
      <c r="U492" s="152"/>
      <c r="V492" s="152"/>
      <c r="W492" s="2">
        <f>VLOOKUP(Table1[[#This Row],[Status]],Auxiliar!$B$16:$D$24,3,0)*Table1[[#This Row],[Estimação (horas)]]</f>
        <v>8</v>
      </c>
      <c r="X492" s="2"/>
    </row>
    <row r="493" spans="2:24" ht="17.7" customHeight="1" x14ac:dyDescent="0.25">
      <c r="B493" s="2" t="s">
        <v>26</v>
      </c>
      <c r="C493" s="2" t="s">
        <v>311</v>
      </c>
      <c r="D493" s="2" t="s">
        <v>313</v>
      </c>
      <c r="E493" s="2" t="s">
        <v>38</v>
      </c>
      <c r="F493" s="2" t="s">
        <v>312</v>
      </c>
      <c r="G493" s="2" t="s">
        <v>314</v>
      </c>
      <c r="H493" s="57" t="str">
        <f>Table1[[#This Row],[Tabela]]&amp;Table1[[#This Row],[Campo]]</f>
        <v>modesg_out_bens_imoveiscempbem</v>
      </c>
      <c r="I493" s="3" t="s">
        <v>614</v>
      </c>
      <c r="J493" s="55">
        <f>VLOOKUP(Table1[[#This Row],[Status]],Auxiliar!$B$16:$C$24,2,0)</f>
        <v>1</v>
      </c>
      <c r="K493" s="2" t="s">
        <v>1252</v>
      </c>
      <c r="L493" s="29" t="s">
        <v>1258</v>
      </c>
      <c r="M493" s="21" t="s">
        <v>1259</v>
      </c>
      <c r="N493" s="48">
        <v>45485</v>
      </c>
      <c r="O493" s="21">
        <f>INDEX(Auxiliar!$D$5:$F$13,MATCH(Table1[[#This Row],[Tipologia_Testes]],Auxiliar!$B$5:$B$13,0),MATCH(Table1[[#This Row],[Complexidade]],Auxiliar!$D$4:$F$4,0))</f>
        <v>2</v>
      </c>
      <c r="P493" s="2" t="s">
        <v>1272</v>
      </c>
      <c r="Q493" s="2" t="s">
        <v>1269</v>
      </c>
      <c r="R493" s="152">
        <v>45261</v>
      </c>
      <c r="S493" s="152"/>
      <c r="T493" s="152"/>
      <c r="U493" s="152"/>
      <c r="V493" s="152"/>
      <c r="W493" s="2">
        <f>VLOOKUP(Table1[[#This Row],[Status]],Auxiliar!$B$16:$D$24,3,0)*Table1[[#This Row],[Estimação (horas)]]</f>
        <v>2</v>
      </c>
      <c r="X493" s="2"/>
    </row>
    <row r="494" spans="2:24" ht="17.7" customHeight="1" x14ac:dyDescent="0.25">
      <c r="B494" s="2" t="s">
        <v>26</v>
      </c>
      <c r="C494" s="2" t="s">
        <v>311</v>
      </c>
      <c r="D494" s="2" t="s">
        <v>313</v>
      </c>
      <c r="E494" s="2" t="s">
        <v>38</v>
      </c>
      <c r="F494" s="2" t="s">
        <v>312</v>
      </c>
      <c r="G494" s="2" t="s">
        <v>314</v>
      </c>
      <c r="H494" s="57" t="str">
        <f>Table1[[#This Row],[Tabela]]&amp;Table1[[#This Row],[Campo]]</f>
        <v>modesg_out_bens_imoveiscempbem</v>
      </c>
      <c r="I494" s="3" t="s">
        <v>614</v>
      </c>
      <c r="J494" s="55">
        <f>VLOOKUP(Table1[[#This Row],[Status]],Auxiliar!$B$16:$C$24,2,0)</f>
        <v>1</v>
      </c>
      <c r="K494" s="2" t="s">
        <v>1253</v>
      </c>
      <c r="L494" s="29" t="s">
        <v>1258</v>
      </c>
      <c r="M494" s="21" t="s">
        <v>1259</v>
      </c>
      <c r="N494" s="48">
        <v>45485</v>
      </c>
      <c r="O494" s="21">
        <f>INDEX(Auxiliar!$D$5:$F$13,MATCH(Table1[[#This Row],[Tipologia_Testes]],Auxiliar!$B$5:$B$13,0),MATCH(Table1[[#This Row],[Complexidade]],Auxiliar!$D$4:$F$4,0))</f>
        <v>2</v>
      </c>
      <c r="P494" s="2" t="s">
        <v>1272</v>
      </c>
      <c r="Q494" s="2" t="s">
        <v>1269</v>
      </c>
      <c r="R494" s="152">
        <v>45261</v>
      </c>
      <c r="S494" s="152"/>
      <c r="T494" s="152"/>
      <c r="U494" s="152"/>
      <c r="V494" s="152"/>
      <c r="W494" s="2">
        <f>VLOOKUP(Table1[[#This Row],[Status]],Auxiliar!$B$16:$D$24,3,0)*Table1[[#This Row],[Estimação (horas)]]</f>
        <v>2</v>
      </c>
      <c r="X494" s="2"/>
    </row>
    <row r="495" spans="2:24" ht="17.7" customHeight="1" x14ac:dyDescent="0.25">
      <c r="B495" s="2" t="s">
        <v>26</v>
      </c>
      <c r="C495" s="2" t="s">
        <v>311</v>
      </c>
      <c r="D495" s="2" t="s">
        <v>313</v>
      </c>
      <c r="E495" s="2" t="s">
        <v>38</v>
      </c>
      <c r="F495" s="2" t="s">
        <v>312</v>
      </c>
      <c r="G495" s="2" t="s">
        <v>314</v>
      </c>
      <c r="H495" s="57" t="str">
        <f>Table1[[#This Row],[Tabela]]&amp;Table1[[#This Row],[Campo]]</f>
        <v>modesg_out_bens_imoveiscempbem</v>
      </c>
      <c r="I495" s="3" t="s">
        <v>614</v>
      </c>
      <c r="J495" s="55">
        <f>VLOOKUP(Table1[[#This Row],[Status]],Auxiliar!$B$16:$C$24,2,0)</f>
        <v>1</v>
      </c>
      <c r="K495" s="2" t="s">
        <v>1255</v>
      </c>
      <c r="L495" s="29" t="s">
        <v>1258</v>
      </c>
      <c r="M495" s="21" t="s">
        <v>1259</v>
      </c>
      <c r="N495" s="48">
        <v>45485</v>
      </c>
      <c r="O495" s="21">
        <f>INDEX(Auxiliar!$D$5:$F$13,MATCH(Table1[[#This Row],[Tipologia_Testes]],Auxiliar!$B$5:$B$13,0),MATCH(Table1[[#This Row],[Complexidade]],Auxiliar!$D$4:$F$4,0))</f>
        <v>0.1</v>
      </c>
      <c r="P495" s="2" t="s">
        <v>1272</v>
      </c>
      <c r="Q495" s="2" t="s">
        <v>1269</v>
      </c>
      <c r="R495" s="152">
        <v>45261</v>
      </c>
      <c r="S495" s="152"/>
      <c r="T495" s="152"/>
      <c r="U495" s="152"/>
      <c r="V495" s="152"/>
      <c r="W495" s="2">
        <f>VLOOKUP(Table1[[#This Row],[Status]],Auxiliar!$B$16:$D$24,3,0)*Table1[[#This Row],[Estimação (horas)]]</f>
        <v>0.1</v>
      </c>
      <c r="X495" s="2"/>
    </row>
    <row r="496" spans="2:24" ht="17.7" customHeight="1" x14ac:dyDescent="0.25">
      <c r="B496" s="2" t="s">
        <v>26</v>
      </c>
      <c r="C496" s="2" t="s">
        <v>311</v>
      </c>
      <c r="D496" s="2" t="s">
        <v>313</v>
      </c>
      <c r="E496" s="2" t="s">
        <v>38</v>
      </c>
      <c r="F496" s="2" t="s">
        <v>312</v>
      </c>
      <c r="G496" s="2" t="s">
        <v>315</v>
      </c>
      <c r="H496" s="57" t="str">
        <f>Table1[[#This Row],[Tabela]]&amp;Table1[[#This Row],[Campo]]</f>
        <v>modesg_out_bens_imoveisckbalbem</v>
      </c>
      <c r="I496" s="3" t="s">
        <v>614</v>
      </c>
      <c r="J496" s="55">
        <f>VLOOKUP(Table1[[#This Row],[Status]],Auxiliar!$B$16:$C$24,2,0)</f>
        <v>1</v>
      </c>
      <c r="K496" s="2" t="s">
        <v>1252</v>
      </c>
      <c r="L496" s="29" t="s">
        <v>1258</v>
      </c>
      <c r="M496" s="21" t="s">
        <v>1259</v>
      </c>
      <c r="N496" s="48">
        <v>45485</v>
      </c>
      <c r="O496" s="21">
        <f>INDEX(Auxiliar!$D$5:$F$13,MATCH(Table1[[#This Row],[Tipologia_Testes]],Auxiliar!$B$5:$B$13,0),MATCH(Table1[[#This Row],[Complexidade]],Auxiliar!$D$4:$F$4,0))</f>
        <v>2</v>
      </c>
      <c r="P496" s="2" t="s">
        <v>1272</v>
      </c>
      <c r="Q496" s="2" t="s">
        <v>1269</v>
      </c>
      <c r="R496" s="152">
        <v>45261</v>
      </c>
      <c r="S496" s="152"/>
      <c r="T496" s="152"/>
      <c r="U496" s="152"/>
      <c r="V496" s="152"/>
      <c r="W496" s="2">
        <f>VLOOKUP(Table1[[#This Row],[Status]],Auxiliar!$B$16:$D$24,3,0)*Table1[[#This Row],[Estimação (horas)]]</f>
        <v>2</v>
      </c>
      <c r="X496" s="2"/>
    </row>
    <row r="497" spans="2:24" ht="17.7" customHeight="1" x14ac:dyDescent="0.25">
      <c r="B497" s="2" t="s">
        <v>26</v>
      </c>
      <c r="C497" s="2" t="s">
        <v>311</v>
      </c>
      <c r="D497" s="2" t="s">
        <v>313</v>
      </c>
      <c r="E497" s="2" t="s">
        <v>38</v>
      </c>
      <c r="F497" s="2" t="s">
        <v>312</v>
      </c>
      <c r="G497" s="2" t="s">
        <v>315</v>
      </c>
      <c r="H497" s="57" t="str">
        <f>Table1[[#This Row],[Tabela]]&amp;Table1[[#This Row],[Campo]]</f>
        <v>modesg_out_bens_imoveisckbalbem</v>
      </c>
      <c r="I497" s="3" t="s">
        <v>614</v>
      </c>
      <c r="J497" s="55">
        <f>VLOOKUP(Table1[[#This Row],[Status]],Auxiliar!$B$16:$C$24,2,0)</f>
        <v>1</v>
      </c>
      <c r="K497" s="2" t="s">
        <v>1253</v>
      </c>
      <c r="L497" s="29" t="s">
        <v>1258</v>
      </c>
      <c r="M497" s="21" t="s">
        <v>1259</v>
      </c>
      <c r="N497" s="48">
        <v>45485</v>
      </c>
      <c r="O497" s="21">
        <f>INDEX(Auxiliar!$D$5:$F$13,MATCH(Table1[[#This Row],[Tipologia_Testes]],Auxiliar!$B$5:$B$13,0),MATCH(Table1[[#This Row],[Complexidade]],Auxiliar!$D$4:$F$4,0))</f>
        <v>2</v>
      </c>
      <c r="P497" s="2" t="s">
        <v>1272</v>
      </c>
      <c r="Q497" s="2" t="s">
        <v>1269</v>
      </c>
      <c r="R497" s="152">
        <v>45261</v>
      </c>
      <c r="S497" s="152"/>
      <c r="T497" s="152"/>
      <c r="U497" s="152"/>
      <c r="V497" s="152"/>
      <c r="W497" s="2">
        <f>VLOOKUP(Table1[[#This Row],[Status]],Auxiliar!$B$16:$D$24,3,0)*Table1[[#This Row],[Estimação (horas)]]</f>
        <v>2</v>
      </c>
      <c r="X497" s="2"/>
    </row>
    <row r="498" spans="2:24" ht="17.7" customHeight="1" x14ac:dyDescent="0.25">
      <c r="B498" s="2" t="s">
        <v>26</v>
      </c>
      <c r="C498" s="2" t="s">
        <v>311</v>
      </c>
      <c r="D498" s="2" t="s">
        <v>313</v>
      </c>
      <c r="E498" s="2" t="s">
        <v>38</v>
      </c>
      <c r="F498" s="2" t="s">
        <v>312</v>
      </c>
      <c r="G498" s="2" t="s">
        <v>315</v>
      </c>
      <c r="H498" s="57" t="str">
        <f>Table1[[#This Row],[Tabela]]&amp;Table1[[#This Row],[Campo]]</f>
        <v>modesg_out_bens_imoveisckbalbem</v>
      </c>
      <c r="I498" s="3" t="s">
        <v>614</v>
      </c>
      <c r="J498" s="55">
        <f>VLOOKUP(Table1[[#This Row],[Status]],Auxiliar!$B$16:$C$24,2,0)</f>
        <v>1</v>
      </c>
      <c r="K498" s="2" t="s">
        <v>1255</v>
      </c>
      <c r="L498" s="29" t="s">
        <v>1258</v>
      </c>
      <c r="M498" s="21" t="s">
        <v>1259</v>
      </c>
      <c r="N498" s="48">
        <v>45485</v>
      </c>
      <c r="O498" s="21">
        <f>INDEX(Auxiliar!$D$5:$F$13,MATCH(Table1[[#This Row],[Tipologia_Testes]],Auxiliar!$B$5:$B$13,0),MATCH(Table1[[#This Row],[Complexidade]],Auxiliar!$D$4:$F$4,0))</f>
        <v>0.1</v>
      </c>
      <c r="P498" s="2" t="s">
        <v>1272</v>
      </c>
      <c r="Q498" s="2" t="s">
        <v>1269</v>
      </c>
      <c r="R498" s="152">
        <v>45261</v>
      </c>
      <c r="S498" s="152"/>
      <c r="T498" s="152"/>
      <c r="U498" s="152"/>
      <c r="V498" s="152"/>
      <c r="W498" s="2">
        <f>VLOOKUP(Table1[[#This Row],[Status]],Auxiliar!$B$16:$D$24,3,0)*Table1[[#This Row],[Estimação (horas)]]</f>
        <v>0.1</v>
      </c>
      <c r="X498" s="2"/>
    </row>
    <row r="499" spans="2:24" ht="17.7" customHeight="1" x14ac:dyDescent="0.25">
      <c r="B499" s="2" t="s">
        <v>26</v>
      </c>
      <c r="C499" s="2" t="s">
        <v>311</v>
      </c>
      <c r="D499" s="2" t="s">
        <v>313</v>
      </c>
      <c r="E499" s="2" t="s">
        <v>38</v>
      </c>
      <c r="F499" s="2" t="s">
        <v>312</v>
      </c>
      <c r="G499" s="2" t="s">
        <v>316</v>
      </c>
      <c r="H499" s="57" t="str">
        <f>Table1[[#This Row],[Tabela]]&amp;Table1[[#This Row],[Campo]]</f>
        <v>modesg_out_bens_imoveisckctabem</v>
      </c>
      <c r="I499" s="3" t="s">
        <v>614</v>
      </c>
      <c r="J499" s="55">
        <f>VLOOKUP(Table1[[#This Row],[Status]],Auxiliar!$B$16:$C$24,2,0)</f>
        <v>1</v>
      </c>
      <c r="K499" s="2" t="s">
        <v>1252</v>
      </c>
      <c r="L499" s="29" t="s">
        <v>1258</v>
      </c>
      <c r="M499" s="21" t="s">
        <v>1259</v>
      </c>
      <c r="N499" s="48">
        <v>45485</v>
      </c>
      <c r="O499" s="21">
        <f>INDEX(Auxiliar!$D$5:$F$13,MATCH(Table1[[#This Row],[Tipologia_Testes]],Auxiliar!$B$5:$B$13,0),MATCH(Table1[[#This Row],[Complexidade]],Auxiliar!$D$4:$F$4,0))</f>
        <v>2</v>
      </c>
      <c r="P499" s="2" t="s">
        <v>1272</v>
      </c>
      <c r="Q499" s="2" t="s">
        <v>1269</v>
      </c>
      <c r="R499" s="152">
        <v>45261</v>
      </c>
      <c r="S499" s="152"/>
      <c r="T499" s="152"/>
      <c r="U499" s="152"/>
      <c r="V499" s="152"/>
      <c r="W499" s="2">
        <f>VLOOKUP(Table1[[#This Row],[Status]],Auxiliar!$B$16:$D$24,3,0)*Table1[[#This Row],[Estimação (horas)]]</f>
        <v>2</v>
      </c>
      <c r="X499" s="2"/>
    </row>
    <row r="500" spans="2:24" ht="17.7" customHeight="1" x14ac:dyDescent="0.25">
      <c r="B500" s="2" t="s">
        <v>26</v>
      </c>
      <c r="C500" s="2" t="s">
        <v>311</v>
      </c>
      <c r="D500" s="2" t="s">
        <v>313</v>
      </c>
      <c r="E500" s="2" t="s">
        <v>38</v>
      </c>
      <c r="F500" s="2" t="s">
        <v>312</v>
      </c>
      <c r="G500" s="2" t="s">
        <v>316</v>
      </c>
      <c r="H500" s="57" t="str">
        <f>Table1[[#This Row],[Tabela]]&amp;Table1[[#This Row],[Campo]]</f>
        <v>modesg_out_bens_imoveisckctabem</v>
      </c>
      <c r="I500" s="3" t="s">
        <v>614</v>
      </c>
      <c r="J500" s="55">
        <f>VLOOKUP(Table1[[#This Row],[Status]],Auxiliar!$B$16:$C$24,2,0)</f>
        <v>1</v>
      </c>
      <c r="K500" s="2" t="s">
        <v>1253</v>
      </c>
      <c r="L500" s="29" t="s">
        <v>1258</v>
      </c>
      <c r="M500" s="21" t="s">
        <v>1259</v>
      </c>
      <c r="N500" s="48">
        <v>45485</v>
      </c>
      <c r="O500" s="21">
        <f>INDEX(Auxiliar!$D$5:$F$13,MATCH(Table1[[#This Row],[Tipologia_Testes]],Auxiliar!$B$5:$B$13,0),MATCH(Table1[[#This Row],[Complexidade]],Auxiliar!$D$4:$F$4,0))</f>
        <v>2</v>
      </c>
      <c r="P500" s="2" t="s">
        <v>1272</v>
      </c>
      <c r="Q500" s="2" t="s">
        <v>1269</v>
      </c>
      <c r="R500" s="152">
        <v>45261</v>
      </c>
      <c r="S500" s="152"/>
      <c r="T500" s="152"/>
      <c r="U500" s="152"/>
      <c r="V500" s="152"/>
      <c r="W500" s="2">
        <f>VLOOKUP(Table1[[#This Row],[Status]],Auxiliar!$B$16:$D$24,3,0)*Table1[[#This Row],[Estimação (horas)]]</f>
        <v>2</v>
      </c>
      <c r="X500" s="2"/>
    </row>
    <row r="501" spans="2:24" ht="17.7" customHeight="1" x14ac:dyDescent="0.25">
      <c r="B501" s="2" t="s">
        <v>26</v>
      </c>
      <c r="C501" s="2" t="s">
        <v>311</v>
      </c>
      <c r="D501" s="2" t="s">
        <v>313</v>
      </c>
      <c r="E501" s="2" t="s">
        <v>38</v>
      </c>
      <c r="F501" s="2" t="s">
        <v>312</v>
      </c>
      <c r="G501" s="2" t="s">
        <v>316</v>
      </c>
      <c r="H501" s="57" t="str">
        <f>Table1[[#This Row],[Tabela]]&amp;Table1[[#This Row],[Campo]]</f>
        <v>modesg_out_bens_imoveisckctabem</v>
      </c>
      <c r="I501" s="3" t="s">
        <v>614</v>
      </c>
      <c r="J501" s="55">
        <f>VLOOKUP(Table1[[#This Row],[Status]],Auxiliar!$B$16:$C$24,2,0)</f>
        <v>1</v>
      </c>
      <c r="K501" s="2" t="s">
        <v>1255</v>
      </c>
      <c r="L501" s="29" t="s">
        <v>1258</v>
      </c>
      <c r="M501" s="21" t="s">
        <v>1259</v>
      </c>
      <c r="N501" s="48">
        <v>45485</v>
      </c>
      <c r="O501" s="21">
        <f>INDEX(Auxiliar!$D$5:$F$13,MATCH(Table1[[#This Row],[Tipologia_Testes]],Auxiliar!$B$5:$B$13,0),MATCH(Table1[[#This Row],[Complexidade]],Auxiliar!$D$4:$F$4,0))</f>
        <v>0.1</v>
      </c>
      <c r="P501" s="2" t="s">
        <v>1272</v>
      </c>
      <c r="Q501" s="2" t="s">
        <v>1269</v>
      </c>
      <c r="R501" s="152">
        <v>45261</v>
      </c>
      <c r="S501" s="152"/>
      <c r="T501" s="152"/>
      <c r="U501" s="152"/>
      <c r="V501" s="152"/>
      <c r="W501" s="2">
        <f>VLOOKUP(Table1[[#This Row],[Status]],Auxiliar!$B$16:$D$24,3,0)*Table1[[#This Row],[Estimação (horas)]]</f>
        <v>0.1</v>
      </c>
      <c r="X501" s="2"/>
    </row>
    <row r="502" spans="2:24" ht="17.7" customHeight="1" x14ac:dyDescent="0.25">
      <c r="B502" s="2" t="s">
        <v>26</v>
      </c>
      <c r="C502" s="2" t="s">
        <v>311</v>
      </c>
      <c r="D502" s="2" t="s">
        <v>313</v>
      </c>
      <c r="E502" s="2" t="s">
        <v>38</v>
      </c>
      <c r="F502" s="2" t="s">
        <v>312</v>
      </c>
      <c r="G502" s="2" t="s">
        <v>317</v>
      </c>
      <c r="H502" s="57" t="str">
        <f>Table1[[#This Row],[Tabela]]&amp;Table1[[#This Row],[Campo]]</f>
        <v>modesg_out_bens_imoveisckrefbem</v>
      </c>
      <c r="I502" s="3" t="s">
        <v>614</v>
      </c>
      <c r="J502" s="55">
        <f>VLOOKUP(Table1[[#This Row],[Status]],Auxiliar!$B$16:$C$24,2,0)</f>
        <v>1</v>
      </c>
      <c r="K502" s="2" t="s">
        <v>1252</v>
      </c>
      <c r="L502" s="29" t="s">
        <v>1258</v>
      </c>
      <c r="M502" s="21" t="s">
        <v>1259</v>
      </c>
      <c r="N502" s="48">
        <v>45485</v>
      </c>
      <c r="O502" s="21">
        <f>INDEX(Auxiliar!$D$5:$F$13,MATCH(Table1[[#This Row],[Tipologia_Testes]],Auxiliar!$B$5:$B$13,0),MATCH(Table1[[#This Row],[Complexidade]],Auxiliar!$D$4:$F$4,0))</f>
        <v>2</v>
      </c>
      <c r="P502" s="2" t="s">
        <v>1272</v>
      </c>
      <c r="Q502" s="2" t="s">
        <v>1269</v>
      </c>
      <c r="R502" s="152">
        <v>45261</v>
      </c>
      <c r="S502" s="152"/>
      <c r="T502" s="152"/>
      <c r="U502" s="152"/>
      <c r="V502" s="152"/>
      <c r="W502" s="2">
        <f>VLOOKUP(Table1[[#This Row],[Status]],Auxiliar!$B$16:$D$24,3,0)*Table1[[#This Row],[Estimação (horas)]]</f>
        <v>2</v>
      </c>
      <c r="X502" s="2"/>
    </row>
    <row r="503" spans="2:24" ht="17.7" customHeight="1" x14ac:dyDescent="0.25">
      <c r="B503" s="2" t="s">
        <v>26</v>
      </c>
      <c r="C503" s="2" t="s">
        <v>311</v>
      </c>
      <c r="D503" s="2" t="s">
        <v>313</v>
      </c>
      <c r="E503" s="2" t="s">
        <v>38</v>
      </c>
      <c r="F503" s="2" t="s">
        <v>312</v>
      </c>
      <c r="G503" s="2" t="s">
        <v>317</v>
      </c>
      <c r="H503" s="57" t="str">
        <f>Table1[[#This Row],[Tabela]]&amp;Table1[[#This Row],[Campo]]</f>
        <v>modesg_out_bens_imoveisckrefbem</v>
      </c>
      <c r="I503" s="3" t="s">
        <v>614</v>
      </c>
      <c r="J503" s="55">
        <f>VLOOKUP(Table1[[#This Row],[Status]],Auxiliar!$B$16:$C$24,2,0)</f>
        <v>1</v>
      </c>
      <c r="K503" s="2" t="s">
        <v>1253</v>
      </c>
      <c r="L503" s="29" t="s">
        <v>1258</v>
      </c>
      <c r="M503" s="21" t="s">
        <v>1259</v>
      </c>
      <c r="N503" s="48">
        <v>45485</v>
      </c>
      <c r="O503" s="21">
        <f>INDEX(Auxiliar!$D$5:$F$13,MATCH(Table1[[#This Row],[Tipologia_Testes]],Auxiliar!$B$5:$B$13,0),MATCH(Table1[[#This Row],[Complexidade]],Auxiliar!$D$4:$F$4,0))</f>
        <v>2</v>
      </c>
      <c r="P503" s="2" t="s">
        <v>1272</v>
      </c>
      <c r="Q503" s="2" t="s">
        <v>1269</v>
      </c>
      <c r="R503" s="152">
        <v>45261</v>
      </c>
      <c r="S503" s="152"/>
      <c r="T503" s="152"/>
      <c r="U503" s="152"/>
      <c r="V503" s="152"/>
      <c r="W503" s="2">
        <f>VLOOKUP(Table1[[#This Row],[Status]],Auxiliar!$B$16:$D$24,3,0)*Table1[[#This Row],[Estimação (horas)]]</f>
        <v>2</v>
      </c>
      <c r="X503" s="2"/>
    </row>
    <row r="504" spans="2:24" ht="17.7" customHeight="1" x14ac:dyDescent="0.25">
      <c r="B504" s="2" t="s">
        <v>26</v>
      </c>
      <c r="C504" s="2" t="s">
        <v>311</v>
      </c>
      <c r="D504" s="2" t="s">
        <v>313</v>
      </c>
      <c r="E504" s="2" t="s">
        <v>38</v>
      </c>
      <c r="F504" s="2" t="s">
        <v>312</v>
      </c>
      <c r="G504" s="2" t="s">
        <v>317</v>
      </c>
      <c r="H504" s="57" t="str">
        <f>Table1[[#This Row],[Tabela]]&amp;Table1[[#This Row],[Campo]]</f>
        <v>modesg_out_bens_imoveisckrefbem</v>
      </c>
      <c r="I504" s="3" t="s">
        <v>614</v>
      </c>
      <c r="J504" s="55">
        <f>VLOOKUP(Table1[[#This Row],[Status]],Auxiliar!$B$16:$C$24,2,0)</f>
        <v>1</v>
      </c>
      <c r="K504" s="2" t="s">
        <v>1255</v>
      </c>
      <c r="L504" s="29" t="s">
        <v>1258</v>
      </c>
      <c r="M504" s="21" t="s">
        <v>1259</v>
      </c>
      <c r="N504" s="48">
        <v>45485</v>
      </c>
      <c r="O504" s="21">
        <f>INDEX(Auxiliar!$D$5:$F$13,MATCH(Table1[[#This Row],[Tipologia_Testes]],Auxiliar!$B$5:$B$13,0),MATCH(Table1[[#This Row],[Complexidade]],Auxiliar!$D$4:$F$4,0))</f>
        <v>0.1</v>
      </c>
      <c r="P504" s="2" t="s">
        <v>1272</v>
      </c>
      <c r="Q504" s="2" t="s">
        <v>1269</v>
      </c>
      <c r="R504" s="152">
        <v>45261</v>
      </c>
      <c r="S504" s="152"/>
      <c r="T504" s="152"/>
      <c r="U504" s="152"/>
      <c r="V504" s="152"/>
      <c r="W504" s="2">
        <f>VLOOKUP(Table1[[#This Row],[Status]],Auxiliar!$B$16:$D$24,3,0)*Table1[[#This Row],[Estimação (horas)]]</f>
        <v>0.1</v>
      </c>
      <c r="X504" s="2"/>
    </row>
    <row r="505" spans="2:24" ht="17.7" customHeight="1" x14ac:dyDescent="0.25">
      <c r="B505" s="2" t="s">
        <v>26</v>
      </c>
      <c r="C505" s="2" t="s">
        <v>311</v>
      </c>
      <c r="D505" s="2" t="s">
        <v>313</v>
      </c>
      <c r="E505" s="2" t="s">
        <v>38</v>
      </c>
      <c r="F505" s="2" t="s">
        <v>312</v>
      </c>
      <c r="G505" s="2" t="s">
        <v>283</v>
      </c>
      <c r="H505" s="57" t="str">
        <f>Table1[[#This Row],[Tabela]]&amp;Table1[[#This Row],[Campo]]</f>
        <v>modesg_out_bens_imoveisflg_rsc_fsc_agd</v>
      </c>
      <c r="I505" s="2" t="s">
        <v>619</v>
      </c>
      <c r="J505" s="43">
        <f>VLOOKUP(Table1[[#This Row],[Status]],Auxiliar!$B$16:$C$24,2,0)</f>
        <v>7</v>
      </c>
      <c r="K505" s="2" t="s">
        <v>1252</v>
      </c>
      <c r="L505" s="29" t="s">
        <v>1258</v>
      </c>
      <c r="M505" s="21" t="s">
        <v>1251</v>
      </c>
      <c r="N505" s="48">
        <v>45569</v>
      </c>
      <c r="O505" s="21">
        <f>INDEX(Auxiliar!$D$5:$F$13,MATCH(Table1[[#This Row],[Tipologia_Testes]],Auxiliar!$B$5:$B$13,0),MATCH(Table1[[#This Row],[Complexidade]],Auxiliar!$D$4:$F$4,0))</f>
        <v>8</v>
      </c>
      <c r="P505" s="2"/>
      <c r="Q505" s="2"/>
      <c r="R505" s="152">
        <v>45561</v>
      </c>
      <c r="S505" s="152"/>
      <c r="T505" s="152">
        <v>45569</v>
      </c>
      <c r="U505" s="152">
        <v>45621</v>
      </c>
      <c r="V505" s="152"/>
      <c r="W505" s="2">
        <f>VLOOKUP(Table1[[#This Row],[Status]],Auxiliar!$B$16:$D$24,3,0)*Table1[[#This Row],[Estimação (horas)]]</f>
        <v>2</v>
      </c>
      <c r="X505" s="2"/>
    </row>
    <row r="506" spans="2:24" ht="17.7" customHeight="1" x14ac:dyDescent="0.25">
      <c r="B506" s="2" t="s">
        <v>26</v>
      </c>
      <c r="C506" s="2" t="s">
        <v>311</v>
      </c>
      <c r="D506" s="2" t="s">
        <v>313</v>
      </c>
      <c r="E506" s="2" t="s">
        <v>38</v>
      </c>
      <c r="F506" s="2" t="s">
        <v>312</v>
      </c>
      <c r="G506" s="2" t="s">
        <v>283</v>
      </c>
      <c r="H506" s="57" t="str">
        <f>Table1[[#This Row],[Tabela]]&amp;Table1[[#This Row],[Campo]]</f>
        <v>modesg_out_bens_imoveisflg_rsc_fsc_agd</v>
      </c>
      <c r="I506" s="2" t="s">
        <v>619</v>
      </c>
      <c r="J506" s="43">
        <f>VLOOKUP(Table1[[#This Row],[Status]],Auxiliar!$B$16:$C$24,2,0)</f>
        <v>7</v>
      </c>
      <c r="K506" s="2" t="s">
        <v>1253</v>
      </c>
      <c r="L506" s="29" t="s">
        <v>1258</v>
      </c>
      <c r="M506" s="21" t="s">
        <v>1251</v>
      </c>
      <c r="N506" s="48">
        <v>45569</v>
      </c>
      <c r="O506" s="21">
        <f>INDEX(Auxiliar!$D$5:$F$13,MATCH(Table1[[#This Row],[Tipologia_Testes]],Auxiliar!$B$5:$B$13,0),MATCH(Table1[[#This Row],[Complexidade]],Auxiliar!$D$4:$F$4,0))</f>
        <v>8</v>
      </c>
      <c r="P506" s="2"/>
      <c r="Q506" s="2"/>
      <c r="R506" s="152">
        <v>45561</v>
      </c>
      <c r="S506" s="152"/>
      <c r="T506" s="152">
        <v>45569</v>
      </c>
      <c r="U506" s="152">
        <v>45621</v>
      </c>
      <c r="V506" s="152"/>
      <c r="W506" s="2">
        <f>VLOOKUP(Table1[[#This Row],[Status]],Auxiliar!$B$16:$D$24,3,0)*Table1[[#This Row],[Estimação (horas)]]</f>
        <v>2</v>
      </c>
      <c r="X506" s="2"/>
    </row>
    <row r="507" spans="2:24" ht="17.7" customHeight="1" x14ac:dyDescent="0.25">
      <c r="B507" s="2" t="s">
        <v>26</v>
      </c>
      <c r="C507" s="2" t="s">
        <v>311</v>
      </c>
      <c r="D507" s="2" t="s">
        <v>313</v>
      </c>
      <c r="E507" s="2" t="s">
        <v>38</v>
      </c>
      <c r="F507" s="2" t="s">
        <v>312</v>
      </c>
      <c r="G507" s="2" t="s">
        <v>283</v>
      </c>
      <c r="H507" s="57" t="str">
        <f>Table1[[#This Row],[Tabela]]&amp;Table1[[#This Row],[Campo]]</f>
        <v>modesg_out_bens_imoveisflg_rsc_fsc_agd</v>
      </c>
      <c r="I507" s="2" t="s">
        <v>619</v>
      </c>
      <c r="J507" s="43">
        <f>VLOOKUP(Table1[[#This Row],[Status]],Auxiliar!$B$16:$C$24,2,0)</f>
        <v>7</v>
      </c>
      <c r="K507" s="2" t="s">
        <v>1255</v>
      </c>
      <c r="L507" s="29" t="s">
        <v>1258</v>
      </c>
      <c r="M507" s="21" t="s">
        <v>1251</v>
      </c>
      <c r="N507" s="48">
        <v>45569</v>
      </c>
      <c r="O507" s="21">
        <f>INDEX(Auxiliar!$D$5:$F$13,MATCH(Table1[[#This Row],[Tipologia_Testes]],Auxiliar!$B$5:$B$13,0),MATCH(Table1[[#This Row],[Complexidade]],Auxiliar!$D$4:$F$4,0))</f>
        <v>0.1</v>
      </c>
      <c r="P507" s="2"/>
      <c r="Q507" s="2"/>
      <c r="R507" s="152">
        <v>45561</v>
      </c>
      <c r="S507" s="152"/>
      <c r="T507" s="152">
        <v>45569</v>
      </c>
      <c r="U507" s="152">
        <v>45621</v>
      </c>
      <c r="V507" s="152"/>
      <c r="W507" s="2">
        <f>VLOOKUP(Table1[[#This Row],[Status]],Auxiliar!$B$16:$D$24,3,0)*Table1[[#This Row],[Estimação (horas)]]</f>
        <v>2.5000000000000001E-2</v>
      </c>
      <c r="X507" s="2"/>
    </row>
    <row r="508" spans="2:24" ht="17.7" customHeight="1" x14ac:dyDescent="0.25">
      <c r="B508" s="2" t="s">
        <v>26</v>
      </c>
      <c r="C508" s="2" t="s">
        <v>311</v>
      </c>
      <c r="D508" s="2" t="s">
        <v>313</v>
      </c>
      <c r="E508" s="2" t="s">
        <v>38</v>
      </c>
      <c r="F508" s="2" t="s">
        <v>312</v>
      </c>
      <c r="G508" s="2" t="s">
        <v>284</v>
      </c>
      <c r="H508" s="57" t="str">
        <f>Table1[[#This Row],[Tabela]]&amp;Table1[[#This Row],[Campo]]</f>
        <v>modesg_out_bens_imoveisflg_rsc_fsc_crnc</v>
      </c>
      <c r="I508" s="2" t="s">
        <v>619</v>
      </c>
      <c r="J508" s="43">
        <f>VLOOKUP(Table1[[#This Row],[Status]],Auxiliar!$B$16:$C$24,2,0)</f>
        <v>7</v>
      </c>
      <c r="K508" s="2" t="s">
        <v>1252</v>
      </c>
      <c r="L508" s="29" t="s">
        <v>1258</v>
      </c>
      <c r="M508" s="21" t="s">
        <v>1251</v>
      </c>
      <c r="N508" s="48">
        <v>45569</v>
      </c>
      <c r="O508" s="21">
        <f>INDEX(Auxiliar!$D$5:$F$13,MATCH(Table1[[#This Row],[Tipologia_Testes]],Auxiliar!$B$5:$B$13,0),MATCH(Table1[[#This Row],[Complexidade]],Auxiliar!$D$4:$F$4,0))</f>
        <v>8</v>
      </c>
      <c r="P508" s="2"/>
      <c r="Q508" s="2"/>
      <c r="R508" s="152">
        <v>45561</v>
      </c>
      <c r="S508" s="152"/>
      <c r="T508" s="152">
        <v>45569</v>
      </c>
      <c r="U508" s="152">
        <v>45621</v>
      </c>
      <c r="V508" s="152"/>
      <c r="W508" s="2">
        <f>VLOOKUP(Table1[[#This Row],[Status]],Auxiliar!$B$16:$D$24,3,0)*Table1[[#This Row],[Estimação (horas)]]</f>
        <v>2</v>
      </c>
      <c r="X508" s="2"/>
    </row>
    <row r="509" spans="2:24" ht="17.7" customHeight="1" x14ac:dyDescent="0.25">
      <c r="B509" s="2" t="s">
        <v>26</v>
      </c>
      <c r="C509" s="2" t="s">
        <v>311</v>
      </c>
      <c r="D509" s="2" t="s">
        <v>313</v>
      </c>
      <c r="E509" s="2" t="s">
        <v>38</v>
      </c>
      <c r="F509" s="2" t="s">
        <v>312</v>
      </c>
      <c r="G509" s="2" t="s">
        <v>284</v>
      </c>
      <c r="H509" s="57" t="str">
        <f>Table1[[#This Row],[Tabela]]&amp;Table1[[#This Row],[Campo]]</f>
        <v>modesg_out_bens_imoveisflg_rsc_fsc_crnc</v>
      </c>
      <c r="I509" s="2" t="s">
        <v>619</v>
      </c>
      <c r="J509" s="43">
        <f>VLOOKUP(Table1[[#This Row],[Status]],Auxiliar!$B$16:$C$24,2,0)</f>
        <v>7</v>
      </c>
      <c r="K509" s="2" t="s">
        <v>1253</v>
      </c>
      <c r="L509" s="29" t="s">
        <v>1258</v>
      </c>
      <c r="M509" s="21" t="s">
        <v>1251</v>
      </c>
      <c r="N509" s="48">
        <v>45569</v>
      </c>
      <c r="O509" s="21">
        <f>INDEX(Auxiliar!$D$5:$F$13,MATCH(Table1[[#This Row],[Tipologia_Testes]],Auxiliar!$B$5:$B$13,0),MATCH(Table1[[#This Row],[Complexidade]],Auxiliar!$D$4:$F$4,0))</f>
        <v>8</v>
      </c>
      <c r="P509" s="2"/>
      <c r="Q509" s="2"/>
      <c r="R509" s="152">
        <v>45561</v>
      </c>
      <c r="S509" s="152"/>
      <c r="T509" s="152">
        <v>45569</v>
      </c>
      <c r="U509" s="152">
        <v>45621</v>
      </c>
      <c r="V509" s="152"/>
      <c r="W509" s="2">
        <f>VLOOKUP(Table1[[#This Row],[Status]],Auxiliar!$B$16:$D$24,3,0)*Table1[[#This Row],[Estimação (horas)]]</f>
        <v>2</v>
      </c>
      <c r="X509" s="2"/>
    </row>
    <row r="510" spans="2:24" ht="17.7" customHeight="1" x14ac:dyDescent="0.25">
      <c r="B510" s="2" t="s">
        <v>26</v>
      </c>
      <c r="C510" s="2" t="s">
        <v>311</v>
      </c>
      <c r="D510" s="2" t="s">
        <v>313</v>
      </c>
      <c r="E510" s="2" t="s">
        <v>38</v>
      </c>
      <c r="F510" s="2" t="s">
        <v>312</v>
      </c>
      <c r="G510" s="2" t="s">
        <v>284</v>
      </c>
      <c r="H510" s="57" t="str">
        <f>Table1[[#This Row],[Tabela]]&amp;Table1[[#This Row],[Campo]]</f>
        <v>modesg_out_bens_imoveisflg_rsc_fsc_crnc</v>
      </c>
      <c r="I510" s="2" t="s">
        <v>619</v>
      </c>
      <c r="J510" s="43">
        <f>VLOOKUP(Table1[[#This Row],[Status]],Auxiliar!$B$16:$C$24,2,0)</f>
        <v>7</v>
      </c>
      <c r="K510" s="2" t="s">
        <v>1255</v>
      </c>
      <c r="L510" s="29" t="s">
        <v>1258</v>
      </c>
      <c r="M510" s="21" t="s">
        <v>1251</v>
      </c>
      <c r="N510" s="48">
        <v>45569</v>
      </c>
      <c r="O510" s="21">
        <f>INDEX(Auxiliar!$D$5:$F$13,MATCH(Table1[[#This Row],[Tipologia_Testes]],Auxiliar!$B$5:$B$13,0),MATCH(Table1[[#This Row],[Complexidade]],Auxiliar!$D$4:$F$4,0))</f>
        <v>0.1</v>
      </c>
      <c r="P510" s="2"/>
      <c r="Q510" s="2"/>
      <c r="R510" s="152">
        <v>45561</v>
      </c>
      <c r="S510" s="152"/>
      <c r="T510" s="152">
        <v>45569</v>
      </c>
      <c r="U510" s="152">
        <v>45621</v>
      </c>
      <c r="V510" s="152"/>
      <c r="W510" s="2">
        <f>VLOOKUP(Table1[[#This Row],[Status]],Auxiliar!$B$16:$D$24,3,0)*Table1[[#This Row],[Estimação (horas)]]</f>
        <v>2.5000000000000001E-2</v>
      </c>
      <c r="X510" s="2"/>
    </row>
    <row r="511" spans="2:24" ht="52.2" customHeight="1" x14ac:dyDescent="0.25">
      <c r="B511" s="2" t="s">
        <v>26</v>
      </c>
      <c r="C511" s="2" t="s">
        <v>311</v>
      </c>
      <c r="D511" s="2" t="s">
        <v>313</v>
      </c>
      <c r="E511" s="2" t="s">
        <v>38</v>
      </c>
      <c r="F511" s="2" t="s">
        <v>312</v>
      </c>
      <c r="G511" s="2" t="s">
        <v>318</v>
      </c>
      <c r="H511" s="57" t="str">
        <f>Table1[[#This Row],[Tabela]]&amp;Table1[[#This Row],[Campo]]</f>
        <v>modesg_out_bens_imoveisorigem_flg_rsc_fsc_agd</v>
      </c>
      <c r="I511" s="2" t="s">
        <v>619</v>
      </c>
      <c r="J511" s="43">
        <f>VLOOKUP(Table1[[#This Row],[Status]],Auxiliar!$B$16:$C$24,2,0)</f>
        <v>7</v>
      </c>
      <c r="K511" s="2" t="s">
        <v>1252</v>
      </c>
      <c r="L511" s="29" t="s">
        <v>1250</v>
      </c>
      <c r="M511" s="21" t="s">
        <v>1259</v>
      </c>
      <c r="N511" s="48">
        <v>45569</v>
      </c>
      <c r="O511" s="21">
        <f>INDEX(Auxiliar!$D$5:$F$13,MATCH(Table1[[#This Row],[Tipologia_Testes]],Auxiliar!$B$5:$B$13,0),MATCH(Table1[[#This Row],[Complexidade]],Auxiliar!$D$4:$F$4,0))</f>
        <v>2</v>
      </c>
      <c r="P511" s="23" t="s">
        <v>1282</v>
      </c>
      <c r="Q511" s="2"/>
      <c r="R511" s="152">
        <v>45561</v>
      </c>
      <c r="S511" s="152"/>
      <c r="T511" s="152">
        <v>45569</v>
      </c>
      <c r="U511" s="152">
        <v>45621</v>
      </c>
      <c r="V511" s="152"/>
      <c r="W511" s="2">
        <f>VLOOKUP(Table1[[#This Row],[Status]],Auxiliar!$B$16:$D$24,3,0)*Table1[[#This Row],[Estimação (horas)]]</f>
        <v>0.5</v>
      </c>
      <c r="X511" s="2"/>
    </row>
    <row r="512" spans="2:24" ht="52.2" customHeight="1" x14ac:dyDescent="0.25">
      <c r="B512" s="2" t="s">
        <v>26</v>
      </c>
      <c r="C512" s="2" t="s">
        <v>311</v>
      </c>
      <c r="D512" s="2" t="s">
        <v>313</v>
      </c>
      <c r="E512" s="2" t="s">
        <v>38</v>
      </c>
      <c r="F512" s="2" t="s">
        <v>312</v>
      </c>
      <c r="G512" s="2" t="s">
        <v>318</v>
      </c>
      <c r="H512" s="57" t="str">
        <f>Table1[[#This Row],[Tabela]]&amp;Table1[[#This Row],[Campo]]</f>
        <v>modesg_out_bens_imoveisorigem_flg_rsc_fsc_agd</v>
      </c>
      <c r="I512" s="2" t="s">
        <v>619</v>
      </c>
      <c r="J512" s="43">
        <f>VLOOKUP(Table1[[#This Row],[Status]],Auxiliar!$B$16:$C$24,2,0)</f>
        <v>7</v>
      </c>
      <c r="K512" s="2" t="s">
        <v>1253</v>
      </c>
      <c r="L512" s="29" t="s">
        <v>1250</v>
      </c>
      <c r="M512" s="21" t="s">
        <v>1259</v>
      </c>
      <c r="N512" s="48">
        <v>45569</v>
      </c>
      <c r="O512" s="21">
        <f>INDEX(Auxiliar!$D$5:$F$13,MATCH(Table1[[#This Row],[Tipologia_Testes]],Auxiliar!$B$5:$B$13,0),MATCH(Table1[[#This Row],[Complexidade]],Auxiliar!$D$4:$F$4,0))</f>
        <v>2</v>
      </c>
      <c r="P512" s="23" t="s">
        <v>1282</v>
      </c>
      <c r="Q512" s="2"/>
      <c r="R512" s="152">
        <v>45561</v>
      </c>
      <c r="S512" s="152"/>
      <c r="T512" s="152">
        <v>45569</v>
      </c>
      <c r="U512" s="152">
        <v>45621</v>
      </c>
      <c r="V512" s="152"/>
      <c r="W512" s="2">
        <f>VLOOKUP(Table1[[#This Row],[Status]],Auxiliar!$B$16:$D$24,3,0)*Table1[[#This Row],[Estimação (horas)]]</f>
        <v>0.5</v>
      </c>
      <c r="X512" s="2"/>
    </row>
    <row r="513" spans="2:24" ht="52.2" customHeight="1" x14ac:dyDescent="0.25">
      <c r="B513" s="2" t="s">
        <v>26</v>
      </c>
      <c r="C513" s="2" t="s">
        <v>311</v>
      </c>
      <c r="D513" s="2" t="s">
        <v>313</v>
      </c>
      <c r="E513" s="2" t="s">
        <v>38</v>
      </c>
      <c r="F513" s="2" t="s">
        <v>312</v>
      </c>
      <c r="G513" s="2" t="s">
        <v>318</v>
      </c>
      <c r="H513" s="57" t="str">
        <f>Table1[[#This Row],[Tabela]]&amp;Table1[[#This Row],[Campo]]</f>
        <v>modesg_out_bens_imoveisorigem_flg_rsc_fsc_agd</v>
      </c>
      <c r="I513" s="2" t="s">
        <v>619</v>
      </c>
      <c r="J513" s="43">
        <f>VLOOKUP(Table1[[#This Row],[Status]],Auxiliar!$B$16:$C$24,2,0)</f>
        <v>7</v>
      </c>
      <c r="K513" s="2" t="s">
        <v>1255</v>
      </c>
      <c r="L513" s="29" t="s">
        <v>1250</v>
      </c>
      <c r="M513" s="21" t="s">
        <v>1259</v>
      </c>
      <c r="N513" s="48">
        <v>45569</v>
      </c>
      <c r="O513" s="21">
        <f>INDEX(Auxiliar!$D$5:$F$13,MATCH(Table1[[#This Row],[Tipologia_Testes]],Auxiliar!$B$5:$B$13,0),MATCH(Table1[[#This Row],[Complexidade]],Auxiliar!$D$4:$F$4,0))</f>
        <v>0.1</v>
      </c>
      <c r="P513" s="23" t="s">
        <v>1282</v>
      </c>
      <c r="Q513" s="2"/>
      <c r="R513" s="152">
        <v>45561</v>
      </c>
      <c r="S513" s="152"/>
      <c r="T513" s="152">
        <v>45569</v>
      </c>
      <c r="U513" s="152">
        <v>45621</v>
      </c>
      <c r="V513" s="152"/>
      <c r="W513" s="2">
        <f>VLOOKUP(Table1[[#This Row],[Status]],Auxiliar!$B$16:$D$24,3,0)*Table1[[#This Row],[Estimação (horas)]]</f>
        <v>2.5000000000000001E-2</v>
      </c>
      <c r="X513" s="2"/>
    </row>
    <row r="514" spans="2:24" ht="52.2" customHeight="1" x14ac:dyDescent="0.25">
      <c r="B514" s="2" t="s">
        <v>26</v>
      </c>
      <c r="C514" s="2" t="s">
        <v>311</v>
      </c>
      <c r="D514" s="2" t="s">
        <v>313</v>
      </c>
      <c r="E514" s="2" t="s">
        <v>38</v>
      </c>
      <c r="F514" s="2" t="s">
        <v>312</v>
      </c>
      <c r="G514" s="2" t="s">
        <v>319</v>
      </c>
      <c r="H514" s="57" t="str">
        <f>Table1[[#This Row],[Tabela]]&amp;Table1[[#This Row],[Campo]]</f>
        <v>modesg_out_bens_imoveisorigem_flg_rsc_fsc_crnc</v>
      </c>
      <c r="I514" s="2" t="s">
        <v>619</v>
      </c>
      <c r="J514" s="43">
        <f>VLOOKUP(Table1[[#This Row],[Status]],Auxiliar!$B$16:$C$24,2,0)</f>
        <v>7</v>
      </c>
      <c r="K514" s="2" t="s">
        <v>1252</v>
      </c>
      <c r="L514" s="29" t="s">
        <v>1250</v>
      </c>
      <c r="M514" s="21" t="s">
        <v>1259</v>
      </c>
      <c r="N514" s="48">
        <v>45569</v>
      </c>
      <c r="O514" s="21">
        <f>INDEX(Auxiliar!$D$5:$F$13,MATCH(Table1[[#This Row],[Tipologia_Testes]],Auxiliar!$B$5:$B$13,0),MATCH(Table1[[#This Row],[Complexidade]],Auxiliar!$D$4:$F$4,0))</f>
        <v>2</v>
      </c>
      <c r="P514" s="23" t="s">
        <v>1282</v>
      </c>
      <c r="Q514" s="2"/>
      <c r="R514" s="152">
        <v>45561</v>
      </c>
      <c r="S514" s="152"/>
      <c r="T514" s="152">
        <v>45569</v>
      </c>
      <c r="U514" s="152">
        <v>45621</v>
      </c>
      <c r="V514" s="152"/>
      <c r="W514" s="2">
        <f>VLOOKUP(Table1[[#This Row],[Status]],Auxiliar!$B$16:$D$24,3,0)*Table1[[#This Row],[Estimação (horas)]]</f>
        <v>0.5</v>
      </c>
      <c r="X514" s="2"/>
    </row>
    <row r="515" spans="2:24" ht="52.2" customHeight="1" x14ac:dyDescent="0.25">
      <c r="B515" s="2" t="s">
        <v>26</v>
      </c>
      <c r="C515" s="2" t="s">
        <v>311</v>
      </c>
      <c r="D515" s="2" t="s">
        <v>313</v>
      </c>
      <c r="E515" s="2" t="s">
        <v>38</v>
      </c>
      <c r="F515" s="2" t="s">
        <v>312</v>
      </c>
      <c r="G515" s="2" t="s">
        <v>319</v>
      </c>
      <c r="H515" s="57" t="str">
        <f>Table1[[#This Row],[Tabela]]&amp;Table1[[#This Row],[Campo]]</f>
        <v>modesg_out_bens_imoveisorigem_flg_rsc_fsc_crnc</v>
      </c>
      <c r="I515" s="2" t="s">
        <v>619</v>
      </c>
      <c r="J515" s="43">
        <f>VLOOKUP(Table1[[#This Row],[Status]],Auxiliar!$B$16:$C$24,2,0)</f>
        <v>7</v>
      </c>
      <c r="K515" s="2" t="s">
        <v>1253</v>
      </c>
      <c r="L515" s="29" t="s">
        <v>1250</v>
      </c>
      <c r="M515" s="21" t="s">
        <v>1259</v>
      </c>
      <c r="N515" s="48">
        <v>45569</v>
      </c>
      <c r="O515" s="21">
        <f>INDEX(Auxiliar!$D$5:$F$13,MATCH(Table1[[#This Row],[Tipologia_Testes]],Auxiliar!$B$5:$B$13,0),MATCH(Table1[[#This Row],[Complexidade]],Auxiliar!$D$4:$F$4,0))</f>
        <v>2</v>
      </c>
      <c r="P515" s="23" t="s">
        <v>1282</v>
      </c>
      <c r="Q515" s="2"/>
      <c r="R515" s="152">
        <v>45561</v>
      </c>
      <c r="S515" s="152"/>
      <c r="T515" s="152">
        <v>45569</v>
      </c>
      <c r="U515" s="152">
        <v>45621</v>
      </c>
      <c r="V515" s="152"/>
      <c r="W515" s="2">
        <f>VLOOKUP(Table1[[#This Row],[Status]],Auxiliar!$B$16:$D$24,3,0)*Table1[[#This Row],[Estimação (horas)]]</f>
        <v>0.5</v>
      </c>
      <c r="X515" s="2"/>
    </row>
    <row r="516" spans="2:24" ht="52.2" customHeight="1" x14ac:dyDescent="0.25">
      <c r="B516" s="2" t="s">
        <v>26</v>
      </c>
      <c r="C516" s="2" t="s">
        <v>311</v>
      </c>
      <c r="D516" s="2" t="s">
        <v>313</v>
      </c>
      <c r="E516" s="2" t="s">
        <v>38</v>
      </c>
      <c r="F516" s="2" t="s">
        <v>312</v>
      </c>
      <c r="G516" s="2" t="s">
        <v>319</v>
      </c>
      <c r="H516" s="57" t="str">
        <f>Table1[[#This Row],[Tabela]]&amp;Table1[[#This Row],[Campo]]</f>
        <v>modesg_out_bens_imoveisorigem_flg_rsc_fsc_crnc</v>
      </c>
      <c r="I516" s="2" t="s">
        <v>619</v>
      </c>
      <c r="J516" s="43">
        <f>VLOOKUP(Table1[[#This Row],[Status]],Auxiliar!$B$16:$C$24,2,0)</f>
        <v>7</v>
      </c>
      <c r="K516" s="2" t="s">
        <v>1255</v>
      </c>
      <c r="L516" s="29" t="s">
        <v>1250</v>
      </c>
      <c r="M516" s="21" t="s">
        <v>1259</v>
      </c>
      <c r="N516" s="48">
        <v>45569</v>
      </c>
      <c r="O516" s="21">
        <f>INDEX(Auxiliar!$D$5:$F$13,MATCH(Table1[[#This Row],[Tipologia_Testes]],Auxiliar!$B$5:$B$13,0),MATCH(Table1[[#This Row],[Complexidade]],Auxiliar!$D$4:$F$4,0))</f>
        <v>0.1</v>
      </c>
      <c r="P516" s="23" t="s">
        <v>1282</v>
      </c>
      <c r="Q516" s="2"/>
      <c r="R516" s="152">
        <v>45561</v>
      </c>
      <c r="S516" s="152"/>
      <c r="T516" s="152">
        <v>45569</v>
      </c>
      <c r="U516" s="152">
        <v>45621</v>
      </c>
      <c r="V516" s="152"/>
      <c r="W516" s="2">
        <f>VLOOKUP(Table1[[#This Row],[Status]],Auxiliar!$B$16:$D$24,3,0)*Table1[[#This Row],[Estimação (horas)]]</f>
        <v>2.5000000000000001E-2</v>
      </c>
      <c r="X516" s="2"/>
    </row>
    <row r="517" spans="2:24" ht="52.2" customHeight="1" x14ac:dyDescent="0.25">
      <c r="B517" s="2" t="s">
        <v>26</v>
      </c>
      <c r="C517" s="2" t="s">
        <v>311</v>
      </c>
      <c r="D517" s="2" t="s">
        <v>313</v>
      </c>
      <c r="E517" s="2" t="s">
        <v>38</v>
      </c>
      <c r="F517" s="2" t="s">
        <v>312</v>
      </c>
      <c r="G517" s="2" t="s">
        <v>320</v>
      </c>
      <c r="H517" s="57" t="str">
        <f>Table1[[#This Row],[Tabela]]&amp;Table1[[#This Row],[Campo]]</f>
        <v>modesg_out_bens_imoveisorigem_scp1_emss</v>
      </c>
      <c r="I517" s="2" t="s">
        <v>614</v>
      </c>
      <c r="J517" s="43">
        <f>VLOOKUP(Table1[[#This Row],[Status]],Auxiliar!$B$16:$C$24,2,0)</f>
        <v>1</v>
      </c>
      <c r="K517" s="2" t="s">
        <v>1252</v>
      </c>
      <c r="L517" s="29" t="s">
        <v>1250</v>
      </c>
      <c r="M517" s="21" t="s">
        <v>1259</v>
      </c>
      <c r="N517" s="48">
        <v>45611</v>
      </c>
      <c r="O517" s="21">
        <f>INDEX(Auxiliar!$D$5:$F$13,MATCH(Table1[[#This Row],[Tipologia_Testes]],Auxiliar!$B$5:$B$13,0),MATCH(Table1[[#This Row],[Complexidade]],Auxiliar!$D$4:$F$4,0))</f>
        <v>2</v>
      </c>
      <c r="P517" s="23"/>
      <c r="Q517" s="2"/>
      <c r="R517" s="152">
        <v>45569</v>
      </c>
      <c r="S517" s="152"/>
      <c r="T517" s="152">
        <v>45604</v>
      </c>
      <c r="U517" s="152">
        <v>45600</v>
      </c>
      <c r="V517" s="152">
        <v>45601</v>
      </c>
      <c r="W517" s="2">
        <f>VLOOKUP(Table1[[#This Row],[Status]],Auxiliar!$B$16:$D$24,3,0)*Table1[[#This Row],[Estimação (horas)]]</f>
        <v>2</v>
      </c>
      <c r="X517" s="2"/>
    </row>
    <row r="518" spans="2:24" ht="52.2" customHeight="1" x14ac:dyDescent="0.25">
      <c r="B518" s="2" t="s">
        <v>26</v>
      </c>
      <c r="C518" s="2" t="s">
        <v>311</v>
      </c>
      <c r="D518" s="2" t="s">
        <v>313</v>
      </c>
      <c r="E518" s="2" t="s">
        <v>38</v>
      </c>
      <c r="F518" s="2" t="s">
        <v>312</v>
      </c>
      <c r="G518" s="2" t="s">
        <v>320</v>
      </c>
      <c r="H518" s="57" t="str">
        <f>Table1[[#This Row],[Tabela]]&amp;Table1[[#This Row],[Campo]]</f>
        <v>modesg_out_bens_imoveisorigem_scp1_emss</v>
      </c>
      <c r="I518" s="2" t="s">
        <v>614</v>
      </c>
      <c r="J518" s="43">
        <f>VLOOKUP(Table1[[#This Row],[Status]],Auxiliar!$B$16:$C$24,2,0)</f>
        <v>1</v>
      </c>
      <c r="K518" s="2" t="s">
        <v>1253</v>
      </c>
      <c r="L518" s="29" t="s">
        <v>1250</v>
      </c>
      <c r="M518" s="21" t="s">
        <v>1259</v>
      </c>
      <c r="N518" s="48">
        <v>45611</v>
      </c>
      <c r="O518" s="21">
        <f>INDEX(Auxiliar!$D$5:$F$13,MATCH(Table1[[#This Row],[Tipologia_Testes]],Auxiliar!$B$5:$B$13,0),MATCH(Table1[[#This Row],[Complexidade]],Auxiliar!$D$4:$F$4,0))</f>
        <v>2</v>
      </c>
      <c r="P518" s="23"/>
      <c r="Q518" s="2"/>
      <c r="R518" s="152">
        <v>45569</v>
      </c>
      <c r="S518" s="152"/>
      <c r="T518" s="152">
        <v>45604</v>
      </c>
      <c r="U518" s="152">
        <v>45600</v>
      </c>
      <c r="V518" s="152">
        <v>45601</v>
      </c>
      <c r="W518" s="2">
        <f>VLOOKUP(Table1[[#This Row],[Status]],Auxiliar!$B$16:$D$24,3,0)*Table1[[#This Row],[Estimação (horas)]]</f>
        <v>2</v>
      </c>
      <c r="X518" s="2"/>
    </row>
    <row r="519" spans="2:24" ht="52.2" customHeight="1" x14ac:dyDescent="0.25">
      <c r="B519" s="2" t="s">
        <v>26</v>
      </c>
      <c r="C519" s="2" t="s">
        <v>311</v>
      </c>
      <c r="D519" s="2" t="s">
        <v>313</v>
      </c>
      <c r="E519" s="2" t="s">
        <v>38</v>
      </c>
      <c r="F519" s="2" t="s">
        <v>312</v>
      </c>
      <c r="G519" s="2" t="s">
        <v>320</v>
      </c>
      <c r="H519" s="57" t="str">
        <f>Table1[[#This Row],[Tabela]]&amp;Table1[[#This Row],[Campo]]</f>
        <v>modesg_out_bens_imoveisorigem_scp1_emss</v>
      </c>
      <c r="I519" s="2" t="s">
        <v>614</v>
      </c>
      <c r="J519" s="43">
        <f>VLOOKUP(Table1[[#This Row],[Status]],Auxiliar!$B$16:$C$24,2,0)</f>
        <v>1</v>
      </c>
      <c r="K519" s="2" t="s">
        <v>1255</v>
      </c>
      <c r="L519" s="29" t="s">
        <v>1250</v>
      </c>
      <c r="M519" s="21" t="s">
        <v>1259</v>
      </c>
      <c r="N519" s="48">
        <v>45611</v>
      </c>
      <c r="O519" s="21">
        <f>INDEX(Auxiliar!$D$5:$F$13,MATCH(Table1[[#This Row],[Tipologia_Testes]],Auxiliar!$B$5:$B$13,0),MATCH(Table1[[#This Row],[Complexidade]],Auxiliar!$D$4:$F$4,0))</f>
        <v>0.1</v>
      </c>
      <c r="P519" s="23"/>
      <c r="Q519" s="2"/>
      <c r="R519" s="152">
        <v>45569</v>
      </c>
      <c r="S519" s="152"/>
      <c r="T519" s="152">
        <v>45604</v>
      </c>
      <c r="U519" s="152">
        <v>45600</v>
      </c>
      <c r="V519" s="152">
        <v>45601</v>
      </c>
      <c r="W519" s="2">
        <f>VLOOKUP(Table1[[#This Row],[Status]],Auxiliar!$B$16:$D$24,3,0)*Table1[[#This Row],[Estimação (horas)]]</f>
        <v>0.1</v>
      </c>
      <c r="X519" s="2"/>
    </row>
    <row r="520" spans="2:24" ht="52.2" customHeight="1" x14ac:dyDescent="0.25">
      <c r="B520" s="2" t="s">
        <v>26</v>
      </c>
      <c r="C520" s="2" t="s">
        <v>311</v>
      </c>
      <c r="D520" s="2" t="s">
        <v>313</v>
      </c>
      <c r="E520" s="2" t="s">
        <v>38</v>
      </c>
      <c r="F520" s="2" t="s">
        <v>312</v>
      </c>
      <c r="G520" s="2" t="s">
        <v>321</v>
      </c>
      <c r="H520" s="57" t="str">
        <f>Table1[[#This Row],[Tabela]]&amp;Table1[[#This Row],[Campo]]</f>
        <v>modesg_out_bens_imoveisorigem_scp2_emss</v>
      </c>
      <c r="I520" s="2" t="s">
        <v>614</v>
      </c>
      <c r="J520" s="43">
        <f>VLOOKUP(Table1[[#This Row],[Status]],Auxiliar!$B$16:$C$24,2,0)</f>
        <v>1</v>
      </c>
      <c r="K520" s="2" t="s">
        <v>1252</v>
      </c>
      <c r="L520" s="29" t="s">
        <v>1250</v>
      </c>
      <c r="M520" s="21" t="s">
        <v>1259</v>
      </c>
      <c r="N520" s="48">
        <v>45611</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2</v>
      </c>
      <c r="X520" s="2"/>
    </row>
    <row r="521" spans="2:24" ht="52.2" customHeight="1" x14ac:dyDescent="0.25">
      <c r="B521" s="2" t="s">
        <v>26</v>
      </c>
      <c r="C521" s="2" t="s">
        <v>311</v>
      </c>
      <c r="D521" s="2" t="s">
        <v>313</v>
      </c>
      <c r="E521" s="2" t="s">
        <v>38</v>
      </c>
      <c r="F521" s="2" t="s">
        <v>312</v>
      </c>
      <c r="G521" s="2" t="s">
        <v>321</v>
      </c>
      <c r="H521" s="57" t="str">
        <f>Table1[[#This Row],[Tabela]]&amp;Table1[[#This Row],[Campo]]</f>
        <v>modesg_out_bens_imoveisorigem_scp2_emss</v>
      </c>
      <c r="I521" s="2" t="s">
        <v>614</v>
      </c>
      <c r="J521" s="43">
        <f>VLOOKUP(Table1[[#This Row],[Status]],Auxiliar!$B$16:$C$24,2,0)</f>
        <v>1</v>
      </c>
      <c r="K521" s="2" t="s">
        <v>1253</v>
      </c>
      <c r="L521" s="29" t="s">
        <v>1250</v>
      </c>
      <c r="M521" s="21" t="s">
        <v>1259</v>
      </c>
      <c r="N521" s="48">
        <v>45611</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2</v>
      </c>
      <c r="X521" s="2"/>
    </row>
    <row r="522" spans="2:24" ht="52.2" customHeight="1" x14ac:dyDescent="0.25">
      <c r="B522" s="2" t="s">
        <v>26</v>
      </c>
      <c r="C522" s="2" t="s">
        <v>311</v>
      </c>
      <c r="D522" s="2" t="s">
        <v>313</v>
      </c>
      <c r="E522" s="2" t="s">
        <v>38</v>
      </c>
      <c r="F522" s="2" t="s">
        <v>312</v>
      </c>
      <c r="G522" s="2" t="s">
        <v>321</v>
      </c>
      <c r="H522" s="57" t="str">
        <f>Table1[[#This Row],[Tabela]]&amp;Table1[[#This Row],[Campo]]</f>
        <v>modesg_out_bens_imoveisorigem_scp2_emss</v>
      </c>
      <c r="I522" s="2" t="s">
        <v>614</v>
      </c>
      <c r="J522" s="43">
        <f>VLOOKUP(Table1[[#This Row],[Status]],Auxiliar!$B$16:$C$24,2,0)</f>
        <v>1</v>
      </c>
      <c r="K522" s="2" t="s">
        <v>1255</v>
      </c>
      <c r="L522" s="29" t="s">
        <v>1250</v>
      </c>
      <c r="M522" s="21" t="s">
        <v>1259</v>
      </c>
      <c r="N522" s="48">
        <v>45611</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0.1</v>
      </c>
      <c r="X522" s="2"/>
    </row>
    <row r="523" spans="2:24" ht="52.2" customHeight="1" x14ac:dyDescent="0.25">
      <c r="B523" s="2" t="s">
        <v>26</v>
      </c>
      <c r="C523" s="2" t="s">
        <v>311</v>
      </c>
      <c r="D523" s="2" t="s">
        <v>313</v>
      </c>
      <c r="E523" s="2" t="s">
        <v>38</v>
      </c>
      <c r="F523" s="2" t="s">
        <v>312</v>
      </c>
      <c r="G523" s="2" t="s">
        <v>322</v>
      </c>
      <c r="H523" s="57" t="str">
        <f>Table1[[#This Row],[Tabela]]&amp;Table1[[#This Row],[Campo]]</f>
        <v>modesg_out_bens_imoveisorigem_scp3_emss</v>
      </c>
      <c r="I523" s="2" t="s">
        <v>614</v>
      </c>
      <c r="J523" s="43">
        <f>VLOOKUP(Table1[[#This Row],[Status]],Auxiliar!$B$16:$C$24,2,0)</f>
        <v>1</v>
      </c>
      <c r="K523" s="2" t="s">
        <v>1252</v>
      </c>
      <c r="L523" s="29" t="s">
        <v>1258</v>
      </c>
      <c r="M523" s="21" t="s">
        <v>1259</v>
      </c>
      <c r="N523" s="48">
        <v>45604</v>
      </c>
      <c r="O523" s="21">
        <f>INDEX(Auxiliar!$D$5:$F$13,MATCH(Table1[[#This Row],[Tipologia_Testes]],Auxiliar!$B$5:$B$13,0),MATCH(Table1[[#This Row],[Complexidade]],Auxiliar!$D$4:$F$4,0))</f>
        <v>2</v>
      </c>
      <c r="P523" s="23"/>
      <c r="Q523" s="2"/>
      <c r="R523" s="152">
        <v>45569</v>
      </c>
      <c r="S523" s="152"/>
      <c r="T523" s="152">
        <v>45569</v>
      </c>
      <c r="U523" s="152">
        <v>45600</v>
      </c>
      <c r="V523" s="152">
        <v>45601</v>
      </c>
      <c r="W523" s="2">
        <f>VLOOKUP(Table1[[#This Row],[Status]],Auxiliar!$B$16:$D$24,3,0)*Table1[[#This Row],[Estimação (horas)]]</f>
        <v>2</v>
      </c>
      <c r="X523" s="2"/>
    </row>
    <row r="524" spans="2:24" ht="52.2" customHeight="1" x14ac:dyDescent="0.25">
      <c r="B524" s="2" t="s">
        <v>26</v>
      </c>
      <c r="C524" s="2" t="s">
        <v>311</v>
      </c>
      <c r="D524" s="2" t="s">
        <v>313</v>
      </c>
      <c r="E524" s="2" t="s">
        <v>38</v>
      </c>
      <c r="F524" s="2" t="s">
        <v>312</v>
      </c>
      <c r="G524" s="2" t="s">
        <v>322</v>
      </c>
      <c r="H524" s="57" t="str">
        <f>Table1[[#This Row],[Tabela]]&amp;Table1[[#This Row],[Campo]]</f>
        <v>modesg_out_bens_imoveisorigem_scp3_emss</v>
      </c>
      <c r="I524" s="2" t="s">
        <v>614</v>
      </c>
      <c r="J524" s="43">
        <f>VLOOKUP(Table1[[#This Row],[Status]],Auxiliar!$B$16:$C$24,2,0)</f>
        <v>1</v>
      </c>
      <c r="K524" s="2" t="s">
        <v>1253</v>
      </c>
      <c r="L524" s="29" t="s">
        <v>1258</v>
      </c>
      <c r="M524" s="21" t="s">
        <v>1259</v>
      </c>
      <c r="N524" s="48">
        <v>45604</v>
      </c>
      <c r="O524" s="21">
        <f>INDEX(Auxiliar!$D$5:$F$13,MATCH(Table1[[#This Row],[Tipologia_Testes]],Auxiliar!$B$5:$B$13,0),MATCH(Table1[[#This Row],[Complexidade]],Auxiliar!$D$4:$F$4,0))</f>
        <v>2</v>
      </c>
      <c r="P524" s="23"/>
      <c r="Q524" s="2"/>
      <c r="R524" s="152">
        <v>45569</v>
      </c>
      <c r="S524" s="152"/>
      <c r="T524" s="152">
        <v>45569</v>
      </c>
      <c r="U524" s="152">
        <v>45600</v>
      </c>
      <c r="V524" s="152">
        <v>45601</v>
      </c>
      <c r="W524" s="2">
        <f>VLOOKUP(Table1[[#This Row],[Status]],Auxiliar!$B$16:$D$24,3,0)*Table1[[#This Row],[Estimação (horas)]]</f>
        <v>2</v>
      </c>
      <c r="X524" s="2"/>
    </row>
    <row r="525" spans="2:24" ht="52.2" customHeight="1" x14ac:dyDescent="0.25">
      <c r="B525" s="2" t="s">
        <v>26</v>
      </c>
      <c r="C525" s="2" t="s">
        <v>311</v>
      </c>
      <c r="D525" s="2" t="s">
        <v>313</v>
      </c>
      <c r="E525" s="2" t="s">
        <v>38</v>
      </c>
      <c r="F525" s="2" t="s">
        <v>312</v>
      </c>
      <c r="G525" s="2" t="s">
        <v>322</v>
      </c>
      <c r="H525" s="57" t="str">
        <f>Table1[[#This Row],[Tabela]]&amp;Table1[[#This Row],[Campo]]</f>
        <v>modesg_out_bens_imoveisorigem_scp3_emss</v>
      </c>
      <c r="I525" s="2" t="s">
        <v>614</v>
      </c>
      <c r="J525" s="43">
        <f>VLOOKUP(Table1[[#This Row],[Status]],Auxiliar!$B$16:$C$24,2,0)</f>
        <v>1</v>
      </c>
      <c r="K525" s="2" t="s">
        <v>1255</v>
      </c>
      <c r="L525" s="29" t="s">
        <v>1258</v>
      </c>
      <c r="M525" s="21" t="s">
        <v>1259</v>
      </c>
      <c r="N525" s="48">
        <v>45604</v>
      </c>
      <c r="O525" s="21">
        <f>INDEX(Auxiliar!$D$5:$F$13,MATCH(Table1[[#This Row],[Tipologia_Testes]],Auxiliar!$B$5:$B$13,0),MATCH(Table1[[#This Row],[Complexidade]],Auxiliar!$D$4:$F$4,0))</f>
        <v>0.1</v>
      </c>
      <c r="P525" s="23"/>
      <c r="Q525" s="2"/>
      <c r="R525" s="152">
        <v>45569</v>
      </c>
      <c r="S525" s="152"/>
      <c r="T525" s="152">
        <v>45569</v>
      </c>
      <c r="U525" s="152">
        <v>45600</v>
      </c>
      <c r="V525" s="152">
        <v>45601</v>
      </c>
      <c r="W525" s="2">
        <f>VLOOKUP(Table1[[#This Row],[Status]],Auxiliar!$B$16:$D$24,3,0)*Table1[[#This Row],[Estimação (horas)]]</f>
        <v>0.1</v>
      </c>
      <c r="X525" s="2"/>
    </row>
    <row r="526" spans="2:24" ht="17.7" customHeight="1" x14ac:dyDescent="0.25">
      <c r="B526" s="2" t="s">
        <v>26</v>
      </c>
      <c r="C526" s="2" t="s">
        <v>311</v>
      </c>
      <c r="D526" s="2" t="s">
        <v>313</v>
      </c>
      <c r="E526" s="2" t="s">
        <v>38</v>
      </c>
      <c r="F526" s="2" t="s">
        <v>312</v>
      </c>
      <c r="G526" s="2" t="s">
        <v>208</v>
      </c>
      <c r="H526" s="57" t="str">
        <f>Table1[[#This Row],[Tabela]]&amp;Table1[[#This Row],[Campo]]</f>
        <v>modesg_out_bens_imoveisref_date</v>
      </c>
      <c r="I526" s="3" t="s">
        <v>614</v>
      </c>
      <c r="J526" s="55">
        <f>VLOOKUP(Table1[[#This Row],[Status]],Auxiliar!$B$16:$C$24,2,0)</f>
        <v>1</v>
      </c>
      <c r="K526" s="2" t="s">
        <v>1252</v>
      </c>
      <c r="L526" s="29" t="s">
        <v>1258</v>
      </c>
      <c r="M526" s="21" t="s">
        <v>1259</v>
      </c>
      <c r="N526" s="48">
        <v>45485</v>
      </c>
      <c r="O526" s="21">
        <f>INDEX(Auxiliar!$D$5:$F$13,MATCH(Table1[[#This Row],[Tipologia_Testes]],Auxiliar!$B$5:$B$13,0),MATCH(Table1[[#This Row],[Complexidade]],Auxiliar!$D$4:$F$4,0))</f>
        <v>2</v>
      </c>
      <c r="P526" s="2"/>
      <c r="Q526" s="2" t="s">
        <v>1269</v>
      </c>
      <c r="R526" s="152">
        <v>45261</v>
      </c>
      <c r="S526" s="152"/>
      <c r="T526" s="152"/>
      <c r="U526" s="152"/>
      <c r="V526" s="152"/>
      <c r="W526" s="2">
        <f>VLOOKUP(Table1[[#This Row],[Status]],Auxiliar!$B$16:$D$24,3,0)*Table1[[#This Row],[Estimação (horas)]]</f>
        <v>2</v>
      </c>
      <c r="X526" s="2"/>
    </row>
    <row r="527" spans="2:24" ht="17.7" customHeight="1" x14ac:dyDescent="0.25">
      <c r="B527" s="2" t="s">
        <v>26</v>
      </c>
      <c r="C527" s="2" t="s">
        <v>311</v>
      </c>
      <c r="D527" s="2" t="s">
        <v>313</v>
      </c>
      <c r="E527" s="2" t="s">
        <v>38</v>
      </c>
      <c r="F527" s="2" t="s">
        <v>312</v>
      </c>
      <c r="G527" s="2" t="s">
        <v>208</v>
      </c>
      <c r="H527" s="57" t="str">
        <f>Table1[[#This Row],[Tabela]]&amp;Table1[[#This Row],[Campo]]</f>
        <v>modesg_out_bens_imoveisref_date</v>
      </c>
      <c r="I527" s="3" t="s">
        <v>614</v>
      </c>
      <c r="J527" s="55">
        <f>VLOOKUP(Table1[[#This Row],[Status]],Auxiliar!$B$16:$C$24,2,0)</f>
        <v>1</v>
      </c>
      <c r="K527" s="2" t="s">
        <v>1253</v>
      </c>
      <c r="L527" s="29" t="s">
        <v>1258</v>
      </c>
      <c r="M527" s="21" t="s">
        <v>1259</v>
      </c>
      <c r="N527" s="48">
        <v>45485</v>
      </c>
      <c r="O527" s="21">
        <f>INDEX(Auxiliar!$D$5:$F$13,MATCH(Table1[[#This Row],[Tipologia_Testes]],Auxiliar!$B$5:$B$13,0),MATCH(Table1[[#This Row],[Complexidade]],Auxiliar!$D$4:$F$4,0))</f>
        <v>2</v>
      </c>
      <c r="P527" s="2"/>
      <c r="Q527" s="2" t="s">
        <v>1269</v>
      </c>
      <c r="R527" s="152">
        <v>45261</v>
      </c>
      <c r="S527" s="152"/>
      <c r="T527" s="152"/>
      <c r="U527" s="152"/>
      <c r="V527" s="152"/>
      <c r="W527" s="2">
        <f>VLOOKUP(Table1[[#This Row],[Status]],Auxiliar!$B$16:$D$24,3,0)*Table1[[#This Row],[Estimação (horas)]]</f>
        <v>2</v>
      </c>
      <c r="X527" s="2"/>
    </row>
    <row r="528" spans="2:24" ht="17.7" customHeight="1" x14ac:dyDescent="0.25">
      <c r="B528" s="2" t="s">
        <v>26</v>
      </c>
      <c r="C528" s="2" t="s">
        <v>311</v>
      </c>
      <c r="D528" s="2" t="s">
        <v>313</v>
      </c>
      <c r="E528" s="2" t="s">
        <v>38</v>
      </c>
      <c r="F528" s="2" t="s">
        <v>312</v>
      </c>
      <c r="G528" s="2" t="s">
        <v>208</v>
      </c>
      <c r="H528" s="57" t="str">
        <f>Table1[[#This Row],[Tabela]]&amp;Table1[[#This Row],[Campo]]</f>
        <v>modesg_out_bens_imoveisref_date</v>
      </c>
      <c r="I528" s="3" t="s">
        <v>614</v>
      </c>
      <c r="J528" s="55">
        <f>VLOOKUP(Table1[[#This Row],[Status]],Auxiliar!$B$16:$C$24,2,0)</f>
        <v>1</v>
      </c>
      <c r="K528" s="2" t="s">
        <v>1255</v>
      </c>
      <c r="L528" s="29" t="s">
        <v>1258</v>
      </c>
      <c r="M528" s="21" t="s">
        <v>1259</v>
      </c>
      <c r="N528" s="48">
        <v>45485</v>
      </c>
      <c r="O528" s="21">
        <f>INDEX(Auxiliar!$D$5:$F$13,MATCH(Table1[[#This Row],[Tipologia_Testes]],Auxiliar!$B$5:$B$13,0),MATCH(Table1[[#This Row],[Complexidade]],Auxiliar!$D$4:$F$4,0))</f>
        <v>0.1</v>
      </c>
      <c r="P528" s="2"/>
      <c r="Q528" s="2" t="s">
        <v>1269</v>
      </c>
      <c r="R528" s="152">
        <v>45261</v>
      </c>
      <c r="S528" s="152"/>
      <c r="T528" s="152"/>
      <c r="U528" s="152"/>
      <c r="V528" s="152"/>
      <c r="W528" s="2">
        <f>VLOOKUP(Table1[[#This Row],[Status]],Auxiliar!$B$16:$D$24,3,0)*Table1[[#This Row],[Estimação (horas)]]</f>
        <v>0.1</v>
      </c>
      <c r="X528" s="2"/>
    </row>
    <row r="529" spans="2:24" ht="69.599999999999994" customHeight="1" x14ac:dyDescent="0.25">
      <c r="B529" s="2" t="s">
        <v>26</v>
      </c>
      <c r="C529" s="2" t="s">
        <v>311</v>
      </c>
      <c r="D529" s="2" t="s">
        <v>313</v>
      </c>
      <c r="E529" s="2" t="s">
        <v>38</v>
      </c>
      <c r="F529" s="2" t="s">
        <v>312</v>
      </c>
      <c r="G529" s="2" t="s">
        <v>286</v>
      </c>
      <c r="H529" s="57" t="str">
        <f>Table1[[#This Row],[Tabela]]&amp;Table1[[#This Row],[Campo]]</f>
        <v>modesg_out_bens_imoveisscp1_emss</v>
      </c>
      <c r="I529" s="2" t="s">
        <v>614</v>
      </c>
      <c r="J529" s="43">
        <f>VLOOKUP(Table1[[#This Row],[Status]],Auxiliar!$B$16:$C$24,2,0)</f>
        <v>1</v>
      </c>
      <c r="K529" s="2" t="s">
        <v>1252</v>
      </c>
      <c r="L529" s="29" t="s">
        <v>1250</v>
      </c>
      <c r="M529" s="21" t="s">
        <v>1260</v>
      </c>
      <c r="N529" s="48">
        <v>45611</v>
      </c>
      <c r="O529" s="21">
        <f>INDEX(Auxiliar!$D$5:$F$13,MATCH(Table1[[#This Row],[Tipologia_Testes]],Auxiliar!$B$5:$B$13,0),MATCH(Table1[[#This Row],[Complexidade]],Auxiliar!$D$4:$F$4,0))</f>
        <v>4</v>
      </c>
      <c r="P529" s="23"/>
      <c r="Q529" s="2"/>
      <c r="R529" s="152">
        <v>45569</v>
      </c>
      <c r="S529" s="152"/>
      <c r="T529" s="152">
        <v>45604</v>
      </c>
      <c r="U529" s="152">
        <v>45600</v>
      </c>
      <c r="V529" s="152">
        <v>45601</v>
      </c>
      <c r="W529" s="2">
        <f>VLOOKUP(Table1[[#This Row],[Status]],Auxiliar!$B$16:$D$24,3,0)*Table1[[#This Row],[Estimação (horas)]]</f>
        <v>4</v>
      </c>
      <c r="X529" s="2"/>
    </row>
    <row r="530" spans="2:24" ht="69.599999999999994" customHeight="1" x14ac:dyDescent="0.25">
      <c r="B530" s="2" t="s">
        <v>26</v>
      </c>
      <c r="C530" s="2" t="s">
        <v>311</v>
      </c>
      <c r="D530" s="2" t="s">
        <v>313</v>
      </c>
      <c r="E530" s="2" t="s">
        <v>38</v>
      </c>
      <c r="F530" s="2" t="s">
        <v>312</v>
      </c>
      <c r="G530" s="2" t="s">
        <v>286</v>
      </c>
      <c r="H530" s="57" t="str">
        <f>Table1[[#This Row],[Tabela]]&amp;Table1[[#This Row],[Campo]]</f>
        <v>modesg_out_bens_imoveisscp1_emss</v>
      </c>
      <c r="I530" s="2" t="s">
        <v>614</v>
      </c>
      <c r="J530" s="43">
        <f>VLOOKUP(Table1[[#This Row],[Status]],Auxiliar!$B$16:$C$24,2,0)</f>
        <v>1</v>
      </c>
      <c r="K530" s="2" t="s">
        <v>1253</v>
      </c>
      <c r="L530" s="29" t="s">
        <v>1250</v>
      </c>
      <c r="M530" s="21" t="s">
        <v>1260</v>
      </c>
      <c r="N530" s="48">
        <v>45611</v>
      </c>
      <c r="O530" s="21">
        <f>INDEX(Auxiliar!$D$5:$F$13,MATCH(Table1[[#This Row],[Tipologia_Testes]],Auxiliar!$B$5:$B$13,0),MATCH(Table1[[#This Row],[Complexidade]],Auxiliar!$D$4:$F$4,0))</f>
        <v>4</v>
      </c>
      <c r="P530" s="23"/>
      <c r="Q530" s="2"/>
      <c r="R530" s="152">
        <v>45569</v>
      </c>
      <c r="S530" s="152"/>
      <c r="T530" s="152">
        <v>45604</v>
      </c>
      <c r="U530" s="152">
        <v>45600</v>
      </c>
      <c r="V530" s="152">
        <v>45601</v>
      </c>
      <c r="W530" s="2">
        <f>VLOOKUP(Table1[[#This Row],[Status]],Auxiliar!$B$16:$D$24,3,0)*Table1[[#This Row],[Estimação (horas)]]</f>
        <v>4</v>
      </c>
      <c r="X530" s="2"/>
    </row>
    <row r="531" spans="2:24" ht="69.599999999999994" customHeight="1" x14ac:dyDescent="0.25">
      <c r="B531" s="2" t="s">
        <v>26</v>
      </c>
      <c r="C531" s="2" t="s">
        <v>311</v>
      </c>
      <c r="D531" s="2" t="s">
        <v>313</v>
      </c>
      <c r="E531" s="2" t="s">
        <v>38</v>
      </c>
      <c r="F531" s="2" t="s">
        <v>312</v>
      </c>
      <c r="G531" s="2" t="s">
        <v>286</v>
      </c>
      <c r="H531" s="57" t="str">
        <f>Table1[[#This Row],[Tabela]]&amp;Table1[[#This Row],[Campo]]</f>
        <v>modesg_out_bens_imoveisscp1_emss</v>
      </c>
      <c r="I531" s="2" t="s">
        <v>614</v>
      </c>
      <c r="J531" s="43">
        <f>VLOOKUP(Table1[[#This Row],[Status]],Auxiliar!$B$16:$C$24,2,0)</f>
        <v>1</v>
      </c>
      <c r="K531" s="2" t="s">
        <v>1255</v>
      </c>
      <c r="L531" s="29" t="s">
        <v>1250</v>
      </c>
      <c r="M531" s="21" t="s">
        <v>1260</v>
      </c>
      <c r="N531" s="48">
        <v>45611</v>
      </c>
      <c r="O531" s="21">
        <f>INDEX(Auxiliar!$D$5:$F$13,MATCH(Table1[[#This Row],[Tipologia_Testes]],Auxiliar!$B$5:$B$13,0),MATCH(Table1[[#This Row],[Complexidade]],Auxiliar!$D$4:$F$4,0))</f>
        <v>0.1</v>
      </c>
      <c r="P531" s="23"/>
      <c r="Q531" s="2"/>
      <c r="R531" s="152">
        <v>45569</v>
      </c>
      <c r="S531" s="152"/>
      <c r="T531" s="152">
        <v>45604</v>
      </c>
      <c r="U531" s="152">
        <v>45600</v>
      </c>
      <c r="V531" s="152">
        <v>45601</v>
      </c>
      <c r="W531" s="2">
        <f>VLOOKUP(Table1[[#This Row],[Status]],Auxiliar!$B$16:$D$24,3,0)*Table1[[#This Row],[Estimação (horas)]]</f>
        <v>0.1</v>
      </c>
      <c r="X531" s="2"/>
    </row>
    <row r="532" spans="2:24" ht="69.599999999999994" customHeight="1" x14ac:dyDescent="0.25">
      <c r="B532" s="2" t="s">
        <v>26</v>
      </c>
      <c r="C532" s="2" t="s">
        <v>311</v>
      </c>
      <c r="D532" s="2" t="s">
        <v>313</v>
      </c>
      <c r="E532" s="2" t="s">
        <v>38</v>
      </c>
      <c r="F532" s="2" t="s">
        <v>312</v>
      </c>
      <c r="G532" s="2" t="s">
        <v>287</v>
      </c>
      <c r="H532" s="57" t="str">
        <f>Table1[[#This Row],[Tabela]]&amp;Table1[[#This Row],[Campo]]</f>
        <v>modesg_out_bens_imoveisscp2_emss</v>
      </c>
      <c r="I532" s="2" t="s">
        <v>614</v>
      </c>
      <c r="J532" s="43">
        <f>VLOOKUP(Table1[[#This Row],[Status]],Auxiliar!$B$16:$C$24,2,0)</f>
        <v>1</v>
      </c>
      <c r="K532" s="2" t="s">
        <v>1252</v>
      </c>
      <c r="L532" s="29" t="s">
        <v>1250</v>
      </c>
      <c r="M532" s="21" t="s">
        <v>1260</v>
      </c>
      <c r="N532" s="48">
        <v>45611</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4</v>
      </c>
      <c r="X532" s="2"/>
    </row>
    <row r="533" spans="2:24" ht="69.599999999999994" customHeight="1" x14ac:dyDescent="0.25">
      <c r="B533" s="2" t="s">
        <v>26</v>
      </c>
      <c r="C533" s="2" t="s">
        <v>311</v>
      </c>
      <c r="D533" s="2" t="s">
        <v>313</v>
      </c>
      <c r="E533" s="2" t="s">
        <v>38</v>
      </c>
      <c r="F533" s="2" t="s">
        <v>312</v>
      </c>
      <c r="G533" s="2" t="s">
        <v>287</v>
      </c>
      <c r="H533" s="57" t="str">
        <f>Table1[[#This Row],[Tabela]]&amp;Table1[[#This Row],[Campo]]</f>
        <v>modesg_out_bens_imoveisscp2_emss</v>
      </c>
      <c r="I533" s="2" t="s">
        <v>614</v>
      </c>
      <c r="J533" s="43">
        <f>VLOOKUP(Table1[[#This Row],[Status]],Auxiliar!$B$16:$C$24,2,0)</f>
        <v>1</v>
      </c>
      <c r="K533" s="2" t="s">
        <v>1253</v>
      </c>
      <c r="L533" s="29" t="s">
        <v>1250</v>
      </c>
      <c r="M533" s="21" t="s">
        <v>1260</v>
      </c>
      <c r="N533" s="48">
        <v>45611</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4</v>
      </c>
      <c r="X533" s="2"/>
    </row>
    <row r="534" spans="2:24" ht="69.599999999999994" customHeight="1" x14ac:dyDescent="0.25">
      <c r="B534" s="2" t="s">
        <v>26</v>
      </c>
      <c r="C534" s="2" t="s">
        <v>311</v>
      </c>
      <c r="D534" s="2" t="s">
        <v>313</v>
      </c>
      <c r="E534" s="2" t="s">
        <v>38</v>
      </c>
      <c r="F534" s="2" t="s">
        <v>312</v>
      </c>
      <c r="G534" s="2" t="s">
        <v>287</v>
      </c>
      <c r="H534" s="57" t="str">
        <f>Table1[[#This Row],[Tabela]]&amp;Table1[[#This Row],[Campo]]</f>
        <v>modesg_out_bens_imoveisscp2_emss</v>
      </c>
      <c r="I534" s="2" t="s">
        <v>614</v>
      </c>
      <c r="J534" s="43">
        <f>VLOOKUP(Table1[[#This Row],[Status]],Auxiliar!$B$16:$C$24,2,0)</f>
        <v>1</v>
      </c>
      <c r="K534" s="2" t="s">
        <v>1255</v>
      </c>
      <c r="L534" s="29" t="s">
        <v>1250</v>
      </c>
      <c r="M534" s="21" t="s">
        <v>1260</v>
      </c>
      <c r="N534" s="48">
        <v>45611</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0.1</v>
      </c>
      <c r="X534" s="2"/>
    </row>
    <row r="535" spans="2:24" ht="17.7" customHeight="1" x14ac:dyDescent="0.25">
      <c r="B535" s="2" t="s">
        <v>26</v>
      </c>
      <c r="C535" s="2" t="s">
        <v>311</v>
      </c>
      <c r="D535" s="2" t="s">
        <v>313</v>
      </c>
      <c r="E535" s="2" t="s">
        <v>38</v>
      </c>
      <c r="F535" s="2" t="s">
        <v>312</v>
      </c>
      <c r="G535" s="2" t="s">
        <v>288</v>
      </c>
      <c r="H535" s="57" t="str">
        <f>Table1[[#This Row],[Tabela]]&amp;Table1[[#This Row],[Campo]]</f>
        <v>modesg_out_bens_imoveisscp3_emss</v>
      </c>
      <c r="I535" s="3" t="s">
        <v>614</v>
      </c>
      <c r="J535" s="55">
        <f>VLOOKUP(Table1[[#This Row],[Status]],Auxiliar!$B$16:$C$24,2,0)</f>
        <v>1</v>
      </c>
      <c r="K535" s="2" t="s">
        <v>1252</v>
      </c>
      <c r="L535" s="29" t="s">
        <v>1258</v>
      </c>
      <c r="M535" s="21" t="s">
        <v>1259</v>
      </c>
      <c r="N535" s="48">
        <v>45485</v>
      </c>
      <c r="O535" s="21">
        <f>INDEX(Auxiliar!$D$5:$F$13,MATCH(Table1[[#This Row],[Tipologia_Testes]],Auxiliar!$B$5:$B$13,0),MATCH(Table1[[#This Row],[Complexidade]],Auxiliar!$D$4:$F$4,0))</f>
        <v>2</v>
      </c>
      <c r="P535" s="23"/>
      <c r="Q535" s="2" t="s">
        <v>1269</v>
      </c>
      <c r="R535" s="152">
        <v>45261</v>
      </c>
      <c r="S535" s="152"/>
      <c r="T535" s="152"/>
      <c r="U535" s="152"/>
      <c r="V535" s="152"/>
      <c r="W535" s="2">
        <f>VLOOKUP(Table1[[#This Row],[Status]],Auxiliar!$B$16:$D$24,3,0)*Table1[[#This Row],[Estimação (horas)]]</f>
        <v>2</v>
      </c>
      <c r="X535" s="2"/>
    </row>
    <row r="536" spans="2:24" ht="17.7" customHeight="1" x14ac:dyDescent="0.25">
      <c r="B536" s="2" t="s">
        <v>26</v>
      </c>
      <c r="C536" s="2" t="s">
        <v>311</v>
      </c>
      <c r="D536" s="2" t="s">
        <v>313</v>
      </c>
      <c r="E536" s="2" t="s">
        <v>38</v>
      </c>
      <c r="F536" s="2" t="s">
        <v>312</v>
      </c>
      <c r="G536" s="2" t="s">
        <v>288</v>
      </c>
      <c r="H536" s="57" t="str">
        <f>Table1[[#This Row],[Tabela]]&amp;Table1[[#This Row],[Campo]]</f>
        <v>modesg_out_bens_imoveisscp3_emss</v>
      </c>
      <c r="I536" s="3" t="s">
        <v>614</v>
      </c>
      <c r="J536" s="55">
        <f>VLOOKUP(Table1[[#This Row],[Status]],Auxiliar!$B$16:$C$24,2,0)</f>
        <v>1</v>
      </c>
      <c r="K536" s="2" t="s">
        <v>1253</v>
      </c>
      <c r="L536" s="29" t="s">
        <v>1258</v>
      </c>
      <c r="M536" s="21" t="s">
        <v>1259</v>
      </c>
      <c r="N536" s="48">
        <v>45485</v>
      </c>
      <c r="O536" s="21">
        <f>INDEX(Auxiliar!$D$5:$F$13,MATCH(Table1[[#This Row],[Tipologia_Testes]],Auxiliar!$B$5:$B$13,0),MATCH(Table1[[#This Row],[Complexidade]],Auxiliar!$D$4:$F$4,0))</f>
        <v>2</v>
      </c>
      <c r="P536" s="23"/>
      <c r="Q536" s="2" t="s">
        <v>1269</v>
      </c>
      <c r="R536" s="152">
        <v>45261</v>
      </c>
      <c r="S536" s="152"/>
      <c r="T536" s="152"/>
      <c r="U536" s="152"/>
      <c r="V536" s="152"/>
      <c r="W536" s="2">
        <f>VLOOKUP(Table1[[#This Row],[Status]],Auxiliar!$B$16:$D$24,3,0)*Table1[[#This Row],[Estimação (horas)]]</f>
        <v>2</v>
      </c>
      <c r="X536" s="2"/>
    </row>
    <row r="537" spans="2:24" ht="17.7" customHeight="1" x14ac:dyDescent="0.25">
      <c r="B537" s="2" t="s">
        <v>26</v>
      </c>
      <c r="C537" s="2" t="s">
        <v>311</v>
      </c>
      <c r="D537" s="2" t="s">
        <v>313</v>
      </c>
      <c r="E537" s="2" t="s">
        <v>38</v>
      </c>
      <c r="F537" s="2" t="s">
        <v>312</v>
      </c>
      <c r="G537" s="2" t="s">
        <v>288</v>
      </c>
      <c r="H537" s="57" t="str">
        <f>Table1[[#This Row],[Tabela]]&amp;Table1[[#This Row],[Campo]]</f>
        <v>modesg_out_bens_imoveisscp3_emss</v>
      </c>
      <c r="I537" s="3" t="s">
        <v>614</v>
      </c>
      <c r="J537" s="55">
        <f>VLOOKUP(Table1[[#This Row],[Status]],Auxiliar!$B$16:$C$24,2,0)</f>
        <v>1</v>
      </c>
      <c r="K537" s="2" t="s">
        <v>1255</v>
      </c>
      <c r="L537" s="29" t="s">
        <v>1258</v>
      </c>
      <c r="M537" s="21" t="s">
        <v>1259</v>
      </c>
      <c r="N537" s="48">
        <v>45485</v>
      </c>
      <c r="O537" s="21">
        <f>INDEX(Auxiliar!$D$5:$F$13,MATCH(Table1[[#This Row],[Tipologia_Testes]],Auxiliar!$B$5:$B$13,0),MATCH(Table1[[#This Row],[Complexidade]],Auxiliar!$D$4:$F$4,0))</f>
        <v>0.1</v>
      </c>
      <c r="P537" s="23"/>
      <c r="Q537" s="2" t="s">
        <v>1269</v>
      </c>
      <c r="R537" s="152">
        <v>45261</v>
      </c>
      <c r="S537" s="152"/>
      <c r="T537" s="152"/>
      <c r="U537" s="152"/>
      <c r="V537" s="152"/>
      <c r="W537" s="2">
        <f>VLOOKUP(Table1[[#This Row],[Status]],Auxiliar!$B$16:$D$24,3,0)*Table1[[#This Row],[Estimação (horas)]]</f>
        <v>0.1</v>
      </c>
      <c r="X537" s="2"/>
    </row>
    <row r="538" spans="2:24" ht="52.2" customHeight="1" x14ac:dyDescent="0.25">
      <c r="B538" s="2" t="s">
        <v>26</v>
      </c>
      <c r="C538" s="2" t="s">
        <v>311</v>
      </c>
      <c r="D538" s="2" t="s">
        <v>313</v>
      </c>
      <c r="E538" s="2" t="s">
        <v>38</v>
      </c>
      <c r="F538" s="2" t="s">
        <v>312</v>
      </c>
      <c r="G538" s="2" t="s">
        <v>323</v>
      </c>
      <c r="H538" s="57" t="str">
        <f>Table1[[#This Row],[Tabela]]&amp;Table1[[#This Row],[Campo]]</f>
        <v>modesg_out_bens_imoveisunidade_funcional_scp1_emss</v>
      </c>
      <c r="I538" s="2" t="s">
        <v>614</v>
      </c>
      <c r="J538" s="43">
        <f>VLOOKUP(Table1[[#This Row],[Status]],Auxiliar!$B$16:$C$24,2,0)</f>
        <v>1</v>
      </c>
      <c r="K538" s="2" t="s">
        <v>1252</v>
      </c>
      <c r="L538" s="29" t="s">
        <v>1250</v>
      </c>
      <c r="M538" s="21" t="s">
        <v>1259</v>
      </c>
      <c r="N538" s="48">
        <v>45611</v>
      </c>
      <c r="O538" s="21">
        <f>INDEX(Auxiliar!$D$5:$F$13,MATCH(Table1[[#This Row],[Tipologia_Testes]],Auxiliar!$B$5:$B$13,0),MATCH(Table1[[#This Row],[Complexidade]],Auxiliar!$D$4:$F$4,0))</f>
        <v>2</v>
      </c>
      <c r="P538" s="23"/>
      <c r="Q538" s="2"/>
      <c r="R538" s="152">
        <v>45569</v>
      </c>
      <c r="S538" s="152"/>
      <c r="T538" s="152">
        <v>45604</v>
      </c>
      <c r="U538" s="152">
        <v>45600</v>
      </c>
      <c r="V538" s="152">
        <v>45601</v>
      </c>
      <c r="W538" s="2">
        <f>VLOOKUP(Table1[[#This Row],[Status]],Auxiliar!$B$16:$D$24,3,0)*Table1[[#This Row],[Estimação (horas)]]</f>
        <v>2</v>
      </c>
      <c r="X538" s="2"/>
    </row>
    <row r="539" spans="2:24" ht="52.2" customHeight="1" x14ac:dyDescent="0.25">
      <c r="B539" s="2" t="s">
        <v>26</v>
      </c>
      <c r="C539" s="2" t="s">
        <v>311</v>
      </c>
      <c r="D539" s="2" t="s">
        <v>313</v>
      </c>
      <c r="E539" s="2" t="s">
        <v>38</v>
      </c>
      <c r="F539" s="2" t="s">
        <v>312</v>
      </c>
      <c r="G539" s="2" t="s">
        <v>323</v>
      </c>
      <c r="H539" s="57" t="str">
        <f>Table1[[#This Row],[Tabela]]&amp;Table1[[#This Row],[Campo]]</f>
        <v>modesg_out_bens_imoveisunidade_funcional_scp1_emss</v>
      </c>
      <c r="I539" s="2" t="s">
        <v>614</v>
      </c>
      <c r="J539" s="43">
        <f>VLOOKUP(Table1[[#This Row],[Status]],Auxiliar!$B$16:$C$24,2,0)</f>
        <v>1</v>
      </c>
      <c r="K539" s="2" t="s">
        <v>1253</v>
      </c>
      <c r="L539" s="29" t="s">
        <v>1250</v>
      </c>
      <c r="M539" s="21" t="s">
        <v>1259</v>
      </c>
      <c r="N539" s="48">
        <v>45611</v>
      </c>
      <c r="O539" s="21">
        <f>INDEX(Auxiliar!$D$5:$F$13,MATCH(Table1[[#This Row],[Tipologia_Testes]],Auxiliar!$B$5:$B$13,0),MATCH(Table1[[#This Row],[Complexidade]],Auxiliar!$D$4:$F$4,0))</f>
        <v>2</v>
      </c>
      <c r="P539" s="23"/>
      <c r="Q539" s="2"/>
      <c r="R539" s="152">
        <v>45569</v>
      </c>
      <c r="S539" s="152"/>
      <c r="T539" s="152">
        <v>45604</v>
      </c>
      <c r="U539" s="152">
        <v>45600</v>
      </c>
      <c r="V539" s="152">
        <v>45601</v>
      </c>
      <c r="W539" s="2">
        <f>VLOOKUP(Table1[[#This Row],[Status]],Auxiliar!$B$16:$D$24,3,0)*Table1[[#This Row],[Estimação (horas)]]</f>
        <v>2</v>
      </c>
      <c r="X539" s="2"/>
    </row>
    <row r="540" spans="2:24" ht="52.2" customHeight="1" x14ac:dyDescent="0.25">
      <c r="B540" s="2" t="s">
        <v>26</v>
      </c>
      <c r="C540" s="2" t="s">
        <v>311</v>
      </c>
      <c r="D540" s="2" t="s">
        <v>313</v>
      </c>
      <c r="E540" s="2" t="s">
        <v>38</v>
      </c>
      <c r="F540" s="2" t="s">
        <v>312</v>
      </c>
      <c r="G540" s="2" t="s">
        <v>323</v>
      </c>
      <c r="H540" s="57" t="str">
        <f>Table1[[#This Row],[Tabela]]&amp;Table1[[#This Row],[Campo]]</f>
        <v>modesg_out_bens_imoveisunidade_funcional_scp1_emss</v>
      </c>
      <c r="I540" s="2" t="s">
        <v>614</v>
      </c>
      <c r="J540" s="43">
        <f>VLOOKUP(Table1[[#This Row],[Status]],Auxiliar!$B$16:$C$24,2,0)</f>
        <v>1</v>
      </c>
      <c r="K540" s="2" t="s">
        <v>1255</v>
      </c>
      <c r="L540" s="29" t="s">
        <v>1250</v>
      </c>
      <c r="M540" s="21" t="s">
        <v>1259</v>
      </c>
      <c r="N540" s="48">
        <v>45611</v>
      </c>
      <c r="O540" s="21">
        <f>INDEX(Auxiliar!$D$5:$F$13,MATCH(Table1[[#This Row],[Tipologia_Testes]],Auxiliar!$B$5:$B$13,0),MATCH(Table1[[#This Row],[Complexidade]],Auxiliar!$D$4:$F$4,0))</f>
        <v>0.1</v>
      </c>
      <c r="P540" s="23"/>
      <c r="Q540" s="2"/>
      <c r="R540" s="152">
        <v>45569</v>
      </c>
      <c r="S540" s="152"/>
      <c r="T540" s="152">
        <v>45604</v>
      </c>
      <c r="U540" s="152">
        <v>45600</v>
      </c>
      <c r="V540" s="152">
        <v>45601</v>
      </c>
      <c r="W540" s="2">
        <f>VLOOKUP(Table1[[#This Row],[Status]],Auxiliar!$B$16:$D$24,3,0)*Table1[[#This Row],[Estimação (horas)]]</f>
        <v>0.1</v>
      </c>
      <c r="X540" s="2"/>
    </row>
    <row r="541" spans="2:24" ht="52.2" customHeight="1" x14ac:dyDescent="0.25">
      <c r="B541" s="2" t="s">
        <v>26</v>
      </c>
      <c r="C541" s="2" t="s">
        <v>311</v>
      </c>
      <c r="D541" s="2" t="s">
        <v>313</v>
      </c>
      <c r="E541" s="2" t="s">
        <v>38</v>
      </c>
      <c r="F541" s="2" t="s">
        <v>312</v>
      </c>
      <c r="G541" s="2" t="s">
        <v>324</v>
      </c>
      <c r="H541" s="57" t="str">
        <f>Table1[[#This Row],[Tabela]]&amp;Table1[[#This Row],[Campo]]</f>
        <v>modesg_out_bens_imoveisunidade_funcional_scp2_emss</v>
      </c>
      <c r="I541" s="2" t="s">
        <v>614</v>
      </c>
      <c r="J541" s="43">
        <f>VLOOKUP(Table1[[#This Row],[Status]],Auxiliar!$B$16:$C$24,2,0)</f>
        <v>1</v>
      </c>
      <c r="K541" s="2" t="s">
        <v>1252</v>
      </c>
      <c r="L541" s="29" t="s">
        <v>1250</v>
      </c>
      <c r="M541" s="21" t="s">
        <v>1259</v>
      </c>
      <c r="N541" s="48">
        <v>45611</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2</v>
      </c>
      <c r="X541" s="2"/>
    </row>
    <row r="542" spans="2:24" ht="52.2" customHeight="1" x14ac:dyDescent="0.25">
      <c r="B542" s="2" t="s">
        <v>26</v>
      </c>
      <c r="C542" s="2" t="s">
        <v>311</v>
      </c>
      <c r="D542" s="2" t="s">
        <v>313</v>
      </c>
      <c r="E542" s="2" t="s">
        <v>38</v>
      </c>
      <c r="F542" s="2" t="s">
        <v>312</v>
      </c>
      <c r="G542" s="2" t="s">
        <v>324</v>
      </c>
      <c r="H542" s="57" t="str">
        <f>Table1[[#This Row],[Tabela]]&amp;Table1[[#This Row],[Campo]]</f>
        <v>modesg_out_bens_imoveisunidade_funcional_scp2_emss</v>
      </c>
      <c r="I542" s="2" t="s">
        <v>614</v>
      </c>
      <c r="J542" s="43">
        <f>VLOOKUP(Table1[[#This Row],[Status]],Auxiliar!$B$16:$C$24,2,0)</f>
        <v>1</v>
      </c>
      <c r="K542" s="2" t="s">
        <v>1253</v>
      </c>
      <c r="L542" s="29" t="s">
        <v>1250</v>
      </c>
      <c r="M542" s="21" t="s">
        <v>1259</v>
      </c>
      <c r="N542" s="48">
        <v>45611</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2</v>
      </c>
      <c r="X542" s="2"/>
    </row>
    <row r="543" spans="2:24" ht="52.2" customHeight="1" x14ac:dyDescent="0.25">
      <c r="B543" s="2" t="s">
        <v>26</v>
      </c>
      <c r="C543" s="2" t="s">
        <v>311</v>
      </c>
      <c r="D543" s="2" t="s">
        <v>313</v>
      </c>
      <c r="E543" s="2" t="s">
        <v>38</v>
      </c>
      <c r="F543" s="2" t="s">
        <v>312</v>
      </c>
      <c r="G543" s="2" t="s">
        <v>324</v>
      </c>
      <c r="H543" s="57" t="str">
        <f>Table1[[#This Row],[Tabela]]&amp;Table1[[#This Row],[Campo]]</f>
        <v>modesg_out_bens_imoveisunidade_funcional_scp2_emss</v>
      </c>
      <c r="I543" s="2" t="s">
        <v>614</v>
      </c>
      <c r="J543" s="43">
        <f>VLOOKUP(Table1[[#This Row],[Status]],Auxiliar!$B$16:$C$24,2,0)</f>
        <v>1</v>
      </c>
      <c r="K543" s="2" t="s">
        <v>1255</v>
      </c>
      <c r="L543" s="29" t="s">
        <v>1250</v>
      </c>
      <c r="M543" s="21" t="s">
        <v>1259</v>
      </c>
      <c r="N543" s="48">
        <v>45611</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0.1</v>
      </c>
      <c r="X543" s="2"/>
    </row>
    <row r="544" spans="2:24" ht="52.2" customHeight="1" x14ac:dyDescent="0.25">
      <c r="B544" s="2" t="s">
        <v>26</v>
      </c>
      <c r="C544" s="2" t="s">
        <v>311</v>
      </c>
      <c r="D544" s="2" t="s">
        <v>313</v>
      </c>
      <c r="E544" s="2" t="s">
        <v>38</v>
      </c>
      <c r="F544" s="2" t="s">
        <v>312</v>
      </c>
      <c r="G544" s="2" t="s">
        <v>325</v>
      </c>
      <c r="H544" s="57" t="str">
        <f>Table1[[#This Row],[Tabela]]&amp;Table1[[#This Row],[Campo]]</f>
        <v>modesg_out_bens_imoveisunidade_funcional_scp3_emss</v>
      </c>
      <c r="I544" s="2" t="s">
        <v>614</v>
      </c>
      <c r="J544" s="43">
        <f>VLOOKUP(Table1[[#This Row],[Status]],Auxiliar!$B$16:$C$24,2,0)</f>
        <v>1</v>
      </c>
      <c r="K544" s="2" t="s">
        <v>1252</v>
      </c>
      <c r="L544" s="29" t="s">
        <v>1250</v>
      </c>
      <c r="M544" s="21" t="s">
        <v>1259</v>
      </c>
      <c r="N544" s="48">
        <v>45604</v>
      </c>
      <c r="O544" s="21">
        <f>INDEX(Auxiliar!$D$5:$F$13,MATCH(Table1[[#This Row],[Tipologia_Testes]],Auxiliar!$B$5:$B$13,0),MATCH(Table1[[#This Row],[Complexidade]],Auxiliar!$D$4:$F$4,0))</f>
        <v>2</v>
      </c>
      <c r="P544" s="23"/>
      <c r="Q544" s="2"/>
      <c r="R544" s="152">
        <v>45569</v>
      </c>
      <c r="S544" s="152"/>
      <c r="T544" s="152">
        <v>45569</v>
      </c>
      <c r="U544" s="152">
        <v>45600</v>
      </c>
      <c r="V544" s="152">
        <v>45601</v>
      </c>
      <c r="W544" s="2">
        <f>VLOOKUP(Table1[[#This Row],[Status]],Auxiliar!$B$16:$D$24,3,0)*Table1[[#This Row],[Estimação (horas)]]</f>
        <v>2</v>
      </c>
      <c r="X544" s="2"/>
    </row>
    <row r="545" spans="2:24" ht="52.2" customHeight="1" x14ac:dyDescent="0.25">
      <c r="B545" s="2" t="s">
        <v>26</v>
      </c>
      <c r="C545" s="2" t="s">
        <v>311</v>
      </c>
      <c r="D545" s="2" t="s">
        <v>313</v>
      </c>
      <c r="E545" s="2" t="s">
        <v>38</v>
      </c>
      <c r="F545" s="2" t="s">
        <v>312</v>
      </c>
      <c r="G545" s="2" t="s">
        <v>325</v>
      </c>
      <c r="H545" s="57" t="str">
        <f>Table1[[#This Row],[Tabela]]&amp;Table1[[#This Row],[Campo]]</f>
        <v>modesg_out_bens_imoveisunidade_funcional_scp3_emss</v>
      </c>
      <c r="I545" s="2" t="s">
        <v>614</v>
      </c>
      <c r="J545" s="43">
        <f>VLOOKUP(Table1[[#This Row],[Status]],Auxiliar!$B$16:$C$24,2,0)</f>
        <v>1</v>
      </c>
      <c r="K545" s="2" t="s">
        <v>1253</v>
      </c>
      <c r="L545" s="29" t="s">
        <v>1250</v>
      </c>
      <c r="M545" s="21" t="s">
        <v>1259</v>
      </c>
      <c r="N545" s="48">
        <v>45604</v>
      </c>
      <c r="O545" s="21">
        <f>INDEX(Auxiliar!$D$5:$F$13,MATCH(Table1[[#This Row],[Tipologia_Testes]],Auxiliar!$B$5:$B$13,0),MATCH(Table1[[#This Row],[Complexidade]],Auxiliar!$D$4:$F$4,0))</f>
        <v>2</v>
      </c>
      <c r="P545" s="23"/>
      <c r="Q545" s="2"/>
      <c r="R545" s="152">
        <v>45569</v>
      </c>
      <c r="S545" s="152"/>
      <c r="T545" s="152">
        <v>45569</v>
      </c>
      <c r="U545" s="152">
        <v>45600</v>
      </c>
      <c r="V545" s="152">
        <v>45601</v>
      </c>
      <c r="W545" s="2">
        <f>VLOOKUP(Table1[[#This Row],[Status]],Auxiliar!$B$16:$D$24,3,0)*Table1[[#This Row],[Estimação (horas)]]</f>
        <v>2</v>
      </c>
      <c r="X545" s="2"/>
    </row>
    <row r="546" spans="2:24" ht="52.2" customHeight="1" x14ac:dyDescent="0.25">
      <c r="B546" s="2" t="s">
        <v>26</v>
      </c>
      <c r="C546" s="2" t="s">
        <v>311</v>
      </c>
      <c r="D546" s="2" t="s">
        <v>313</v>
      </c>
      <c r="E546" s="2" t="s">
        <v>38</v>
      </c>
      <c r="F546" s="2" t="s">
        <v>312</v>
      </c>
      <c r="G546" s="2" t="s">
        <v>325</v>
      </c>
      <c r="H546" s="57" t="str">
        <f>Table1[[#This Row],[Tabela]]&amp;Table1[[#This Row],[Campo]]</f>
        <v>modesg_out_bens_imoveisunidade_funcional_scp3_emss</v>
      </c>
      <c r="I546" s="2" t="s">
        <v>614</v>
      </c>
      <c r="J546" s="43">
        <f>VLOOKUP(Table1[[#This Row],[Status]],Auxiliar!$B$16:$C$24,2,0)</f>
        <v>1</v>
      </c>
      <c r="K546" s="2" t="s">
        <v>1255</v>
      </c>
      <c r="L546" s="29" t="s">
        <v>1250</v>
      </c>
      <c r="M546" s="21" t="s">
        <v>1259</v>
      </c>
      <c r="N546" s="48">
        <v>45604</v>
      </c>
      <c r="O546" s="21">
        <f>INDEX(Auxiliar!$D$5:$F$13,MATCH(Table1[[#This Row],[Tipologia_Testes]],Auxiliar!$B$5:$B$13,0),MATCH(Table1[[#This Row],[Complexidade]],Auxiliar!$D$4:$F$4,0))</f>
        <v>0.1</v>
      </c>
      <c r="P546" s="23"/>
      <c r="Q546" s="2"/>
      <c r="R546" s="152">
        <v>45569</v>
      </c>
      <c r="S546" s="152"/>
      <c r="T546" s="152">
        <v>45569</v>
      </c>
      <c r="U546" s="152">
        <v>45600</v>
      </c>
      <c r="V546" s="152">
        <v>45601</v>
      </c>
      <c r="W546" s="2">
        <f>VLOOKUP(Table1[[#This Row],[Status]],Auxiliar!$B$16:$D$24,3,0)*Table1[[#This Row],[Estimação (horas)]]</f>
        <v>0.1</v>
      </c>
      <c r="X546" s="2"/>
    </row>
    <row r="547" spans="2:24" ht="16.95" customHeight="1" x14ac:dyDescent="0.25">
      <c r="B547" s="2" t="s">
        <v>26</v>
      </c>
      <c r="C547" s="2" t="s">
        <v>311</v>
      </c>
      <c r="D547" s="2" t="s">
        <v>327</v>
      </c>
      <c r="E547" s="2" t="s">
        <v>38</v>
      </c>
      <c r="F547" s="2" t="s">
        <v>326</v>
      </c>
      <c r="G547" s="2" t="s">
        <v>38</v>
      </c>
      <c r="H547" s="57" t="str">
        <f>Table1[[#This Row],[Tabela]]&amp;Table1[[#This Row],[Campo]]</f>
        <v>modesg_out_empr_info_nfinn.a.</v>
      </c>
      <c r="I547" s="3" t="s">
        <v>614</v>
      </c>
      <c r="J547" s="55">
        <f>VLOOKUP(Table1[[#This Row],[Status]],Auxiliar!$B$16:$C$24,2,0)</f>
        <v>1</v>
      </c>
      <c r="K547" s="2" t="s">
        <v>1249</v>
      </c>
      <c r="L547" s="29" t="s">
        <v>1258</v>
      </c>
      <c r="M547" s="21" t="s">
        <v>1260</v>
      </c>
      <c r="N547" s="48">
        <v>45561</v>
      </c>
      <c r="O547" s="21">
        <f>INDEX(Auxiliar!$D$5:$F$13,MATCH(Table1[[#This Row],[Tipologia_Testes]],Auxiliar!$B$5:$B$13,0),MATCH(Table1[[#This Row],[Complexidade]],Auxiliar!$D$4:$F$4,0))</f>
        <v>8</v>
      </c>
      <c r="P547" s="23" t="s">
        <v>1283</v>
      </c>
      <c r="Q547" s="2"/>
      <c r="R547" s="152">
        <v>45512</v>
      </c>
      <c r="S547" s="152"/>
      <c r="T547" s="152">
        <v>45512</v>
      </c>
      <c r="U547" s="152"/>
      <c r="V547" s="152"/>
      <c r="W547" s="2">
        <f>VLOOKUP(Table1[[#This Row],[Status]],Auxiliar!$B$16:$D$24,3,0)*Table1[[#This Row],[Estimação (horas)]]</f>
        <v>8</v>
      </c>
      <c r="X547" s="2"/>
    </row>
    <row r="548" spans="2:24" ht="17.7" customHeight="1" x14ac:dyDescent="0.25">
      <c r="B548" s="2" t="s">
        <v>26</v>
      </c>
      <c r="C548" s="2" t="s">
        <v>311</v>
      </c>
      <c r="D548" s="2" t="s">
        <v>327</v>
      </c>
      <c r="E548" s="2" t="s">
        <v>38</v>
      </c>
      <c r="F548" s="2" t="s">
        <v>326</v>
      </c>
      <c r="G548" s="2" t="s">
        <v>250</v>
      </c>
      <c r="H548" s="57" t="str">
        <f>Table1[[#This Row],[Tabela]]&amp;Table1[[#This Row],[Campo]]</f>
        <v>modesg_out_empr_info_nfincca_capex_enblng_algnd</v>
      </c>
      <c r="I548" s="2" t="s">
        <v>1927</v>
      </c>
      <c r="J548" s="43">
        <f>VLOOKUP(Table1[[#This Row],[Status]],Auxiliar!$B$16:$C$24,2,0)</f>
        <v>2</v>
      </c>
      <c r="K548" s="2" t="s">
        <v>1252</v>
      </c>
      <c r="L548" s="29" t="s">
        <v>1258</v>
      </c>
      <c r="M548" s="21" t="s">
        <v>1251</v>
      </c>
      <c r="N548" s="48">
        <v>45618</v>
      </c>
      <c r="O548" s="21">
        <f>INDEX(Auxiliar!$D$5:$F$13,MATCH(Table1[[#This Row],[Tipologia_Testes]],Auxiliar!$B$5:$B$13,0),MATCH(Table1[[#This Row],[Complexidade]],Auxiliar!$D$4:$F$4,0))</f>
        <v>8</v>
      </c>
      <c r="P548" s="2"/>
      <c r="Q548" s="2"/>
      <c r="R548" s="152">
        <v>45561</v>
      </c>
      <c r="S548" s="152"/>
      <c r="T548" s="152">
        <v>45561</v>
      </c>
      <c r="U548" s="152">
        <v>45614</v>
      </c>
      <c r="V548" s="152">
        <v>45615</v>
      </c>
      <c r="W548" s="2">
        <f>VLOOKUP(Table1[[#This Row],[Status]],Auxiliar!$B$16:$D$24,3,0)*Table1[[#This Row],[Estimação (horas)]]</f>
        <v>4</v>
      </c>
      <c r="X548" s="2"/>
    </row>
    <row r="549" spans="2:24" ht="17.7" customHeight="1" x14ac:dyDescent="0.25">
      <c r="B549" s="2" t="s">
        <v>26</v>
      </c>
      <c r="C549" s="2" t="s">
        <v>311</v>
      </c>
      <c r="D549" s="2" t="s">
        <v>327</v>
      </c>
      <c r="E549" s="2" t="s">
        <v>38</v>
      </c>
      <c r="F549" s="2" t="s">
        <v>326</v>
      </c>
      <c r="G549" s="2" t="s">
        <v>250</v>
      </c>
      <c r="H549" s="57" t="str">
        <f>Table1[[#This Row],[Tabela]]&amp;Table1[[#This Row],[Campo]]</f>
        <v>modesg_out_empr_info_nfincca_capex_enblng_algnd</v>
      </c>
      <c r="I549" s="2" t="s">
        <v>1927</v>
      </c>
      <c r="J549" s="43">
        <f>VLOOKUP(Table1[[#This Row],[Status]],Auxiliar!$B$16:$C$24,2,0)</f>
        <v>2</v>
      </c>
      <c r="K549" s="2" t="s">
        <v>1253</v>
      </c>
      <c r="L549" s="29" t="s">
        <v>1258</v>
      </c>
      <c r="M549" s="21" t="s">
        <v>1251</v>
      </c>
      <c r="N549" s="48">
        <v>45618</v>
      </c>
      <c r="O549" s="21">
        <f>INDEX(Auxiliar!$D$5:$F$13,MATCH(Table1[[#This Row],[Tipologia_Testes]],Auxiliar!$B$5:$B$13,0),MATCH(Table1[[#This Row],[Complexidade]],Auxiliar!$D$4:$F$4,0))</f>
        <v>8</v>
      </c>
      <c r="P549" s="2"/>
      <c r="Q549" s="2"/>
      <c r="R549" s="152">
        <v>45561</v>
      </c>
      <c r="S549" s="152"/>
      <c r="T549" s="152">
        <v>45561</v>
      </c>
      <c r="U549" s="152">
        <v>45614</v>
      </c>
      <c r="V549" s="152">
        <v>45615</v>
      </c>
      <c r="W549" s="2">
        <f>VLOOKUP(Table1[[#This Row],[Status]],Auxiliar!$B$16:$D$24,3,0)*Table1[[#This Row],[Estimação (horas)]]</f>
        <v>4</v>
      </c>
      <c r="X549" s="2"/>
    </row>
    <row r="550" spans="2:24" ht="17.7" customHeight="1" x14ac:dyDescent="0.25">
      <c r="B550" s="2" t="s">
        <v>26</v>
      </c>
      <c r="C550" s="2" t="s">
        <v>311</v>
      </c>
      <c r="D550" s="2" t="s">
        <v>327</v>
      </c>
      <c r="E550" s="2" t="s">
        <v>38</v>
      </c>
      <c r="F550" s="2" t="s">
        <v>326</v>
      </c>
      <c r="G550" s="2" t="s">
        <v>250</v>
      </c>
      <c r="H550" s="57" t="str">
        <f>Table1[[#This Row],[Tabela]]&amp;Table1[[#This Row],[Campo]]</f>
        <v>modesg_out_empr_info_nfincca_capex_enblng_algnd</v>
      </c>
      <c r="I550" s="2" t="s">
        <v>1927</v>
      </c>
      <c r="J550" s="43">
        <f>VLOOKUP(Table1[[#This Row],[Status]],Auxiliar!$B$16:$C$24,2,0)</f>
        <v>2</v>
      </c>
      <c r="K550" s="2" t="s">
        <v>1255</v>
      </c>
      <c r="L550" s="29" t="s">
        <v>1258</v>
      </c>
      <c r="M550" s="21" t="s">
        <v>1251</v>
      </c>
      <c r="N550" s="48">
        <v>45618</v>
      </c>
      <c r="O550" s="21">
        <f>INDEX(Auxiliar!$D$5:$F$13,MATCH(Table1[[#This Row],[Tipologia_Testes]],Auxiliar!$B$5:$B$13,0),MATCH(Table1[[#This Row],[Complexidade]],Auxiliar!$D$4:$F$4,0))</f>
        <v>0.1</v>
      </c>
      <c r="P550" s="2"/>
      <c r="Q550" s="2"/>
      <c r="R550" s="152">
        <v>45561</v>
      </c>
      <c r="S550" s="152"/>
      <c r="T550" s="152">
        <v>45561</v>
      </c>
      <c r="U550" s="152">
        <v>45614</v>
      </c>
      <c r="V550" s="152">
        <v>45615</v>
      </c>
      <c r="W550" s="2">
        <f>VLOOKUP(Table1[[#This Row],[Status]],Auxiliar!$B$16:$D$24,3,0)*Table1[[#This Row],[Estimação (horas)]]</f>
        <v>0.05</v>
      </c>
      <c r="X550" s="2"/>
    </row>
    <row r="551" spans="2:24" ht="17.7" customHeight="1" x14ac:dyDescent="0.25">
      <c r="B551" s="2" t="s">
        <v>26</v>
      </c>
      <c r="C551" s="2" t="s">
        <v>311</v>
      </c>
      <c r="D551" s="2" t="s">
        <v>327</v>
      </c>
      <c r="E551" s="2" t="s">
        <v>38</v>
      </c>
      <c r="F551" s="2" t="s">
        <v>326</v>
      </c>
      <c r="G551" s="2" t="s">
        <v>251</v>
      </c>
      <c r="H551" s="57" t="str">
        <f>Table1[[#This Row],[Tabela]]&amp;Table1[[#This Row],[Campo]]</f>
        <v>modesg_out_empr_info_nfincca_capex_own_prfrmnce_algnd</v>
      </c>
      <c r="I551" s="2" t="s">
        <v>1927</v>
      </c>
      <c r="J551" s="43">
        <f>VLOOKUP(Table1[[#This Row],[Status]],Auxiliar!$B$16:$C$24,2,0)</f>
        <v>2</v>
      </c>
      <c r="K551" s="2" t="s">
        <v>1252</v>
      </c>
      <c r="L551" s="29" t="s">
        <v>1258</v>
      </c>
      <c r="M551" s="21" t="s">
        <v>1251</v>
      </c>
      <c r="N551" s="48">
        <v>45618</v>
      </c>
      <c r="O551" s="21">
        <f>INDEX(Auxiliar!$D$5:$F$13,MATCH(Table1[[#This Row],[Tipologia_Testes]],Auxiliar!$B$5:$B$13,0),MATCH(Table1[[#This Row],[Complexidade]],Auxiliar!$D$4:$F$4,0))</f>
        <v>8</v>
      </c>
      <c r="P551" s="2"/>
      <c r="Q551" s="2"/>
      <c r="R551" s="152">
        <v>45561</v>
      </c>
      <c r="S551" s="152"/>
      <c r="T551" s="152">
        <v>45561</v>
      </c>
      <c r="U551" s="152">
        <v>45614</v>
      </c>
      <c r="V551" s="152">
        <v>45615</v>
      </c>
      <c r="W551" s="2">
        <f>VLOOKUP(Table1[[#This Row],[Status]],Auxiliar!$B$16:$D$24,3,0)*Table1[[#This Row],[Estimação (horas)]]</f>
        <v>4</v>
      </c>
      <c r="X551" s="2"/>
    </row>
    <row r="552" spans="2:24" ht="17.7" customHeight="1" x14ac:dyDescent="0.25">
      <c r="B552" s="2" t="s">
        <v>26</v>
      </c>
      <c r="C552" s="2" t="s">
        <v>311</v>
      </c>
      <c r="D552" s="2" t="s">
        <v>327</v>
      </c>
      <c r="E552" s="2" t="s">
        <v>38</v>
      </c>
      <c r="F552" s="2" t="s">
        <v>326</v>
      </c>
      <c r="G552" s="2" t="s">
        <v>251</v>
      </c>
      <c r="H552" s="57" t="str">
        <f>Table1[[#This Row],[Tabela]]&amp;Table1[[#This Row],[Campo]]</f>
        <v>modesg_out_empr_info_nfincca_capex_own_prfrmnce_algnd</v>
      </c>
      <c r="I552" s="2" t="s">
        <v>1927</v>
      </c>
      <c r="J552" s="43">
        <f>VLOOKUP(Table1[[#This Row],[Status]],Auxiliar!$B$16:$C$24,2,0)</f>
        <v>2</v>
      </c>
      <c r="K552" s="2" t="s">
        <v>1253</v>
      </c>
      <c r="L552" s="29" t="s">
        <v>1258</v>
      </c>
      <c r="M552" s="21" t="s">
        <v>1251</v>
      </c>
      <c r="N552" s="48">
        <v>45618</v>
      </c>
      <c r="O552" s="21">
        <f>INDEX(Auxiliar!$D$5:$F$13,MATCH(Table1[[#This Row],[Tipologia_Testes]],Auxiliar!$B$5:$B$13,0),MATCH(Table1[[#This Row],[Complexidade]],Auxiliar!$D$4:$F$4,0))</f>
        <v>8</v>
      </c>
      <c r="P552" s="2"/>
      <c r="Q552" s="2"/>
      <c r="R552" s="152">
        <v>45561</v>
      </c>
      <c r="S552" s="152"/>
      <c r="T552" s="152">
        <v>45561</v>
      </c>
      <c r="U552" s="152">
        <v>45614</v>
      </c>
      <c r="V552" s="152">
        <v>45615</v>
      </c>
      <c r="W552" s="2">
        <f>VLOOKUP(Table1[[#This Row],[Status]],Auxiliar!$B$16:$D$24,3,0)*Table1[[#This Row],[Estimação (horas)]]</f>
        <v>4</v>
      </c>
      <c r="X552" s="2"/>
    </row>
    <row r="553" spans="2:24" ht="17.7" customHeight="1" x14ac:dyDescent="0.25">
      <c r="B553" s="2" t="s">
        <v>26</v>
      </c>
      <c r="C553" s="2" t="s">
        <v>311</v>
      </c>
      <c r="D553" s="2" t="s">
        <v>327</v>
      </c>
      <c r="E553" s="2" t="s">
        <v>38</v>
      </c>
      <c r="F553" s="2" t="s">
        <v>326</v>
      </c>
      <c r="G553" s="2" t="s">
        <v>251</v>
      </c>
      <c r="H553" s="57" t="str">
        <f>Table1[[#This Row],[Tabela]]&amp;Table1[[#This Row],[Campo]]</f>
        <v>modesg_out_empr_info_nfincca_capex_own_prfrmnce_algnd</v>
      </c>
      <c r="I553" s="2" t="s">
        <v>1927</v>
      </c>
      <c r="J553" s="43">
        <f>VLOOKUP(Table1[[#This Row],[Status]],Auxiliar!$B$16:$C$24,2,0)</f>
        <v>2</v>
      </c>
      <c r="K553" s="2" t="s">
        <v>1255</v>
      </c>
      <c r="L553" s="29" t="s">
        <v>1258</v>
      </c>
      <c r="M553" s="21" t="s">
        <v>1251</v>
      </c>
      <c r="N553" s="48">
        <v>45618</v>
      </c>
      <c r="O553" s="21">
        <f>INDEX(Auxiliar!$D$5:$F$13,MATCH(Table1[[#This Row],[Tipologia_Testes]],Auxiliar!$B$5:$B$13,0),MATCH(Table1[[#This Row],[Complexidade]],Auxiliar!$D$4:$F$4,0))</f>
        <v>0.1</v>
      </c>
      <c r="P553" s="2"/>
      <c r="Q553" s="2"/>
      <c r="R553" s="152">
        <v>45561</v>
      </c>
      <c r="S553" s="152"/>
      <c r="T553" s="152">
        <v>45561</v>
      </c>
      <c r="U553" s="152">
        <v>45614</v>
      </c>
      <c r="V553" s="152">
        <v>45615</v>
      </c>
      <c r="W553" s="2">
        <f>VLOOKUP(Table1[[#This Row],[Status]],Auxiliar!$B$16:$D$24,3,0)*Table1[[#This Row],[Estimação (horas)]]</f>
        <v>0.05</v>
      </c>
      <c r="X553" s="2"/>
    </row>
    <row r="554" spans="2:24" ht="17.7" customHeight="1" x14ac:dyDescent="0.25">
      <c r="B554" s="2" t="s">
        <v>26</v>
      </c>
      <c r="C554" s="2" t="s">
        <v>311</v>
      </c>
      <c r="D554" s="2" t="s">
        <v>327</v>
      </c>
      <c r="E554" s="2" t="s">
        <v>38</v>
      </c>
      <c r="F554" s="2" t="s">
        <v>326</v>
      </c>
      <c r="G554" s="2" t="s">
        <v>249</v>
      </c>
      <c r="H554" s="57" t="str">
        <f>Table1[[#This Row],[Tabela]]&amp;Table1[[#This Row],[Campo]]</f>
        <v>modesg_out_empr_info_nfincca_capex_ttl_elgbl</v>
      </c>
      <c r="I554" s="2" t="s">
        <v>1927</v>
      </c>
      <c r="J554" s="43">
        <f>VLOOKUP(Table1[[#This Row],[Status]],Auxiliar!$B$16:$C$24,2,0)</f>
        <v>2</v>
      </c>
      <c r="K554" s="2" t="s">
        <v>1252</v>
      </c>
      <c r="L554" s="29" t="s">
        <v>1258</v>
      </c>
      <c r="M554" s="21" t="s">
        <v>1251</v>
      </c>
      <c r="N554" s="48">
        <v>45618</v>
      </c>
      <c r="O554" s="21">
        <f>INDEX(Auxiliar!$D$5:$F$13,MATCH(Table1[[#This Row],[Tipologia_Testes]],Auxiliar!$B$5:$B$13,0),MATCH(Table1[[#This Row],[Complexidade]],Auxiliar!$D$4:$F$4,0))</f>
        <v>8</v>
      </c>
      <c r="P554" s="2"/>
      <c r="Q554" s="2"/>
      <c r="R554" s="152">
        <v>45561</v>
      </c>
      <c r="S554" s="152"/>
      <c r="T554" s="152">
        <v>45561</v>
      </c>
      <c r="U554" s="152">
        <v>45614</v>
      </c>
      <c r="V554" s="152">
        <v>45615</v>
      </c>
      <c r="W554" s="2">
        <f>VLOOKUP(Table1[[#This Row],[Status]],Auxiliar!$B$16:$D$24,3,0)*Table1[[#This Row],[Estimação (horas)]]</f>
        <v>4</v>
      </c>
      <c r="X554" s="2"/>
    </row>
    <row r="555" spans="2:24" ht="17.7" customHeight="1" x14ac:dyDescent="0.25">
      <c r="B555" s="2" t="s">
        <v>26</v>
      </c>
      <c r="C555" s="2" t="s">
        <v>311</v>
      </c>
      <c r="D555" s="2" t="s">
        <v>327</v>
      </c>
      <c r="E555" s="2" t="s">
        <v>38</v>
      </c>
      <c r="F555" s="2" t="s">
        <v>326</v>
      </c>
      <c r="G555" s="2" t="s">
        <v>249</v>
      </c>
      <c r="H555" s="57" t="str">
        <f>Table1[[#This Row],[Tabela]]&amp;Table1[[#This Row],[Campo]]</f>
        <v>modesg_out_empr_info_nfincca_capex_ttl_elgbl</v>
      </c>
      <c r="I555" s="2" t="s">
        <v>1927</v>
      </c>
      <c r="J555" s="43">
        <f>VLOOKUP(Table1[[#This Row],[Status]],Auxiliar!$B$16:$C$24,2,0)</f>
        <v>2</v>
      </c>
      <c r="K555" s="2" t="s">
        <v>1253</v>
      </c>
      <c r="L555" s="29" t="s">
        <v>1258</v>
      </c>
      <c r="M555" s="21" t="s">
        <v>1251</v>
      </c>
      <c r="N555" s="48">
        <v>45618</v>
      </c>
      <c r="O555" s="21">
        <f>INDEX(Auxiliar!$D$5:$F$13,MATCH(Table1[[#This Row],[Tipologia_Testes]],Auxiliar!$B$5:$B$13,0),MATCH(Table1[[#This Row],[Complexidade]],Auxiliar!$D$4:$F$4,0))</f>
        <v>8</v>
      </c>
      <c r="P555" s="2"/>
      <c r="Q555" s="2"/>
      <c r="R555" s="152">
        <v>45561</v>
      </c>
      <c r="S555" s="152"/>
      <c r="T555" s="152">
        <v>45561</v>
      </c>
      <c r="U555" s="152">
        <v>45614</v>
      </c>
      <c r="V555" s="152">
        <v>45615</v>
      </c>
      <c r="W555" s="2">
        <f>VLOOKUP(Table1[[#This Row],[Status]],Auxiliar!$B$16:$D$24,3,0)*Table1[[#This Row],[Estimação (horas)]]</f>
        <v>4</v>
      </c>
      <c r="X555" s="2"/>
    </row>
    <row r="556" spans="2:24" ht="17.7" customHeight="1" x14ac:dyDescent="0.25">
      <c r="B556" s="2" t="s">
        <v>26</v>
      </c>
      <c r="C556" s="2" t="s">
        <v>311</v>
      </c>
      <c r="D556" s="2" t="s">
        <v>327</v>
      </c>
      <c r="E556" s="2" t="s">
        <v>38</v>
      </c>
      <c r="F556" s="2" t="s">
        <v>326</v>
      </c>
      <c r="G556" s="2" t="s">
        <v>249</v>
      </c>
      <c r="H556" s="57" t="str">
        <f>Table1[[#This Row],[Tabela]]&amp;Table1[[#This Row],[Campo]]</f>
        <v>modesg_out_empr_info_nfincca_capex_ttl_elgbl</v>
      </c>
      <c r="I556" s="2" t="s">
        <v>1927</v>
      </c>
      <c r="J556" s="43">
        <f>VLOOKUP(Table1[[#This Row],[Status]],Auxiliar!$B$16:$C$24,2,0)</f>
        <v>2</v>
      </c>
      <c r="K556" s="2" t="s">
        <v>1255</v>
      </c>
      <c r="L556" s="29" t="s">
        <v>1258</v>
      </c>
      <c r="M556" s="21" t="s">
        <v>1251</v>
      </c>
      <c r="N556" s="48">
        <v>45618</v>
      </c>
      <c r="O556" s="21">
        <f>INDEX(Auxiliar!$D$5:$F$13,MATCH(Table1[[#This Row],[Tipologia_Testes]],Auxiliar!$B$5:$B$13,0),MATCH(Table1[[#This Row],[Complexidade]],Auxiliar!$D$4:$F$4,0))</f>
        <v>0.1</v>
      </c>
      <c r="P556" s="2"/>
      <c r="Q556" s="2"/>
      <c r="R556" s="152">
        <v>45561</v>
      </c>
      <c r="S556" s="152"/>
      <c r="T556" s="152">
        <v>45561</v>
      </c>
      <c r="U556" s="152">
        <v>45614</v>
      </c>
      <c r="V556" s="152">
        <v>45615</v>
      </c>
      <c r="W556" s="2">
        <f>VLOOKUP(Table1[[#This Row],[Status]],Auxiliar!$B$16:$D$24,3,0)*Table1[[#This Row],[Estimação (horas)]]</f>
        <v>0.05</v>
      </c>
      <c r="X556" s="2"/>
    </row>
    <row r="557" spans="2:24" ht="17.7" customHeight="1" x14ac:dyDescent="0.25">
      <c r="B557" s="2" t="s">
        <v>26</v>
      </c>
      <c r="C557" s="2" t="s">
        <v>311</v>
      </c>
      <c r="D557" s="2" t="s">
        <v>327</v>
      </c>
      <c r="E557" s="2" t="s">
        <v>38</v>
      </c>
      <c r="F557" s="2" t="s">
        <v>326</v>
      </c>
      <c r="G557" s="2" t="s">
        <v>247</v>
      </c>
      <c r="H557" s="57" t="str">
        <f>Table1[[#This Row],[Tabela]]&amp;Table1[[#This Row],[Campo]]</f>
        <v>modesg_out_empr_info_nfincca_trnvr_enblng_alignd</v>
      </c>
      <c r="I557" s="2" t="s">
        <v>1927</v>
      </c>
      <c r="J557" s="43">
        <f>VLOOKUP(Table1[[#This Row],[Status]],Auxiliar!$B$16:$C$24,2,0)</f>
        <v>2</v>
      </c>
      <c r="K557" s="2" t="s">
        <v>1252</v>
      </c>
      <c r="L557" s="29" t="s">
        <v>1258</v>
      </c>
      <c r="M557" s="21" t="s">
        <v>1251</v>
      </c>
      <c r="N557" s="48">
        <v>45618</v>
      </c>
      <c r="O557" s="21">
        <f>INDEX(Auxiliar!$D$5:$F$13,MATCH(Table1[[#This Row],[Tipologia_Testes]],Auxiliar!$B$5:$B$13,0),MATCH(Table1[[#This Row],[Complexidade]],Auxiliar!$D$4:$F$4,0))</f>
        <v>8</v>
      </c>
      <c r="P557" s="2"/>
      <c r="Q557" s="2"/>
      <c r="R557" s="152">
        <v>45561</v>
      </c>
      <c r="S557" s="152"/>
      <c r="T557" s="152">
        <v>45561</v>
      </c>
      <c r="U557" s="152">
        <v>45614</v>
      </c>
      <c r="V557" s="152">
        <v>45615</v>
      </c>
      <c r="W557" s="2">
        <f>VLOOKUP(Table1[[#This Row],[Status]],Auxiliar!$B$16:$D$24,3,0)*Table1[[#This Row],[Estimação (horas)]]</f>
        <v>4</v>
      </c>
      <c r="X557" s="2"/>
    </row>
    <row r="558" spans="2:24" ht="17.7" customHeight="1" x14ac:dyDescent="0.25">
      <c r="B558" s="2" t="s">
        <v>26</v>
      </c>
      <c r="C558" s="2" t="s">
        <v>311</v>
      </c>
      <c r="D558" s="2" t="s">
        <v>327</v>
      </c>
      <c r="E558" s="2" t="s">
        <v>38</v>
      </c>
      <c r="F558" s="2" t="s">
        <v>326</v>
      </c>
      <c r="G558" s="2" t="s">
        <v>247</v>
      </c>
      <c r="H558" s="57" t="str">
        <f>Table1[[#This Row],[Tabela]]&amp;Table1[[#This Row],[Campo]]</f>
        <v>modesg_out_empr_info_nfincca_trnvr_enblng_alignd</v>
      </c>
      <c r="I558" s="2" t="s">
        <v>1927</v>
      </c>
      <c r="J558" s="43">
        <f>VLOOKUP(Table1[[#This Row],[Status]],Auxiliar!$B$16:$C$24,2,0)</f>
        <v>2</v>
      </c>
      <c r="K558" s="2" t="s">
        <v>1253</v>
      </c>
      <c r="L558" s="29" t="s">
        <v>1258</v>
      </c>
      <c r="M558" s="21" t="s">
        <v>1251</v>
      </c>
      <c r="N558" s="48">
        <v>45618</v>
      </c>
      <c r="O558" s="21">
        <f>INDEX(Auxiliar!$D$5:$F$13,MATCH(Table1[[#This Row],[Tipologia_Testes]],Auxiliar!$B$5:$B$13,0),MATCH(Table1[[#This Row],[Complexidade]],Auxiliar!$D$4:$F$4,0))</f>
        <v>8</v>
      </c>
      <c r="P558" s="2"/>
      <c r="Q558" s="2"/>
      <c r="R558" s="152">
        <v>45561</v>
      </c>
      <c r="S558" s="152"/>
      <c r="T558" s="152">
        <v>45561</v>
      </c>
      <c r="U558" s="152">
        <v>45614</v>
      </c>
      <c r="V558" s="152">
        <v>45615</v>
      </c>
      <c r="W558" s="2">
        <f>VLOOKUP(Table1[[#This Row],[Status]],Auxiliar!$B$16:$D$24,3,0)*Table1[[#This Row],[Estimação (horas)]]</f>
        <v>4</v>
      </c>
      <c r="X558" s="2"/>
    </row>
    <row r="559" spans="2:24" ht="17.7" customHeight="1" x14ac:dyDescent="0.25">
      <c r="B559" s="2" t="s">
        <v>26</v>
      </c>
      <c r="C559" s="2" t="s">
        <v>311</v>
      </c>
      <c r="D559" s="2" t="s">
        <v>327</v>
      </c>
      <c r="E559" s="2" t="s">
        <v>38</v>
      </c>
      <c r="F559" s="2" t="s">
        <v>326</v>
      </c>
      <c r="G559" s="2" t="s">
        <v>247</v>
      </c>
      <c r="H559" s="57" t="str">
        <f>Table1[[#This Row],[Tabela]]&amp;Table1[[#This Row],[Campo]]</f>
        <v>modesg_out_empr_info_nfincca_trnvr_enblng_alignd</v>
      </c>
      <c r="I559" s="2" t="s">
        <v>1927</v>
      </c>
      <c r="J559" s="43">
        <f>VLOOKUP(Table1[[#This Row],[Status]],Auxiliar!$B$16:$C$24,2,0)</f>
        <v>2</v>
      </c>
      <c r="K559" s="2" t="s">
        <v>1255</v>
      </c>
      <c r="L559" s="29" t="s">
        <v>1258</v>
      </c>
      <c r="M559" s="21" t="s">
        <v>1251</v>
      </c>
      <c r="N559" s="48">
        <v>45618</v>
      </c>
      <c r="O559" s="21">
        <f>INDEX(Auxiliar!$D$5:$F$13,MATCH(Table1[[#This Row],[Tipologia_Testes]],Auxiliar!$B$5:$B$13,0),MATCH(Table1[[#This Row],[Complexidade]],Auxiliar!$D$4:$F$4,0))</f>
        <v>0.1</v>
      </c>
      <c r="P559" s="2"/>
      <c r="Q559" s="2"/>
      <c r="R559" s="152">
        <v>45561</v>
      </c>
      <c r="S559" s="152"/>
      <c r="T559" s="152">
        <v>45561</v>
      </c>
      <c r="U559" s="152">
        <v>45614</v>
      </c>
      <c r="V559" s="152">
        <v>45615</v>
      </c>
      <c r="W559" s="2">
        <f>VLOOKUP(Table1[[#This Row],[Status]],Auxiliar!$B$16:$D$24,3,0)*Table1[[#This Row],[Estimação (horas)]]</f>
        <v>0.05</v>
      </c>
      <c r="X559" s="2"/>
    </row>
    <row r="560" spans="2:24" ht="17.7" customHeight="1" x14ac:dyDescent="0.25">
      <c r="B560" s="2" t="s">
        <v>26</v>
      </c>
      <c r="C560" s="2" t="s">
        <v>311</v>
      </c>
      <c r="D560" s="2" t="s">
        <v>327</v>
      </c>
      <c r="E560" s="2" t="s">
        <v>38</v>
      </c>
      <c r="F560" s="2" t="s">
        <v>326</v>
      </c>
      <c r="G560" s="2" t="s">
        <v>246</v>
      </c>
      <c r="H560" s="57" t="str">
        <f>Table1[[#This Row],[Tabela]]&amp;Table1[[#This Row],[Campo]]</f>
        <v>modesg_out_empr_info_nfincca_trnvr_ttl_elgbl</v>
      </c>
      <c r="I560" s="2" t="s">
        <v>1927</v>
      </c>
      <c r="J560" s="43">
        <f>VLOOKUP(Table1[[#This Row],[Status]],Auxiliar!$B$16:$C$24,2,0)</f>
        <v>2</v>
      </c>
      <c r="K560" s="2" t="s">
        <v>1252</v>
      </c>
      <c r="L560" s="29" t="s">
        <v>1258</v>
      </c>
      <c r="M560" s="21" t="s">
        <v>1251</v>
      </c>
      <c r="N560" s="48">
        <v>45618</v>
      </c>
      <c r="O560" s="21">
        <f>INDEX(Auxiliar!$D$5:$F$13,MATCH(Table1[[#This Row],[Tipologia_Testes]],Auxiliar!$B$5:$B$13,0),MATCH(Table1[[#This Row],[Complexidade]],Auxiliar!$D$4:$F$4,0))</f>
        <v>8</v>
      </c>
      <c r="P560" s="2"/>
      <c r="Q560" s="2"/>
      <c r="R560" s="152">
        <v>45561</v>
      </c>
      <c r="S560" s="152"/>
      <c r="T560" s="152">
        <v>45561</v>
      </c>
      <c r="U560" s="152">
        <v>45614</v>
      </c>
      <c r="V560" s="152">
        <v>45615</v>
      </c>
      <c r="W560" s="2">
        <f>VLOOKUP(Table1[[#This Row],[Status]],Auxiliar!$B$16:$D$24,3,0)*Table1[[#This Row],[Estimação (horas)]]</f>
        <v>4</v>
      </c>
      <c r="X560" s="2"/>
    </row>
    <row r="561" spans="2:24" ht="17.7" customHeight="1" x14ac:dyDescent="0.25">
      <c r="B561" s="2" t="s">
        <v>26</v>
      </c>
      <c r="C561" s="2" t="s">
        <v>311</v>
      </c>
      <c r="D561" s="2" t="s">
        <v>327</v>
      </c>
      <c r="E561" s="2" t="s">
        <v>38</v>
      </c>
      <c r="F561" s="2" t="s">
        <v>326</v>
      </c>
      <c r="G561" s="2" t="s">
        <v>246</v>
      </c>
      <c r="H561" s="57" t="str">
        <f>Table1[[#This Row],[Tabela]]&amp;Table1[[#This Row],[Campo]]</f>
        <v>modesg_out_empr_info_nfincca_trnvr_ttl_elgbl</v>
      </c>
      <c r="I561" s="2" t="s">
        <v>1927</v>
      </c>
      <c r="J561" s="43">
        <f>VLOOKUP(Table1[[#This Row],[Status]],Auxiliar!$B$16:$C$24,2,0)</f>
        <v>2</v>
      </c>
      <c r="K561" s="2" t="s">
        <v>1253</v>
      </c>
      <c r="L561" s="29" t="s">
        <v>1258</v>
      </c>
      <c r="M561" s="21" t="s">
        <v>1251</v>
      </c>
      <c r="N561" s="48">
        <v>45618</v>
      </c>
      <c r="O561" s="21">
        <f>INDEX(Auxiliar!$D$5:$F$13,MATCH(Table1[[#This Row],[Tipologia_Testes]],Auxiliar!$B$5:$B$13,0),MATCH(Table1[[#This Row],[Complexidade]],Auxiliar!$D$4:$F$4,0))</f>
        <v>8</v>
      </c>
      <c r="P561" s="2"/>
      <c r="Q561" s="2"/>
      <c r="R561" s="152">
        <v>45561</v>
      </c>
      <c r="S561" s="152"/>
      <c r="T561" s="152">
        <v>45561</v>
      </c>
      <c r="U561" s="152">
        <v>45614</v>
      </c>
      <c r="V561" s="152">
        <v>45615</v>
      </c>
      <c r="W561" s="2">
        <f>VLOOKUP(Table1[[#This Row],[Status]],Auxiliar!$B$16:$D$24,3,0)*Table1[[#This Row],[Estimação (horas)]]</f>
        <v>4</v>
      </c>
      <c r="X561" s="2"/>
    </row>
    <row r="562" spans="2:24" ht="17.7" customHeight="1" x14ac:dyDescent="0.25">
      <c r="B562" s="2" t="s">
        <v>26</v>
      </c>
      <c r="C562" s="2" t="s">
        <v>311</v>
      </c>
      <c r="D562" s="2" t="s">
        <v>327</v>
      </c>
      <c r="E562" s="2" t="s">
        <v>38</v>
      </c>
      <c r="F562" s="2" t="s">
        <v>326</v>
      </c>
      <c r="G562" s="2" t="s">
        <v>246</v>
      </c>
      <c r="H562" s="57" t="str">
        <f>Table1[[#This Row],[Tabela]]&amp;Table1[[#This Row],[Campo]]</f>
        <v>modesg_out_empr_info_nfincca_trnvr_ttl_elgbl</v>
      </c>
      <c r="I562" s="2" t="s">
        <v>1927</v>
      </c>
      <c r="J562" s="43">
        <f>VLOOKUP(Table1[[#This Row],[Status]],Auxiliar!$B$16:$C$24,2,0)</f>
        <v>2</v>
      </c>
      <c r="K562" s="2" t="s">
        <v>1255</v>
      </c>
      <c r="L562" s="29" t="s">
        <v>1258</v>
      </c>
      <c r="M562" s="21" t="s">
        <v>1251</v>
      </c>
      <c r="N562" s="48">
        <v>45618</v>
      </c>
      <c r="O562" s="21">
        <f>INDEX(Auxiliar!$D$5:$F$13,MATCH(Table1[[#This Row],[Tipologia_Testes]],Auxiliar!$B$5:$B$13,0),MATCH(Table1[[#This Row],[Complexidade]],Auxiliar!$D$4:$F$4,0))</f>
        <v>0.1</v>
      </c>
      <c r="P562" s="2"/>
      <c r="Q562" s="2"/>
      <c r="R562" s="152">
        <v>45561</v>
      </c>
      <c r="S562" s="152"/>
      <c r="T562" s="152">
        <v>45561</v>
      </c>
      <c r="U562" s="152">
        <v>45614</v>
      </c>
      <c r="V562" s="152">
        <v>45615</v>
      </c>
      <c r="W562" s="2">
        <f>VLOOKUP(Table1[[#This Row],[Status]],Auxiliar!$B$16:$D$24,3,0)*Table1[[#This Row],[Estimação (horas)]]</f>
        <v>0.05</v>
      </c>
      <c r="X562" s="2"/>
    </row>
    <row r="563" spans="2:24" ht="17.7" customHeight="1" x14ac:dyDescent="0.25">
      <c r="B563" s="2" t="s">
        <v>26</v>
      </c>
      <c r="C563" s="2" t="s">
        <v>311</v>
      </c>
      <c r="D563" s="2" t="s">
        <v>327</v>
      </c>
      <c r="E563" s="2" t="s">
        <v>38</v>
      </c>
      <c r="F563" s="2" t="s">
        <v>326</v>
      </c>
      <c r="G563" s="2" t="s">
        <v>248</v>
      </c>
      <c r="H563" s="57" t="str">
        <f>Table1[[#This Row],[Tabela]]&amp;Table1[[#This Row],[Campo]]</f>
        <v>modesg_out_empr_info_nfincca_turnover_own_prfrmnce_algnd</v>
      </c>
      <c r="I563" s="2" t="s">
        <v>1927</v>
      </c>
      <c r="J563" s="43">
        <f>VLOOKUP(Table1[[#This Row],[Status]],Auxiliar!$B$16:$C$24,2,0)</f>
        <v>2</v>
      </c>
      <c r="K563" s="2" t="s">
        <v>1252</v>
      </c>
      <c r="L563" s="29" t="s">
        <v>1258</v>
      </c>
      <c r="M563" s="21" t="s">
        <v>1251</v>
      </c>
      <c r="N563" s="48">
        <v>45618</v>
      </c>
      <c r="O563" s="21">
        <f>INDEX(Auxiliar!$D$5:$F$13,MATCH(Table1[[#This Row],[Tipologia_Testes]],Auxiliar!$B$5:$B$13,0),MATCH(Table1[[#This Row],[Complexidade]],Auxiliar!$D$4:$F$4,0))</f>
        <v>8</v>
      </c>
      <c r="P563" s="2"/>
      <c r="Q563" s="2"/>
      <c r="R563" s="152">
        <v>45561</v>
      </c>
      <c r="S563" s="152"/>
      <c r="T563" s="152">
        <v>45561</v>
      </c>
      <c r="U563" s="152">
        <v>45614</v>
      </c>
      <c r="V563" s="152">
        <v>45615</v>
      </c>
      <c r="W563" s="2">
        <f>VLOOKUP(Table1[[#This Row],[Status]],Auxiliar!$B$16:$D$24,3,0)*Table1[[#This Row],[Estimação (horas)]]</f>
        <v>4</v>
      </c>
      <c r="X563" s="2"/>
    </row>
    <row r="564" spans="2:24" ht="17.7" customHeight="1" x14ac:dyDescent="0.25">
      <c r="B564" s="2" t="s">
        <v>26</v>
      </c>
      <c r="C564" s="2" t="s">
        <v>311</v>
      </c>
      <c r="D564" s="2" t="s">
        <v>327</v>
      </c>
      <c r="E564" s="2" t="s">
        <v>38</v>
      </c>
      <c r="F564" s="2" t="s">
        <v>326</v>
      </c>
      <c r="G564" s="2" t="s">
        <v>248</v>
      </c>
      <c r="H564" s="57" t="str">
        <f>Table1[[#This Row],[Tabela]]&amp;Table1[[#This Row],[Campo]]</f>
        <v>modesg_out_empr_info_nfincca_turnover_own_prfrmnce_algnd</v>
      </c>
      <c r="I564" s="2" t="s">
        <v>1927</v>
      </c>
      <c r="J564" s="43">
        <f>VLOOKUP(Table1[[#This Row],[Status]],Auxiliar!$B$16:$C$24,2,0)</f>
        <v>2</v>
      </c>
      <c r="K564" s="2" t="s">
        <v>1253</v>
      </c>
      <c r="L564" s="29" t="s">
        <v>1258</v>
      </c>
      <c r="M564" s="21" t="s">
        <v>1251</v>
      </c>
      <c r="N564" s="48">
        <v>45618</v>
      </c>
      <c r="O564" s="21">
        <f>INDEX(Auxiliar!$D$5:$F$13,MATCH(Table1[[#This Row],[Tipologia_Testes]],Auxiliar!$B$5:$B$13,0),MATCH(Table1[[#This Row],[Complexidade]],Auxiliar!$D$4:$F$4,0))</f>
        <v>8</v>
      </c>
      <c r="P564" s="2"/>
      <c r="Q564" s="2"/>
      <c r="R564" s="152">
        <v>45561</v>
      </c>
      <c r="S564" s="152"/>
      <c r="T564" s="152">
        <v>45561</v>
      </c>
      <c r="U564" s="152">
        <v>45614</v>
      </c>
      <c r="V564" s="152">
        <v>45615</v>
      </c>
      <c r="W564" s="2">
        <f>VLOOKUP(Table1[[#This Row],[Status]],Auxiliar!$B$16:$D$24,3,0)*Table1[[#This Row],[Estimação (horas)]]</f>
        <v>4</v>
      </c>
      <c r="X564" s="2"/>
    </row>
    <row r="565" spans="2:24" ht="17.7" customHeight="1" x14ac:dyDescent="0.25">
      <c r="B565" s="2" t="s">
        <v>26</v>
      </c>
      <c r="C565" s="2" t="s">
        <v>311</v>
      </c>
      <c r="D565" s="2" t="s">
        <v>327</v>
      </c>
      <c r="E565" s="2" t="s">
        <v>38</v>
      </c>
      <c r="F565" s="2" t="s">
        <v>326</v>
      </c>
      <c r="G565" s="2" t="s">
        <v>248</v>
      </c>
      <c r="H565" s="57" t="str">
        <f>Table1[[#This Row],[Tabela]]&amp;Table1[[#This Row],[Campo]]</f>
        <v>modesg_out_empr_info_nfincca_turnover_own_prfrmnce_algnd</v>
      </c>
      <c r="I565" s="2" t="s">
        <v>1927</v>
      </c>
      <c r="J565" s="43">
        <f>VLOOKUP(Table1[[#This Row],[Status]],Auxiliar!$B$16:$C$24,2,0)</f>
        <v>2</v>
      </c>
      <c r="K565" s="2" t="s">
        <v>1255</v>
      </c>
      <c r="L565" s="29" t="s">
        <v>1258</v>
      </c>
      <c r="M565" s="21" t="s">
        <v>1251</v>
      </c>
      <c r="N565" s="48">
        <v>45618</v>
      </c>
      <c r="O565" s="21">
        <f>INDEX(Auxiliar!$D$5:$F$13,MATCH(Table1[[#This Row],[Tipologia_Testes]],Auxiliar!$B$5:$B$13,0),MATCH(Table1[[#This Row],[Complexidade]],Auxiliar!$D$4:$F$4,0))</f>
        <v>0.1</v>
      </c>
      <c r="P565" s="2"/>
      <c r="Q565" s="2"/>
      <c r="R565" s="152">
        <v>45561</v>
      </c>
      <c r="S565" s="152"/>
      <c r="T565" s="152">
        <v>45561</v>
      </c>
      <c r="U565" s="152">
        <v>45614</v>
      </c>
      <c r="V565" s="152">
        <v>45615</v>
      </c>
      <c r="W565" s="2">
        <f>VLOOKUP(Table1[[#This Row],[Status]],Auxiliar!$B$16:$D$24,3,0)*Table1[[#This Row],[Estimação (horas)]]</f>
        <v>0.05</v>
      </c>
      <c r="X565" s="2"/>
    </row>
    <row r="566" spans="2:24" ht="17.7" customHeight="1" x14ac:dyDescent="0.25">
      <c r="B566" s="2" t="s">
        <v>26</v>
      </c>
      <c r="C566" s="2" t="s">
        <v>311</v>
      </c>
      <c r="D566" s="2" t="s">
        <v>327</v>
      </c>
      <c r="E566" s="2" t="s">
        <v>38</v>
      </c>
      <c r="F566" s="2" t="s">
        <v>326</v>
      </c>
      <c r="G566" s="2" t="s">
        <v>257</v>
      </c>
      <c r="H566" s="57" t="str">
        <f>Table1[[#This Row],[Tabela]]&amp;Table1[[#This Row],[Campo]]</f>
        <v>modesg_out_empr_info_nfinccm_capex_enblng_algnd</v>
      </c>
      <c r="I566" s="2" t="s">
        <v>1927</v>
      </c>
      <c r="J566" s="43">
        <f>VLOOKUP(Table1[[#This Row],[Status]],Auxiliar!$B$16:$C$24,2,0)</f>
        <v>2</v>
      </c>
      <c r="K566" s="2" t="s">
        <v>1252</v>
      </c>
      <c r="L566" s="29" t="s">
        <v>1258</v>
      </c>
      <c r="M566" s="21" t="s">
        <v>1251</v>
      </c>
      <c r="N566" s="48">
        <v>45618</v>
      </c>
      <c r="O566" s="21">
        <f>INDEX(Auxiliar!$D$5:$F$13,MATCH(Table1[[#This Row],[Tipologia_Testes]],Auxiliar!$B$5:$B$13,0),MATCH(Table1[[#This Row],[Complexidade]],Auxiliar!$D$4:$F$4,0))</f>
        <v>8</v>
      </c>
      <c r="P566" s="2"/>
      <c r="Q566" s="2"/>
      <c r="R566" s="152">
        <v>45561</v>
      </c>
      <c r="S566" s="152"/>
      <c r="T566" s="152">
        <v>45561</v>
      </c>
      <c r="U566" s="152">
        <v>45614</v>
      </c>
      <c r="V566" s="152">
        <v>45615</v>
      </c>
      <c r="W566" s="2">
        <f>VLOOKUP(Table1[[#This Row],[Status]],Auxiliar!$B$16:$D$24,3,0)*Table1[[#This Row],[Estimação (horas)]]</f>
        <v>4</v>
      </c>
      <c r="X566" s="2"/>
    </row>
    <row r="567" spans="2:24" ht="17.7" customHeight="1" x14ac:dyDescent="0.25">
      <c r="B567" s="2" t="s">
        <v>26</v>
      </c>
      <c r="C567" s="2" t="s">
        <v>311</v>
      </c>
      <c r="D567" s="2" t="s">
        <v>327</v>
      </c>
      <c r="E567" s="2" t="s">
        <v>38</v>
      </c>
      <c r="F567" s="2" t="s">
        <v>326</v>
      </c>
      <c r="G567" s="2" t="s">
        <v>257</v>
      </c>
      <c r="H567" s="57" t="str">
        <f>Table1[[#This Row],[Tabela]]&amp;Table1[[#This Row],[Campo]]</f>
        <v>modesg_out_empr_info_nfinccm_capex_enblng_algnd</v>
      </c>
      <c r="I567" s="2" t="s">
        <v>1927</v>
      </c>
      <c r="J567" s="43">
        <f>VLOOKUP(Table1[[#This Row],[Status]],Auxiliar!$B$16:$C$24,2,0)</f>
        <v>2</v>
      </c>
      <c r="K567" s="2" t="s">
        <v>1253</v>
      </c>
      <c r="L567" s="29" t="s">
        <v>1258</v>
      </c>
      <c r="M567" s="21" t="s">
        <v>1251</v>
      </c>
      <c r="N567" s="48">
        <v>45618</v>
      </c>
      <c r="O567" s="21">
        <f>INDEX(Auxiliar!$D$5:$F$13,MATCH(Table1[[#This Row],[Tipologia_Testes]],Auxiliar!$B$5:$B$13,0),MATCH(Table1[[#This Row],[Complexidade]],Auxiliar!$D$4:$F$4,0))</f>
        <v>8</v>
      </c>
      <c r="P567" s="2"/>
      <c r="Q567" s="2"/>
      <c r="R567" s="152">
        <v>45561</v>
      </c>
      <c r="S567" s="152"/>
      <c r="T567" s="152">
        <v>45561</v>
      </c>
      <c r="U567" s="152">
        <v>45614</v>
      </c>
      <c r="V567" s="152">
        <v>45615</v>
      </c>
      <c r="W567" s="2">
        <f>VLOOKUP(Table1[[#This Row],[Status]],Auxiliar!$B$16:$D$24,3,0)*Table1[[#This Row],[Estimação (horas)]]</f>
        <v>4</v>
      </c>
      <c r="X567" s="2"/>
    </row>
    <row r="568" spans="2:24" ht="17.7" customHeight="1" x14ac:dyDescent="0.25">
      <c r="B568" s="2" t="s">
        <v>26</v>
      </c>
      <c r="C568" s="2" t="s">
        <v>311</v>
      </c>
      <c r="D568" s="2" t="s">
        <v>327</v>
      </c>
      <c r="E568" s="2" t="s">
        <v>38</v>
      </c>
      <c r="F568" s="2" t="s">
        <v>326</v>
      </c>
      <c r="G568" s="2" t="s">
        <v>257</v>
      </c>
      <c r="H568" s="57" t="str">
        <f>Table1[[#This Row],[Tabela]]&amp;Table1[[#This Row],[Campo]]</f>
        <v>modesg_out_empr_info_nfinccm_capex_enblng_algnd</v>
      </c>
      <c r="I568" s="2" t="s">
        <v>1927</v>
      </c>
      <c r="J568" s="43">
        <f>VLOOKUP(Table1[[#This Row],[Status]],Auxiliar!$B$16:$C$24,2,0)</f>
        <v>2</v>
      </c>
      <c r="K568" s="2" t="s">
        <v>1255</v>
      </c>
      <c r="L568" s="29" t="s">
        <v>1258</v>
      </c>
      <c r="M568" s="21" t="s">
        <v>1251</v>
      </c>
      <c r="N568" s="48">
        <v>45618</v>
      </c>
      <c r="O568" s="21">
        <f>INDEX(Auxiliar!$D$5:$F$13,MATCH(Table1[[#This Row],[Tipologia_Testes]],Auxiliar!$B$5:$B$13,0),MATCH(Table1[[#This Row],[Complexidade]],Auxiliar!$D$4:$F$4,0))</f>
        <v>0.1</v>
      </c>
      <c r="P568" s="2"/>
      <c r="Q568" s="2"/>
      <c r="R568" s="152">
        <v>45561</v>
      </c>
      <c r="S568" s="152"/>
      <c r="T568" s="152">
        <v>45561</v>
      </c>
      <c r="U568" s="152">
        <v>45614</v>
      </c>
      <c r="V568" s="152">
        <v>45615</v>
      </c>
      <c r="W568" s="2">
        <f>VLOOKUP(Table1[[#This Row],[Status]],Auxiliar!$B$16:$D$24,3,0)*Table1[[#This Row],[Estimação (horas)]]</f>
        <v>0.05</v>
      </c>
      <c r="X568" s="2"/>
    </row>
    <row r="569" spans="2:24" ht="17.7" customHeight="1" x14ac:dyDescent="0.25">
      <c r="B569" s="2" t="s">
        <v>26</v>
      </c>
      <c r="C569" s="2" t="s">
        <v>311</v>
      </c>
      <c r="D569" s="2" t="s">
        <v>327</v>
      </c>
      <c r="E569" s="2" t="s">
        <v>38</v>
      </c>
      <c r="F569" s="2" t="s">
        <v>326</v>
      </c>
      <c r="G569" s="2" t="s">
        <v>259</v>
      </c>
      <c r="H569" s="57" t="str">
        <f>Table1[[#This Row],[Tabela]]&amp;Table1[[#This Row],[Campo]]</f>
        <v>modesg_out_empr_info_nfinccm_capex_own_prfrmnce_algnd</v>
      </c>
      <c r="I569" s="2" t="s">
        <v>1927</v>
      </c>
      <c r="J569" s="43">
        <f>VLOOKUP(Table1[[#This Row],[Status]],Auxiliar!$B$16:$C$24,2,0)</f>
        <v>2</v>
      </c>
      <c r="K569" s="2" t="s">
        <v>1252</v>
      </c>
      <c r="L569" s="29" t="s">
        <v>1258</v>
      </c>
      <c r="M569" s="21" t="s">
        <v>1251</v>
      </c>
      <c r="N569" s="48">
        <v>45618</v>
      </c>
      <c r="O569" s="21">
        <f>INDEX(Auxiliar!$D$5:$F$13,MATCH(Table1[[#This Row],[Tipologia_Testes]],Auxiliar!$B$5:$B$13,0),MATCH(Table1[[#This Row],[Complexidade]],Auxiliar!$D$4:$F$4,0))</f>
        <v>8</v>
      </c>
      <c r="P569" s="2"/>
      <c r="Q569" s="2"/>
      <c r="R569" s="152">
        <v>45561</v>
      </c>
      <c r="S569" s="152"/>
      <c r="T569" s="152">
        <v>45561</v>
      </c>
      <c r="U569" s="152">
        <v>45614</v>
      </c>
      <c r="V569" s="152">
        <v>45615</v>
      </c>
      <c r="W569" s="2">
        <f>VLOOKUP(Table1[[#This Row],[Status]],Auxiliar!$B$16:$D$24,3,0)*Table1[[#This Row],[Estimação (horas)]]</f>
        <v>4</v>
      </c>
      <c r="X569" s="2"/>
    </row>
    <row r="570" spans="2:24" ht="17.7" customHeight="1" x14ac:dyDescent="0.25">
      <c r="B570" s="2" t="s">
        <v>26</v>
      </c>
      <c r="C570" s="2" t="s">
        <v>311</v>
      </c>
      <c r="D570" s="2" t="s">
        <v>327</v>
      </c>
      <c r="E570" s="2" t="s">
        <v>38</v>
      </c>
      <c r="F570" s="2" t="s">
        <v>326</v>
      </c>
      <c r="G570" s="2" t="s">
        <v>259</v>
      </c>
      <c r="H570" s="57" t="str">
        <f>Table1[[#This Row],[Tabela]]&amp;Table1[[#This Row],[Campo]]</f>
        <v>modesg_out_empr_info_nfinccm_capex_own_prfrmnce_algnd</v>
      </c>
      <c r="I570" s="2" t="s">
        <v>1927</v>
      </c>
      <c r="J570" s="43">
        <f>VLOOKUP(Table1[[#This Row],[Status]],Auxiliar!$B$16:$C$24,2,0)</f>
        <v>2</v>
      </c>
      <c r="K570" s="2" t="s">
        <v>1253</v>
      </c>
      <c r="L570" s="29" t="s">
        <v>1258</v>
      </c>
      <c r="M570" s="21" t="s">
        <v>1251</v>
      </c>
      <c r="N570" s="48">
        <v>45618</v>
      </c>
      <c r="O570" s="21">
        <f>INDEX(Auxiliar!$D$5:$F$13,MATCH(Table1[[#This Row],[Tipologia_Testes]],Auxiliar!$B$5:$B$13,0),MATCH(Table1[[#This Row],[Complexidade]],Auxiliar!$D$4:$F$4,0))</f>
        <v>8</v>
      </c>
      <c r="P570" s="2"/>
      <c r="Q570" s="2"/>
      <c r="R570" s="152">
        <v>45561</v>
      </c>
      <c r="S570" s="152"/>
      <c r="T570" s="152">
        <v>45561</v>
      </c>
      <c r="U570" s="152">
        <v>45614</v>
      </c>
      <c r="V570" s="152">
        <v>45615</v>
      </c>
      <c r="W570" s="2">
        <f>VLOOKUP(Table1[[#This Row],[Status]],Auxiliar!$B$16:$D$24,3,0)*Table1[[#This Row],[Estimação (horas)]]</f>
        <v>4</v>
      </c>
      <c r="X570" s="2"/>
    </row>
    <row r="571" spans="2:24" ht="17.7" customHeight="1" x14ac:dyDescent="0.25">
      <c r="B571" s="2" t="s">
        <v>26</v>
      </c>
      <c r="C571" s="2" t="s">
        <v>311</v>
      </c>
      <c r="D571" s="2" t="s">
        <v>327</v>
      </c>
      <c r="E571" s="2" t="s">
        <v>38</v>
      </c>
      <c r="F571" s="2" t="s">
        <v>326</v>
      </c>
      <c r="G571" s="2" t="s">
        <v>259</v>
      </c>
      <c r="H571" s="57" t="str">
        <f>Table1[[#This Row],[Tabela]]&amp;Table1[[#This Row],[Campo]]</f>
        <v>modesg_out_empr_info_nfinccm_capex_own_prfrmnce_algnd</v>
      </c>
      <c r="I571" s="2" t="s">
        <v>1927</v>
      </c>
      <c r="J571" s="43">
        <f>VLOOKUP(Table1[[#This Row],[Status]],Auxiliar!$B$16:$C$24,2,0)</f>
        <v>2</v>
      </c>
      <c r="K571" s="2" t="s">
        <v>1255</v>
      </c>
      <c r="L571" s="29" t="s">
        <v>1258</v>
      </c>
      <c r="M571" s="21" t="s">
        <v>1251</v>
      </c>
      <c r="N571" s="48">
        <v>45618</v>
      </c>
      <c r="O571" s="21">
        <f>INDEX(Auxiliar!$D$5:$F$13,MATCH(Table1[[#This Row],[Tipologia_Testes]],Auxiliar!$B$5:$B$13,0),MATCH(Table1[[#This Row],[Complexidade]],Auxiliar!$D$4:$F$4,0))</f>
        <v>0.1</v>
      </c>
      <c r="P571" s="2"/>
      <c r="Q571" s="2"/>
      <c r="R571" s="152">
        <v>45561</v>
      </c>
      <c r="S571" s="152"/>
      <c r="T571" s="152">
        <v>45561</v>
      </c>
      <c r="U571" s="152">
        <v>45614</v>
      </c>
      <c r="V571" s="152">
        <v>45615</v>
      </c>
      <c r="W571" s="2">
        <f>VLOOKUP(Table1[[#This Row],[Status]],Auxiliar!$B$16:$D$24,3,0)*Table1[[#This Row],[Estimação (horas)]]</f>
        <v>0.05</v>
      </c>
      <c r="X571" s="2"/>
    </row>
    <row r="572" spans="2:24" ht="17.7" customHeight="1" x14ac:dyDescent="0.25">
      <c r="B572" s="2" t="s">
        <v>26</v>
      </c>
      <c r="C572" s="2" t="s">
        <v>311</v>
      </c>
      <c r="D572" s="2" t="s">
        <v>327</v>
      </c>
      <c r="E572" s="2" t="s">
        <v>38</v>
      </c>
      <c r="F572" s="2" t="s">
        <v>326</v>
      </c>
      <c r="G572" s="2" t="s">
        <v>258</v>
      </c>
      <c r="H572" s="57" t="str">
        <f>Table1[[#This Row],[Tabela]]&amp;Table1[[#This Row],[Campo]]</f>
        <v>modesg_out_empr_info_nfinccm_capex_trnstn_algnd</v>
      </c>
      <c r="I572" s="2" t="s">
        <v>1927</v>
      </c>
      <c r="J572" s="43">
        <f>VLOOKUP(Table1[[#This Row],[Status]],Auxiliar!$B$16:$C$24,2,0)</f>
        <v>2</v>
      </c>
      <c r="K572" s="2" t="s">
        <v>1252</v>
      </c>
      <c r="L572" s="29" t="s">
        <v>1258</v>
      </c>
      <c r="M572" s="21" t="s">
        <v>1251</v>
      </c>
      <c r="N572" s="48">
        <v>45618</v>
      </c>
      <c r="O572" s="21">
        <f>INDEX(Auxiliar!$D$5:$F$13,MATCH(Table1[[#This Row],[Tipologia_Testes]],Auxiliar!$B$5:$B$13,0),MATCH(Table1[[#This Row],[Complexidade]],Auxiliar!$D$4:$F$4,0))</f>
        <v>8</v>
      </c>
      <c r="P572" s="2"/>
      <c r="Q572" s="2"/>
      <c r="R572" s="152">
        <v>45561</v>
      </c>
      <c r="S572" s="152"/>
      <c r="T572" s="152">
        <v>45561</v>
      </c>
      <c r="U572" s="152">
        <v>45614</v>
      </c>
      <c r="V572" s="152">
        <v>45615</v>
      </c>
      <c r="W572" s="2">
        <f>VLOOKUP(Table1[[#This Row],[Status]],Auxiliar!$B$16:$D$24,3,0)*Table1[[#This Row],[Estimação (horas)]]</f>
        <v>4</v>
      </c>
      <c r="X572" s="2"/>
    </row>
    <row r="573" spans="2:24" ht="17.7" customHeight="1" x14ac:dyDescent="0.25">
      <c r="B573" s="2" t="s">
        <v>26</v>
      </c>
      <c r="C573" s="2" t="s">
        <v>311</v>
      </c>
      <c r="D573" s="2" t="s">
        <v>327</v>
      </c>
      <c r="E573" s="2" t="s">
        <v>38</v>
      </c>
      <c r="F573" s="2" t="s">
        <v>326</v>
      </c>
      <c r="G573" s="2" t="s">
        <v>258</v>
      </c>
      <c r="H573" s="57" t="str">
        <f>Table1[[#This Row],[Tabela]]&amp;Table1[[#This Row],[Campo]]</f>
        <v>modesg_out_empr_info_nfinccm_capex_trnstn_algnd</v>
      </c>
      <c r="I573" s="2" t="s">
        <v>1927</v>
      </c>
      <c r="J573" s="43">
        <f>VLOOKUP(Table1[[#This Row],[Status]],Auxiliar!$B$16:$C$24,2,0)</f>
        <v>2</v>
      </c>
      <c r="K573" s="2" t="s">
        <v>1253</v>
      </c>
      <c r="L573" s="29" t="s">
        <v>1258</v>
      </c>
      <c r="M573" s="21" t="s">
        <v>1251</v>
      </c>
      <c r="N573" s="48">
        <v>45618</v>
      </c>
      <c r="O573" s="21">
        <f>INDEX(Auxiliar!$D$5:$F$13,MATCH(Table1[[#This Row],[Tipologia_Testes]],Auxiliar!$B$5:$B$13,0),MATCH(Table1[[#This Row],[Complexidade]],Auxiliar!$D$4:$F$4,0))</f>
        <v>8</v>
      </c>
      <c r="P573" s="2"/>
      <c r="Q573" s="2"/>
      <c r="R573" s="152">
        <v>45561</v>
      </c>
      <c r="S573" s="152"/>
      <c r="T573" s="152">
        <v>45561</v>
      </c>
      <c r="U573" s="152">
        <v>45614</v>
      </c>
      <c r="V573" s="152">
        <v>45615</v>
      </c>
      <c r="W573" s="2">
        <f>VLOOKUP(Table1[[#This Row],[Status]],Auxiliar!$B$16:$D$24,3,0)*Table1[[#This Row],[Estimação (horas)]]</f>
        <v>4</v>
      </c>
      <c r="X573" s="2"/>
    </row>
    <row r="574" spans="2:24" ht="17.7" customHeight="1" x14ac:dyDescent="0.25">
      <c r="B574" s="2" t="s">
        <v>26</v>
      </c>
      <c r="C574" s="2" t="s">
        <v>311</v>
      </c>
      <c r="D574" s="2" t="s">
        <v>327</v>
      </c>
      <c r="E574" s="2" t="s">
        <v>38</v>
      </c>
      <c r="F574" s="2" t="s">
        <v>326</v>
      </c>
      <c r="G574" s="2" t="s">
        <v>258</v>
      </c>
      <c r="H574" s="57" t="str">
        <f>Table1[[#This Row],[Tabela]]&amp;Table1[[#This Row],[Campo]]</f>
        <v>modesg_out_empr_info_nfinccm_capex_trnstn_algnd</v>
      </c>
      <c r="I574" s="2" t="s">
        <v>1927</v>
      </c>
      <c r="J574" s="43">
        <f>VLOOKUP(Table1[[#This Row],[Status]],Auxiliar!$B$16:$C$24,2,0)</f>
        <v>2</v>
      </c>
      <c r="K574" s="2" t="s">
        <v>1255</v>
      </c>
      <c r="L574" s="29" t="s">
        <v>1258</v>
      </c>
      <c r="M574" s="21" t="s">
        <v>1251</v>
      </c>
      <c r="N574" s="48">
        <v>45618</v>
      </c>
      <c r="O574" s="21">
        <f>INDEX(Auxiliar!$D$5:$F$13,MATCH(Table1[[#This Row],[Tipologia_Testes]],Auxiliar!$B$5:$B$13,0),MATCH(Table1[[#This Row],[Complexidade]],Auxiliar!$D$4:$F$4,0))</f>
        <v>0.1</v>
      </c>
      <c r="P574" s="2"/>
      <c r="Q574" s="2"/>
      <c r="R574" s="152">
        <v>45561</v>
      </c>
      <c r="S574" s="152"/>
      <c r="T574" s="152">
        <v>45561</v>
      </c>
      <c r="U574" s="152">
        <v>45614</v>
      </c>
      <c r="V574" s="152">
        <v>45615</v>
      </c>
      <c r="W574" s="2">
        <f>VLOOKUP(Table1[[#This Row],[Status]],Auxiliar!$B$16:$D$24,3,0)*Table1[[#This Row],[Estimação (horas)]]</f>
        <v>0.05</v>
      </c>
      <c r="X574" s="2"/>
    </row>
    <row r="575" spans="2:24" ht="17.7" customHeight="1" x14ac:dyDescent="0.25">
      <c r="B575" s="2" t="s">
        <v>26</v>
      </c>
      <c r="C575" s="2" t="s">
        <v>311</v>
      </c>
      <c r="D575" s="2" t="s">
        <v>327</v>
      </c>
      <c r="E575" s="2" t="s">
        <v>38</v>
      </c>
      <c r="F575" s="2" t="s">
        <v>326</v>
      </c>
      <c r="G575" s="2" t="s">
        <v>256</v>
      </c>
      <c r="H575" s="57" t="str">
        <f>Table1[[#This Row],[Tabela]]&amp;Table1[[#This Row],[Campo]]</f>
        <v>modesg_out_empr_info_nfinccm_capex_ttl_elgbl</v>
      </c>
      <c r="I575" s="2" t="s">
        <v>1927</v>
      </c>
      <c r="J575" s="43">
        <f>VLOOKUP(Table1[[#This Row],[Status]],Auxiliar!$B$16:$C$24,2,0)</f>
        <v>2</v>
      </c>
      <c r="K575" s="2" t="s">
        <v>1252</v>
      </c>
      <c r="L575" s="29" t="s">
        <v>1258</v>
      </c>
      <c r="M575" s="21" t="s">
        <v>1251</v>
      </c>
      <c r="N575" s="48">
        <v>45618</v>
      </c>
      <c r="O575" s="21">
        <f>INDEX(Auxiliar!$D$5:$F$13,MATCH(Table1[[#This Row],[Tipologia_Testes]],Auxiliar!$B$5:$B$13,0),MATCH(Table1[[#This Row],[Complexidade]],Auxiliar!$D$4:$F$4,0))</f>
        <v>8</v>
      </c>
      <c r="P575" s="2"/>
      <c r="Q575" s="2"/>
      <c r="R575" s="152">
        <v>45561</v>
      </c>
      <c r="S575" s="152"/>
      <c r="T575" s="152">
        <v>45561</v>
      </c>
      <c r="U575" s="152">
        <v>45614</v>
      </c>
      <c r="V575" s="152">
        <v>45615</v>
      </c>
      <c r="W575" s="2">
        <f>VLOOKUP(Table1[[#This Row],[Status]],Auxiliar!$B$16:$D$24,3,0)*Table1[[#This Row],[Estimação (horas)]]</f>
        <v>4</v>
      </c>
      <c r="X575" s="2"/>
    </row>
    <row r="576" spans="2:24" ht="17.7" customHeight="1" x14ac:dyDescent="0.25">
      <c r="B576" s="2" t="s">
        <v>26</v>
      </c>
      <c r="C576" s="2" t="s">
        <v>311</v>
      </c>
      <c r="D576" s="2" t="s">
        <v>327</v>
      </c>
      <c r="E576" s="2" t="s">
        <v>38</v>
      </c>
      <c r="F576" s="2" t="s">
        <v>326</v>
      </c>
      <c r="G576" s="2" t="s">
        <v>256</v>
      </c>
      <c r="H576" s="57" t="str">
        <f>Table1[[#This Row],[Tabela]]&amp;Table1[[#This Row],[Campo]]</f>
        <v>modesg_out_empr_info_nfinccm_capex_ttl_elgbl</v>
      </c>
      <c r="I576" s="2" t="s">
        <v>1927</v>
      </c>
      <c r="J576" s="43">
        <f>VLOOKUP(Table1[[#This Row],[Status]],Auxiliar!$B$16:$C$24,2,0)</f>
        <v>2</v>
      </c>
      <c r="K576" s="2" t="s">
        <v>1253</v>
      </c>
      <c r="L576" s="29" t="s">
        <v>1258</v>
      </c>
      <c r="M576" s="21" t="s">
        <v>1251</v>
      </c>
      <c r="N576" s="48">
        <v>45618</v>
      </c>
      <c r="O576" s="21">
        <f>INDEX(Auxiliar!$D$5:$F$13,MATCH(Table1[[#This Row],[Tipologia_Testes]],Auxiliar!$B$5:$B$13,0),MATCH(Table1[[#This Row],[Complexidade]],Auxiliar!$D$4:$F$4,0))</f>
        <v>8</v>
      </c>
      <c r="P576" s="2"/>
      <c r="Q576" s="2"/>
      <c r="R576" s="152">
        <v>45561</v>
      </c>
      <c r="S576" s="152"/>
      <c r="T576" s="152">
        <v>45561</v>
      </c>
      <c r="U576" s="152">
        <v>45614</v>
      </c>
      <c r="V576" s="152">
        <v>45615</v>
      </c>
      <c r="W576" s="2">
        <f>VLOOKUP(Table1[[#This Row],[Status]],Auxiliar!$B$16:$D$24,3,0)*Table1[[#This Row],[Estimação (horas)]]</f>
        <v>4</v>
      </c>
      <c r="X576" s="2"/>
    </row>
    <row r="577" spans="2:24" ht="17.7" customHeight="1" x14ac:dyDescent="0.25">
      <c r="B577" s="2" t="s">
        <v>26</v>
      </c>
      <c r="C577" s="2" t="s">
        <v>311</v>
      </c>
      <c r="D577" s="2" t="s">
        <v>327</v>
      </c>
      <c r="E577" s="2" t="s">
        <v>38</v>
      </c>
      <c r="F577" s="2" t="s">
        <v>326</v>
      </c>
      <c r="G577" s="2" t="s">
        <v>256</v>
      </c>
      <c r="H577" s="57" t="str">
        <f>Table1[[#This Row],[Tabela]]&amp;Table1[[#This Row],[Campo]]</f>
        <v>modesg_out_empr_info_nfinccm_capex_ttl_elgbl</v>
      </c>
      <c r="I577" s="2" t="s">
        <v>1927</v>
      </c>
      <c r="J577" s="43">
        <f>VLOOKUP(Table1[[#This Row],[Status]],Auxiliar!$B$16:$C$24,2,0)</f>
        <v>2</v>
      </c>
      <c r="K577" s="2" t="s">
        <v>1255</v>
      </c>
      <c r="L577" s="29" t="s">
        <v>1258</v>
      </c>
      <c r="M577" s="21" t="s">
        <v>1251</v>
      </c>
      <c r="N577" s="48">
        <v>45618</v>
      </c>
      <c r="O577" s="21">
        <f>INDEX(Auxiliar!$D$5:$F$13,MATCH(Table1[[#This Row],[Tipologia_Testes]],Auxiliar!$B$5:$B$13,0),MATCH(Table1[[#This Row],[Complexidade]],Auxiliar!$D$4:$F$4,0))</f>
        <v>0.1</v>
      </c>
      <c r="P577" s="2"/>
      <c r="Q577" s="2"/>
      <c r="R577" s="152">
        <v>45561</v>
      </c>
      <c r="S577" s="152"/>
      <c r="T577" s="152">
        <v>45561</v>
      </c>
      <c r="U577" s="152">
        <v>45614</v>
      </c>
      <c r="V577" s="152">
        <v>45615</v>
      </c>
      <c r="W577" s="2">
        <f>VLOOKUP(Table1[[#This Row],[Status]],Auxiliar!$B$16:$D$24,3,0)*Table1[[#This Row],[Estimação (horas)]]</f>
        <v>0.05</v>
      </c>
      <c r="X577" s="2"/>
    </row>
    <row r="578" spans="2:24" ht="17.7" customHeight="1" x14ac:dyDescent="0.25">
      <c r="B578" s="2" t="s">
        <v>26</v>
      </c>
      <c r="C578" s="2" t="s">
        <v>311</v>
      </c>
      <c r="D578" s="2" t="s">
        <v>327</v>
      </c>
      <c r="E578" s="2" t="s">
        <v>38</v>
      </c>
      <c r="F578" s="2" t="s">
        <v>326</v>
      </c>
      <c r="G578" s="2" t="s">
        <v>253</v>
      </c>
      <c r="H578" s="57" t="str">
        <f>Table1[[#This Row],[Tabela]]&amp;Table1[[#This Row],[Campo]]</f>
        <v>modesg_out_empr_info_nfinccm_trnvr_enblng_algnd</v>
      </c>
      <c r="I578" s="2" t="s">
        <v>1927</v>
      </c>
      <c r="J578" s="43">
        <f>VLOOKUP(Table1[[#This Row],[Status]],Auxiliar!$B$16:$C$24,2,0)</f>
        <v>2</v>
      </c>
      <c r="K578" s="2" t="s">
        <v>1252</v>
      </c>
      <c r="L578" s="29" t="s">
        <v>1258</v>
      </c>
      <c r="M578" s="21" t="s">
        <v>1251</v>
      </c>
      <c r="N578" s="48">
        <v>45618</v>
      </c>
      <c r="O578" s="21">
        <f>INDEX(Auxiliar!$D$5:$F$13,MATCH(Table1[[#This Row],[Tipologia_Testes]],Auxiliar!$B$5:$B$13,0),MATCH(Table1[[#This Row],[Complexidade]],Auxiliar!$D$4:$F$4,0))</f>
        <v>8</v>
      </c>
      <c r="P578" s="2"/>
      <c r="Q578" s="2"/>
      <c r="R578" s="152">
        <v>45561</v>
      </c>
      <c r="S578" s="152"/>
      <c r="T578" s="152">
        <v>45561</v>
      </c>
      <c r="U578" s="152">
        <v>45614</v>
      </c>
      <c r="V578" s="152">
        <v>45615</v>
      </c>
      <c r="W578" s="2">
        <f>VLOOKUP(Table1[[#This Row],[Status]],Auxiliar!$B$16:$D$24,3,0)*Table1[[#This Row],[Estimação (horas)]]</f>
        <v>4</v>
      </c>
      <c r="X578" s="2"/>
    </row>
    <row r="579" spans="2:24" ht="17.7" customHeight="1" x14ac:dyDescent="0.25">
      <c r="B579" s="2" t="s">
        <v>26</v>
      </c>
      <c r="C579" s="2" t="s">
        <v>311</v>
      </c>
      <c r="D579" s="2" t="s">
        <v>327</v>
      </c>
      <c r="E579" s="2" t="s">
        <v>38</v>
      </c>
      <c r="F579" s="2" t="s">
        <v>326</v>
      </c>
      <c r="G579" s="2" t="s">
        <v>253</v>
      </c>
      <c r="H579" s="57" t="str">
        <f>Table1[[#This Row],[Tabela]]&amp;Table1[[#This Row],[Campo]]</f>
        <v>modesg_out_empr_info_nfinccm_trnvr_enblng_algnd</v>
      </c>
      <c r="I579" s="2" t="s">
        <v>1927</v>
      </c>
      <c r="J579" s="43">
        <f>VLOOKUP(Table1[[#This Row],[Status]],Auxiliar!$B$16:$C$24,2,0)</f>
        <v>2</v>
      </c>
      <c r="K579" s="2" t="s">
        <v>1253</v>
      </c>
      <c r="L579" s="29" t="s">
        <v>1258</v>
      </c>
      <c r="M579" s="21" t="s">
        <v>1251</v>
      </c>
      <c r="N579" s="48">
        <v>45618</v>
      </c>
      <c r="O579" s="21">
        <f>INDEX(Auxiliar!$D$5:$F$13,MATCH(Table1[[#This Row],[Tipologia_Testes]],Auxiliar!$B$5:$B$13,0),MATCH(Table1[[#This Row],[Complexidade]],Auxiliar!$D$4:$F$4,0))</f>
        <v>8</v>
      </c>
      <c r="P579" s="2"/>
      <c r="Q579" s="2"/>
      <c r="R579" s="152">
        <v>45561</v>
      </c>
      <c r="S579" s="152"/>
      <c r="T579" s="152">
        <v>45561</v>
      </c>
      <c r="U579" s="152">
        <v>45614</v>
      </c>
      <c r="V579" s="152">
        <v>45615</v>
      </c>
      <c r="W579" s="2">
        <f>VLOOKUP(Table1[[#This Row],[Status]],Auxiliar!$B$16:$D$24,3,0)*Table1[[#This Row],[Estimação (horas)]]</f>
        <v>4</v>
      </c>
      <c r="X579" s="2"/>
    </row>
    <row r="580" spans="2:24" ht="17.7" customHeight="1" x14ac:dyDescent="0.25">
      <c r="B580" s="2" t="s">
        <v>26</v>
      </c>
      <c r="C580" s="2" t="s">
        <v>311</v>
      </c>
      <c r="D580" s="2" t="s">
        <v>327</v>
      </c>
      <c r="E580" s="2" t="s">
        <v>38</v>
      </c>
      <c r="F580" s="2" t="s">
        <v>326</v>
      </c>
      <c r="G580" s="2" t="s">
        <v>253</v>
      </c>
      <c r="H580" s="57" t="str">
        <f>Table1[[#This Row],[Tabela]]&amp;Table1[[#This Row],[Campo]]</f>
        <v>modesg_out_empr_info_nfinccm_trnvr_enblng_algnd</v>
      </c>
      <c r="I580" s="2" t="s">
        <v>1927</v>
      </c>
      <c r="J580" s="43">
        <f>VLOOKUP(Table1[[#This Row],[Status]],Auxiliar!$B$16:$C$24,2,0)</f>
        <v>2</v>
      </c>
      <c r="K580" s="2" t="s">
        <v>1255</v>
      </c>
      <c r="L580" s="29" t="s">
        <v>1258</v>
      </c>
      <c r="M580" s="21" t="s">
        <v>1251</v>
      </c>
      <c r="N580" s="48">
        <v>45618</v>
      </c>
      <c r="O580" s="21">
        <f>INDEX(Auxiliar!$D$5:$F$13,MATCH(Table1[[#This Row],[Tipologia_Testes]],Auxiliar!$B$5:$B$13,0),MATCH(Table1[[#This Row],[Complexidade]],Auxiliar!$D$4:$F$4,0))</f>
        <v>0.1</v>
      </c>
      <c r="P580" s="2"/>
      <c r="Q580" s="2"/>
      <c r="R580" s="152">
        <v>45561</v>
      </c>
      <c r="S580" s="152"/>
      <c r="T580" s="152">
        <v>45561</v>
      </c>
      <c r="U580" s="152">
        <v>45614</v>
      </c>
      <c r="V580" s="152">
        <v>45615</v>
      </c>
      <c r="W580" s="2">
        <f>VLOOKUP(Table1[[#This Row],[Status]],Auxiliar!$B$16:$D$24,3,0)*Table1[[#This Row],[Estimação (horas)]]</f>
        <v>0.05</v>
      </c>
      <c r="X580" s="2"/>
    </row>
    <row r="581" spans="2:24" ht="17.7" customHeight="1" x14ac:dyDescent="0.25">
      <c r="B581" s="2" t="s">
        <v>26</v>
      </c>
      <c r="C581" s="2" t="s">
        <v>311</v>
      </c>
      <c r="D581" s="2" t="s">
        <v>327</v>
      </c>
      <c r="E581" s="2" t="s">
        <v>38</v>
      </c>
      <c r="F581" s="2" t="s">
        <v>326</v>
      </c>
      <c r="G581" s="2" t="s">
        <v>255</v>
      </c>
      <c r="H581" s="57" t="str">
        <f>Table1[[#This Row],[Tabela]]&amp;Table1[[#This Row],[Campo]]</f>
        <v>modesg_out_empr_info_nfinccm_trnvr_own_prfrmnce_algnd</v>
      </c>
      <c r="I581" s="2" t="s">
        <v>1927</v>
      </c>
      <c r="J581" s="43">
        <f>VLOOKUP(Table1[[#This Row],[Status]],Auxiliar!$B$16:$C$24,2,0)</f>
        <v>2</v>
      </c>
      <c r="K581" s="2" t="s">
        <v>1252</v>
      </c>
      <c r="L581" s="29" t="s">
        <v>1258</v>
      </c>
      <c r="M581" s="21" t="s">
        <v>1251</v>
      </c>
      <c r="N581" s="48">
        <v>45618</v>
      </c>
      <c r="O581" s="21">
        <f>INDEX(Auxiliar!$D$5:$F$13,MATCH(Table1[[#This Row],[Tipologia_Testes]],Auxiliar!$B$5:$B$13,0),MATCH(Table1[[#This Row],[Complexidade]],Auxiliar!$D$4:$F$4,0))</f>
        <v>8</v>
      </c>
      <c r="P581" s="2"/>
      <c r="Q581" s="2"/>
      <c r="R581" s="152">
        <v>45561</v>
      </c>
      <c r="S581" s="152"/>
      <c r="T581" s="152">
        <v>45561</v>
      </c>
      <c r="U581" s="152">
        <v>45614</v>
      </c>
      <c r="V581" s="152">
        <v>45615</v>
      </c>
      <c r="W581" s="2">
        <f>VLOOKUP(Table1[[#This Row],[Status]],Auxiliar!$B$16:$D$24,3,0)*Table1[[#This Row],[Estimação (horas)]]</f>
        <v>4</v>
      </c>
      <c r="X581" s="2"/>
    </row>
    <row r="582" spans="2:24" ht="17.7" customHeight="1" x14ac:dyDescent="0.25">
      <c r="B582" s="2" t="s">
        <v>26</v>
      </c>
      <c r="C582" s="2" t="s">
        <v>311</v>
      </c>
      <c r="D582" s="2" t="s">
        <v>327</v>
      </c>
      <c r="E582" s="2" t="s">
        <v>38</v>
      </c>
      <c r="F582" s="2" t="s">
        <v>326</v>
      </c>
      <c r="G582" s="2" t="s">
        <v>255</v>
      </c>
      <c r="H582" s="57" t="str">
        <f>Table1[[#This Row],[Tabela]]&amp;Table1[[#This Row],[Campo]]</f>
        <v>modesg_out_empr_info_nfinccm_trnvr_own_prfrmnce_algnd</v>
      </c>
      <c r="I582" s="2" t="s">
        <v>1927</v>
      </c>
      <c r="J582" s="43">
        <f>VLOOKUP(Table1[[#This Row],[Status]],Auxiliar!$B$16:$C$24,2,0)</f>
        <v>2</v>
      </c>
      <c r="K582" s="2" t="s">
        <v>1253</v>
      </c>
      <c r="L582" s="29" t="s">
        <v>1258</v>
      </c>
      <c r="M582" s="21" t="s">
        <v>1251</v>
      </c>
      <c r="N582" s="48">
        <v>45618</v>
      </c>
      <c r="O582" s="21">
        <f>INDEX(Auxiliar!$D$5:$F$13,MATCH(Table1[[#This Row],[Tipologia_Testes]],Auxiliar!$B$5:$B$13,0),MATCH(Table1[[#This Row],[Complexidade]],Auxiliar!$D$4:$F$4,0))</f>
        <v>8</v>
      </c>
      <c r="P582" s="2"/>
      <c r="Q582" s="2"/>
      <c r="R582" s="152">
        <v>45561</v>
      </c>
      <c r="S582" s="152"/>
      <c r="T582" s="152">
        <v>45561</v>
      </c>
      <c r="U582" s="152">
        <v>45614</v>
      </c>
      <c r="V582" s="152">
        <v>45615</v>
      </c>
      <c r="W582" s="2">
        <f>VLOOKUP(Table1[[#This Row],[Status]],Auxiliar!$B$16:$D$24,3,0)*Table1[[#This Row],[Estimação (horas)]]</f>
        <v>4</v>
      </c>
      <c r="X582" s="2"/>
    </row>
    <row r="583" spans="2:24" ht="17.7" customHeight="1" x14ac:dyDescent="0.25">
      <c r="B583" s="2" t="s">
        <v>26</v>
      </c>
      <c r="C583" s="2" t="s">
        <v>311</v>
      </c>
      <c r="D583" s="2" t="s">
        <v>327</v>
      </c>
      <c r="E583" s="2" t="s">
        <v>38</v>
      </c>
      <c r="F583" s="2" t="s">
        <v>326</v>
      </c>
      <c r="G583" s="2" t="s">
        <v>255</v>
      </c>
      <c r="H583" s="57" t="str">
        <f>Table1[[#This Row],[Tabela]]&amp;Table1[[#This Row],[Campo]]</f>
        <v>modesg_out_empr_info_nfinccm_trnvr_own_prfrmnce_algnd</v>
      </c>
      <c r="I583" s="2" t="s">
        <v>1927</v>
      </c>
      <c r="J583" s="43">
        <f>VLOOKUP(Table1[[#This Row],[Status]],Auxiliar!$B$16:$C$24,2,0)</f>
        <v>2</v>
      </c>
      <c r="K583" s="2" t="s">
        <v>1255</v>
      </c>
      <c r="L583" s="29" t="s">
        <v>1258</v>
      </c>
      <c r="M583" s="21" t="s">
        <v>1251</v>
      </c>
      <c r="N583" s="48">
        <v>45618</v>
      </c>
      <c r="O583" s="21">
        <f>INDEX(Auxiliar!$D$5:$F$13,MATCH(Table1[[#This Row],[Tipologia_Testes]],Auxiliar!$B$5:$B$13,0),MATCH(Table1[[#This Row],[Complexidade]],Auxiliar!$D$4:$F$4,0))</f>
        <v>0.1</v>
      </c>
      <c r="P583" s="2"/>
      <c r="Q583" s="2"/>
      <c r="R583" s="152">
        <v>45561</v>
      </c>
      <c r="S583" s="152"/>
      <c r="T583" s="152">
        <v>45561</v>
      </c>
      <c r="U583" s="152">
        <v>45614</v>
      </c>
      <c r="V583" s="152">
        <v>45615</v>
      </c>
      <c r="W583" s="2">
        <f>VLOOKUP(Table1[[#This Row],[Status]],Auxiliar!$B$16:$D$24,3,0)*Table1[[#This Row],[Estimação (horas)]]</f>
        <v>0.05</v>
      </c>
      <c r="X583" s="2"/>
    </row>
    <row r="584" spans="2:24" ht="17.7" customHeight="1" x14ac:dyDescent="0.25">
      <c r="B584" s="2" t="s">
        <v>26</v>
      </c>
      <c r="C584" s="2" t="s">
        <v>311</v>
      </c>
      <c r="D584" s="2" t="s">
        <v>327</v>
      </c>
      <c r="E584" s="2" t="s">
        <v>38</v>
      </c>
      <c r="F584" s="2" t="s">
        <v>326</v>
      </c>
      <c r="G584" s="2" t="s">
        <v>254</v>
      </c>
      <c r="H584" s="57" t="str">
        <f>Table1[[#This Row],[Tabela]]&amp;Table1[[#This Row],[Campo]]</f>
        <v>modesg_out_empr_info_nfinccm_trnvr_trnstn_alignd</v>
      </c>
      <c r="I584" s="2" t="s">
        <v>1927</v>
      </c>
      <c r="J584" s="43">
        <f>VLOOKUP(Table1[[#This Row],[Status]],Auxiliar!$B$16:$C$24,2,0)</f>
        <v>2</v>
      </c>
      <c r="K584" s="2" t="s">
        <v>1252</v>
      </c>
      <c r="L584" s="29" t="s">
        <v>1258</v>
      </c>
      <c r="M584" s="21" t="s">
        <v>1251</v>
      </c>
      <c r="N584" s="48">
        <v>45618</v>
      </c>
      <c r="O584" s="21">
        <f>INDEX(Auxiliar!$D$5:$F$13,MATCH(Table1[[#This Row],[Tipologia_Testes]],Auxiliar!$B$5:$B$13,0),MATCH(Table1[[#This Row],[Complexidade]],Auxiliar!$D$4:$F$4,0))</f>
        <v>8</v>
      </c>
      <c r="P584" s="2"/>
      <c r="Q584" s="2"/>
      <c r="R584" s="152">
        <v>45561</v>
      </c>
      <c r="S584" s="152"/>
      <c r="T584" s="152">
        <v>45561</v>
      </c>
      <c r="U584" s="152">
        <v>45614</v>
      </c>
      <c r="V584" s="152">
        <v>45615</v>
      </c>
      <c r="W584" s="2">
        <f>VLOOKUP(Table1[[#This Row],[Status]],Auxiliar!$B$16:$D$24,3,0)*Table1[[#This Row],[Estimação (horas)]]</f>
        <v>4</v>
      </c>
      <c r="X584" s="2"/>
    </row>
    <row r="585" spans="2:24" ht="17.7" customHeight="1" x14ac:dyDescent="0.25">
      <c r="B585" s="2" t="s">
        <v>26</v>
      </c>
      <c r="C585" s="2" t="s">
        <v>311</v>
      </c>
      <c r="D585" s="2" t="s">
        <v>327</v>
      </c>
      <c r="E585" s="2" t="s">
        <v>38</v>
      </c>
      <c r="F585" s="2" t="s">
        <v>326</v>
      </c>
      <c r="G585" s="2" t="s">
        <v>254</v>
      </c>
      <c r="H585" s="57" t="str">
        <f>Table1[[#This Row],[Tabela]]&amp;Table1[[#This Row],[Campo]]</f>
        <v>modesg_out_empr_info_nfinccm_trnvr_trnstn_alignd</v>
      </c>
      <c r="I585" s="2" t="s">
        <v>1927</v>
      </c>
      <c r="J585" s="43">
        <f>VLOOKUP(Table1[[#This Row],[Status]],Auxiliar!$B$16:$C$24,2,0)</f>
        <v>2</v>
      </c>
      <c r="K585" s="2" t="s">
        <v>1253</v>
      </c>
      <c r="L585" s="29" t="s">
        <v>1258</v>
      </c>
      <c r="M585" s="21" t="s">
        <v>1251</v>
      </c>
      <c r="N585" s="48">
        <v>45618</v>
      </c>
      <c r="O585" s="21">
        <f>INDEX(Auxiliar!$D$5:$F$13,MATCH(Table1[[#This Row],[Tipologia_Testes]],Auxiliar!$B$5:$B$13,0),MATCH(Table1[[#This Row],[Complexidade]],Auxiliar!$D$4:$F$4,0))</f>
        <v>8</v>
      </c>
      <c r="P585" s="2"/>
      <c r="Q585" s="2"/>
      <c r="R585" s="152">
        <v>45561</v>
      </c>
      <c r="S585" s="152"/>
      <c r="T585" s="152">
        <v>45561</v>
      </c>
      <c r="U585" s="152">
        <v>45614</v>
      </c>
      <c r="V585" s="152">
        <v>45615</v>
      </c>
      <c r="W585" s="2">
        <f>VLOOKUP(Table1[[#This Row],[Status]],Auxiliar!$B$16:$D$24,3,0)*Table1[[#This Row],[Estimação (horas)]]</f>
        <v>4</v>
      </c>
      <c r="X585" s="2"/>
    </row>
    <row r="586" spans="2:24" ht="17.7" customHeight="1" x14ac:dyDescent="0.25">
      <c r="B586" s="2" t="s">
        <v>26</v>
      </c>
      <c r="C586" s="2" t="s">
        <v>311</v>
      </c>
      <c r="D586" s="2" t="s">
        <v>327</v>
      </c>
      <c r="E586" s="2" t="s">
        <v>38</v>
      </c>
      <c r="F586" s="2" t="s">
        <v>326</v>
      </c>
      <c r="G586" s="2" t="s">
        <v>254</v>
      </c>
      <c r="H586" s="57" t="str">
        <f>Table1[[#This Row],[Tabela]]&amp;Table1[[#This Row],[Campo]]</f>
        <v>modesg_out_empr_info_nfinccm_trnvr_trnstn_alignd</v>
      </c>
      <c r="I586" s="2" t="s">
        <v>1927</v>
      </c>
      <c r="J586" s="43">
        <f>VLOOKUP(Table1[[#This Row],[Status]],Auxiliar!$B$16:$C$24,2,0)</f>
        <v>2</v>
      </c>
      <c r="K586" s="2" t="s">
        <v>1255</v>
      </c>
      <c r="L586" s="29" t="s">
        <v>1258</v>
      </c>
      <c r="M586" s="21" t="s">
        <v>1251</v>
      </c>
      <c r="N586" s="48">
        <v>45618</v>
      </c>
      <c r="O586" s="21">
        <f>INDEX(Auxiliar!$D$5:$F$13,MATCH(Table1[[#This Row],[Tipologia_Testes]],Auxiliar!$B$5:$B$13,0),MATCH(Table1[[#This Row],[Complexidade]],Auxiliar!$D$4:$F$4,0))</f>
        <v>0.1</v>
      </c>
      <c r="P586" s="2"/>
      <c r="Q586" s="2"/>
      <c r="R586" s="152">
        <v>45561</v>
      </c>
      <c r="S586" s="152"/>
      <c r="T586" s="152">
        <v>45561</v>
      </c>
      <c r="U586" s="152">
        <v>45614</v>
      </c>
      <c r="V586" s="152">
        <v>45615</v>
      </c>
      <c r="W586" s="2">
        <f>VLOOKUP(Table1[[#This Row],[Status]],Auxiliar!$B$16:$D$24,3,0)*Table1[[#This Row],[Estimação (horas)]]</f>
        <v>0.05</v>
      </c>
      <c r="X586" s="2"/>
    </row>
    <row r="587" spans="2:24" ht="17.7" customHeight="1" x14ac:dyDescent="0.25">
      <c r="B587" s="2" t="s">
        <v>26</v>
      </c>
      <c r="C587" s="2" t="s">
        <v>311</v>
      </c>
      <c r="D587" s="2" t="s">
        <v>327</v>
      </c>
      <c r="E587" s="2" t="s">
        <v>38</v>
      </c>
      <c r="F587" s="2" t="s">
        <v>326</v>
      </c>
      <c r="G587" s="2" t="s">
        <v>252</v>
      </c>
      <c r="H587" s="57" t="str">
        <f>Table1[[#This Row],[Tabela]]&amp;Table1[[#This Row],[Campo]]</f>
        <v>modesg_out_empr_info_nfinccm_trnvr_ttl_elgbl</v>
      </c>
      <c r="I587" s="2" t="s">
        <v>1927</v>
      </c>
      <c r="J587" s="43">
        <f>VLOOKUP(Table1[[#This Row],[Status]],Auxiliar!$B$16:$C$24,2,0)</f>
        <v>2</v>
      </c>
      <c r="K587" s="2" t="s">
        <v>1252</v>
      </c>
      <c r="L587" s="29" t="s">
        <v>1258</v>
      </c>
      <c r="M587" s="21" t="s">
        <v>1251</v>
      </c>
      <c r="N587" s="48">
        <v>45618</v>
      </c>
      <c r="O587" s="21">
        <f>INDEX(Auxiliar!$D$5:$F$13,MATCH(Table1[[#This Row],[Tipologia_Testes]],Auxiliar!$B$5:$B$13,0),MATCH(Table1[[#This Row],[Complexidade]],Auxiliar!$D$4:$F$4,0))</f>
        <v>8</v>
      </c>
      <c r="P587" s="2"/>
      <c r="Q587" s="2"/>
      <c r="R587" s="152">
        <v>45561</v>
      </c>
      <c r="S587" s="152"/>
      <c r="T587" s="152">
        <v>45561</v>
      </c>
      <c r="U587" s="152">
        <v>45614</v>
      </c>
      <c r="V587" s="152">
        <v>45615</v>
      </c>
      <c r="W587" s="2">
        <f>VLOOKUP(Table1[[#This Row],[Status]],Auxiliar!$B$16:$D$24,3,0)*Table1[[#This Row],[Estimação (horas)]]</f>
        <v>4</v>
      </c>
      <c r="X587" s="2"/>
    </row>
    <row r="588" spans="2:24" ht="17.7" customHeight="1" x14ac:dyDescent="0.25">
      <c r="B588" s="2" t="s">
        <v>26</v>
      </c>
      <c r="C588" s="2" t="s">
        <v>311</v>
      </c>
      <c r="D588" s="2" t="s">
        <v>327</v>
      </c>
      <c r="E588" s="2" t="s">
        <v>38</v>
      </c>
      <c r="F588" s="2" t="s">
        <v>326</v>
      </c>
      <c r="G588" s="2" t="s">
        <v>252</v>
      </c>
      <c r="H588" s="57" t="str">
        <f>Table1[[#This Row],[Tabela]]&amp;Table1[[#This Row],[Campo]]</f>
        <v>modesg_out_empr_info_nfinccm_trnvr_ttl_elgbl</v>
      </c>
      <c r="I588" s="2" t="s">
        <v>1927</v>
      </c>
      <c r="J588" s="43">
        <f>VLOOKUP(Table1[[#This Row],[Status]],Auxiliar!$B$16:$C$24,2,0)</f>
        <v>2</v>
      </c>
      <c r="K588" s="2" t="s">
        <v>1253</v>
      </c>
      <c r="L588" s="29" t="s">
        <v>1258</v>
      </c>
      <c r="M588" s="21" t="s">
        <v>1251</v>
      </c>
      <c r="N588" s="48">
        <v>45618</v>
      </c>
      <c r="O588" s="21">
        <f>INDEX(Auxiliar!$D$5:$F$13,MATCH(Table1[[#This Row],[Tipologia_Testes]],Auxiliar!$B$5:$B$13,0),MATCH(Table1[[#This Row],[Complexidade]],Auxiliar!$D$4:$F$4,0))</f>
        <v>8</v>
      </c>
      <c r="P588" s="2"/>
      <c r="Q588" s="2"/>
      <c r="R588" s="152">
        <v>45561</v>
      </c>
      <c r="S588" s="152"/>
      <c r="T588" s="152">
        <v>45561</v>
      </c>
      <c r="U588" s="152">
        <v>45614</v>
      </c>
      <c r="V588" s="152">
        <v>45615</v>
      </c>
      <c r="W588" s="2">
        <f>VLOOKUP(Table1[[#This Row],[Status]],Auxiliar!$B$16:$D$24,3,0)*Table1[[#This Row],[Estimação (horas)]]</f>
        <v>4</v>
      </c>
      <c r="X588" s="2"/>
    </row>
    <row r="589" spans="2:24" ht="17.7" customHeight="1" x14ac:dyDescent="0.25">
      <c r="B589" s="2" t="s">
        <v>26</v>
      </c>
      <c r="C589" s="2" t="s">
        <v>311</v>
      </c>
      <c r="D589" s="2" t="s">
        <v>327</v>
      </c>
      <c r="E589" s="2" t="s">
        <v>38</v>
      </c>
      <c r="F589" s="2" t="s">
        <v>326</v>
      </c>
      <c r="G589" s="2" t="s">
        <v>252</v>
      </c>
      <c r="H589" s="57" t="str">
        <f>Table1[[#This Row],[Tabela]]&amp;Table1[[#This Row],[Campo]]</f>
        <v>modesg_out_empr_info_nfinccm_trnvr_ttl_elgbl</v>
      </c>
      <c r="I589" s="2" t="s">
        <v>1927</v>
      </c>
      <c r="J589" s="43">
        <f>VLOOKUP(Table1[[#This Row],[Status]],Auxiliar!$B$16:$C$24,2,0)</f>
        <v>2</v>
      </c>
      <c r="K589" s="2" t="s">
        <v>1255</v>
      </c>
      <c r="L589" s="29" t="s">
        <v>1258</v>
      </c>
      <c r="M589" s="21" t="s">
        <v>1251</v>
      </c>
      <c r="N589" s="48">
        <v>45618</v>
      </c>
      <c r="O589" s="21">
        <f>INDEX(Auxiliar!$D$5:$F$13,MATCH(Table1[[#This Row],[Tipologia_Testes]],Auxiliar!$B$5:$B$13,0),MATCH(Table1[[#This Row],[Complexidade]],Auxiliar!$D$4:$F$4,0))</f>
        <v>0.1</v>
      </c>
      <c r="P589" s="2"/>
      <c r="Q589" s="2"/>
      <c r="R589" s="152">
        <v>45561</v>
      </c>
      <c r="S589" s="152"/>
      <c r="T589" s="152">
        <v>45561</v>
      </c>
      <c r="U589" s="152">
        <v>45614</v>
      </c>
      <c r="V589" s="152">
        <v>45615</v>
      </c>
      <c r="W589" s="2">
        <f>VLOOKUP(Table1[[#This Row],[Status]],Auxiliar!$B$16:$D$24,3,0)*Table1[[#This Row],[Estimação (horas)]]</f>
        <v>0.05</v>
      </c>
      <c r="X589" s="2"/>
    </row>
    <row r="590" spans="2:24" ht="17.7" customHeight="1" x14ac:dyDescent="0.25">
      <c r="B590" s="2" t="s">
        <v>26</v>
      </c>
      <c r="C590" s="2" t="s">
        <v>311</v>
      </c>
      <c r="D590" s="2" t="s">
        <v>327</v>
      </c>
      <c r="E590" s="2" t="s">
        <v>38</v>
      </c>
      <c r="F590" s="2" t="s">
        <v>326</v>
      </c>
      <c r="G590" s="2" t="s">
        <v>282</v>
      </c>
      <c r="H590" s="57" t="str">
        <f>Table1[[#This Row],[Tabela]]&amp;Table1[[#This Row],[Campo]]</f>
        <v>modesg_out_empr_info_nfincod_nace_esg</v>
      </c>
      <c r="I590" s="2" t="s">
        <v>1927</v>
      </c>
      <c r="J590" s="43">
        <f>VLOOKUP(Table1[[#This Row],[Status]],Auxiliar!$B$16:$C$24,2,0)</f>
        <v>2</v>
      </c>
      <c r="K590" s="2" t="s">
        <v>1252</v>
      </c>
      <c r="L590" s="29" t="s">
        <v>1250</v>
      </c>
      <c r="M590" s="21" t="s">
        <v>1251</v>
      </c>
      <c r="N590" s="48">
        <v>45618</v>
      </c>
      <c r="O590" s="21">
        <f>INDEX(Auxiliar!$D$5:$F$13,MATCH(Table1[[#This Row],[Tipologia_Testes]],Auxiliar!$B$5:$B$13,0),MATCH(Table1[[#This Row],[Complexidade]],Auxiliar!$D$4:$F$4,0))</f>
        <v>8</v>
      </c>
      <c r="P590" s="2"/>
      <c r="Q590" s="2"/>
      <c r="R590" s="152">
        <v>45560</v>
      </c>
      <c r="S590" s="152"/>
      <c r="T590" s="152">
        <v>45561</v>
      </c>
      <c r="U590" s="152">
        <v>45614</v>
      </c>
      <c r="V590" s="152">
        <v>45615</v>
      </c>
      <c r="W590" s="2">
        <f>VLOOKUP(Table1[[#This Row],[Status]],Auxiliar!$B$16:$D$24,3,0)*Table1[[#This Row],[Estimação (horas)]]</f>
        <v>4</v>
      </c>
      <c r="X590" s="2"/>
    </row>
    <row r="591" spans="2:24" ht="17.7" customHeight="1" x14ac:dyDescent="0.25">
      <c r="B591" s="2" t="s">
        <v>26</v>
      </c>
      <c r="C591" s="2" t="s">
        <v>311</v>
      </c>
      <c r="D591" s="2" t="s">
        <v>327</v>
      </c>
      <c r="E591" s="2" t="s">
        <v>38</v>
      </c>
      <c r="F591" s="2" t="s">
        <v>326</v>
      </c>
      <c r="G591" s="2" t="s">
        <v>282</v>
      </c>
      <c r="H591" s="57" t="str">
        <f>Table1[[#This Row],[Tabela]]&amp;Table1[[#This Row],[Campo]]</f>
        <v>modesg_out_empr_info_nfincod_nace_esg</v>
      </c>
      <c r="I591" s="2" t="s">
        <v>1927</v>
      </c>
      <c r="J591" s="43">
        <f>VLOOKUP(Table1[[#This Row],[Status]],Auxiliar!$B$16:$C$24,2,0)</f>
        <v>2</v>
      </c>
      <c r="K591" s="2" t="s">
        <v>1253</v>
      </c>
      <c r="L591" s="29" t="s">
        <v>1250</v>
      </c>
      <c r="M591" s="21" t="s">
        <v>1251</v>
      </c>
      <c r="N591" s="48">
        <v>45618</v>
      </c>
      <c r="O591" s="21">
        <f>INDEX(Auxiliar!$D$5:$F$13,MATCH(Table1[[#This Row],[Tipologia_Testes]],Auxiliar!$B$5:$B$13,0),MATCH(Table1[[#This Row],[Complexidade]],Auxiliar!$D$4:$F$4,0))</f>
        <v>8</v>
      </c>
      <c r="P591" s="2"/>
      <c r="Q591" s="2"/>
      <c r="R591" s="152">
        <v>45560</v>
      </c>
      <c r="S591" s="152"/>
      <c r="T591" s="152">
        <v>45561</v>
      </c>
      <c r="U591" s="152">
        <v>45614</v>
      </c>
      <c r="V591" s="152">
        <v>45615</v>
      </c>
      <c r="W591" s="2">
        <f>VLOOKUP(Table1[[#This Row],[Status]],Auxiliar!$B$16:$D$24,3,0)*Table1[[#This Row],[Estimação (horas)]]</f>
        <v>4</v>
      </c>
      <c r="X591" s="2"/>
    </row>
    <row r="592" spans="2:24" ht="17.7" customHeight="1" x14ac:dyDescent="0.25">
      <c r="B592" s="2" t="s">
        <v>26</v>
      </c>
      <c r="C592" s="2" t="s">
        <v>311</v>
      </c>
      <c r="D592" s="2" t="s">
        <v>327</v>
      </c>
      <c r="E592" s="2" t="s">
        <v>38</v>
      </c>
      <c r="F592" s="2" t="s">
        <v>326</v>
      </c>
      <c r="G592" s="2" t="s">
        <v>282</v>
      </c>
      <c r="H592" s="57" t="str">
        <f>Table1[[#This Row],[Tabela]]&amp;Table1[[#This Row],[Campo]]</f>
        <v>modesg_out_empr_info_nfincod_nace_esg</v>
      </c>
      <c r="I592" s="2" t="s">
        <v>1927</v>
      </c>
      <c r="J592" s="43">
        <f>VLOOKUP(Table1[[#This Row],[Status]],Auxiliar!$B$16:$C$24,2,0)</f>
        <v>2</v>
      </c>
      <c r="K592" s="2" t="s">
        <v>1255</v>
      </c>
      <c r="L592" s="29" t="s">
        <v>1250</v>
      </c>
      <c r="M592" s="21" t="s">
        <v>1251</v>
      </c>
      <c r="N592" s="48">
        <v>45618</v>
      </c>
      <c r="O592" s="21">
        <f>INDEX(Auxiliar!$D$5:$F$13,MATCH(Table1[[#This Row],[Tipologia_Testes]],Auxiliar!$B$5:$B$13,0),MATCH(Table1[[#This Row],[Complexidade]],Auxiliar!$D$4:$F$4,0))</f>
        <v>0.1</v>
      </c>
      <c r="P592" s="2"/>
      <c r="Q592" s="2"/>
      <c r="R592" s="152">
        <v>45560</v>
      </c>
      <c r="S592" s="152"/>
      <c r="T592" s="152">
        <v>45561</v>
      </c>
      <c r="U592" s="152">
        <v>45614</v>
      </c>
      <c r="V592" s="152">
        <v>45615</v>
      </c>
      <c r="W592" s="2">
        <f>VLOOKUP(Table1[[#This Row],[Status]],Auxiliar!$B$16:$D$24,3,0)*Table1[[#This Row],[Estimação (horas)]]</f>
        <v>0.05</v>
      </c>
      <c r="X592" s="2"/>
    </row>
    <row r="593" spans="2:24" ht="17.7" customHeight="1" x14ac:dyDescent="0.3">
      <c r="B593" s="2" t="s">
        <v>26</v>
      </c>
      <c r="C593" s="2" t="s">
        <v>311</v>
      </c>
      <c r="D593" s="2" t="s">
        <v>327</v>
      </c>
      <c r="E593" s="2" t="s">
        <v>38</v>
      </c>
      <c r="F593" s="2" t="s">
        <v>326</v>
      </c>
      <c r="G593" s="2" t="s">
        <v>328</v>
      </c>
      <c r="H593" s="57" t="str">
        <f>Table1[[#This Row],[Tabela]]&amp;Table1[[#This Row],[Campo]]</f>
        <v>modesg_out_empr_info_nfinflg_emprs_excl_paris</v>
      </c>
      <c r="I593" s="2" t="s">
        <v>1927</v>
      </c>
      <c r="J593" s="43">
        <f>VLOOKUP(Table1[[#This Row],[Status]],Auxiliar!$B$16:$C$24,2,0)</f>
        <v>2</v>
      </c>
      <c r="K593" s="2" t="s">
        <v>1252</v>
      </c>
      <c r="L593" s="29" t="s">
        <v>1258</v>
      </c>
      <c r="M593" s="21" t="s">
        <v>1260</v>
      </c>
      <c r="N593" s="48">
        <v>45618</v>
      </c>
      <c r="O593" s="21">
        <f>INDEX(Auxiliar!$D$5:$F$13,MATCH(Table1[[#This Row],[Tipologia_Testes]],Auxiliar!$B$5:$B$13,0),MATCH(Table1[[#This Row],[Complexidade]],Auxiliar!$D$4:$F$4,0))</f>
        <v>4</v>
      </c>
      <c r="P593" s="176" t="s">
        <v>1284</v>
      </c>
      <c r="Q593" s="2"/>
      <c r="R593" s="152">
        <v>45553</v>
      </c>
      <c r="S593" s="152"/>
      <c r="T593" s="152">
        <v>45553</v>
      </c>
      <c r="U593" s="152">
        <v>45614</v>
      </c>
      <c r="V593" s="152">
        <v>45615</v>
      </c>
      <c r="W593" s="2">
        <f>VLOOKUP(Table1[[#This Row],[Status]],Auxiliar!$B$16:$D$24,3,0)*Table1[[#This Row],[Estimação (horas)]]</f>
        <v>2</v>
      </c>
      <c r="X593" s="2"/>
    </row>
    <row r="594" spans="2:24" ht="17.7" customHeight="1" x14ac:dyDescent="0.3">
      <c r="B594" s="2" t="s">
        <v>26</v>
      </c>
      <c r="C594" s="2" t="s">
        <v>311</v>
      </c>
      <c r="D594" s="2" t="s">
        <v>327</v>
      </c>
      <c r="E594" s="2" t="s">
        <v>38</v>
      </c>
      <c r="F594" s="2" t="s">
        <v>326</v>
      </c>
      <c r="G594" s="2" t="s">
        <v>328</v>
      </c>
      <c r="H594" s="57" t="str">
        <f>Table1[[#This Row],[Tabela]]&amp;Table1[[#This Row],[Campo]]</f>
        <v>modesg_out_empr_info_nfinflg_emprs_excl_paris</v>
      </c>
      <c r="I594" s="2" t="s">
        <v>1927</v>
      </c>
      <c r="J594" s="43">
        <f>VLOOKUP(Table1[[#This Row],[Status]],Auxiliar!$B$16:$C$24,2,0)</f>
        <v>2</v>
      </c>
      <c r="K594" s="2" t="s">
        <v>1253</v>
      </c>
      <c r="L594" s="29" t="s">
        <v>1258</v>
      </c>
      <c r="M594" s="21" t="s">
        <v>1260</v>
      </c>
      <c r="N594" s="48">
        <v>45618</v>
      </c>
      <c r="O594" s="21">
        <f>INDEX(Auxiliar!$D$5:$F$13,MATCH(Table1[[#This Row],[Tipologia_Testes]],Auxiliar!$B$5:$B$13,0),MATCH(Table1[[#This Row],[Complexidade]],Auxiliar!$D$4:$F$4,0))</f>
        <v>4</v>
      </c>
      <c r="P594" s="176" t="s">
        <v>1284</v>
      </c>
      <c r="Q594" s="2"/>
      <c r="R594" s="152">
        <v>45553</v>
      </c>
      <c r="S594" s="152"/>
      <c r="T594" s="152">
        <v>45553</v>
      </c>
      <c r="U594" s="152">
        <v>45614</v>
      </c>
      <c r="V594" s="152">
        <v>45615</v>
      </c>
      <c r="W594" s="2">
        <f>VLOOKUP(Table1[[#This Row],[Status]],Auxiliar!$B$16:$D$24,3,0)*Table1[[#This Row],[Estimação (horas)]]</f>
        <v>2</v>
      </c>
      <c r="X594" s="2"/>
    </row>
    <row r="595" spans="2:24" ht="17.7" customHeight="1" x14ac:dyDescent="0.3">
      <c r="B595" s="2" t="s">
        <v>26</v>
      </c>
      <c r="C595" s="2" t="s">
        <v>311</v>
      </c>
      <c r="D595" s="2" t="s">
        <v>327</v>
      </c>
      <c r="E595" s="2" t="s">
        <v>38</v>
      </c>
      <c r="F595" s="2" t="s">
        <v>326</v>
      </c>
      <c r="G595" s="2" t="s">
        <v>328</v>
      </c>
      <c r="H595" s="57" t="str">
        <f>Table1[[#This Row],[Tabela]]&amp;Table1[[#This Row],[Campo]]</f>
        <v>modesg_out_empr_info_nfinflg_emprs_excl_paris</v>
      </c>
      <c r="I595" s="2" t="s">
        <v>1927</v>
      </c>
      <c r="J595" s="43">
        <f>VLOOKUP(Table1[[#This Row],[Status]],Auxiliar!$B$16:$C$24,2,0)</f>
        <v>2</v>
      </c>
      <c r="K595" s="2" t="s">
        <v>1255</v>
      </c>
      <c r="L595" s="29" t="s">
        <v>1258</v>
      </c>
      <c r="M595" s="21" t="s">
        <v>1260</v>
      </c>
      <c r="N595" s="48">
        <v>45618</v>
      </c>
      <c r="O595" s="21">
        <f>INDEX(Auxiliar!$D$5:$F$13,MATCH(Table1[[#This Row],[Tipologia_Testes]],Auxiliar!$B$5:$B$13,0),MATCH(Table1[[#This Row],[Complexidade]],Auxiliar!$D$4:$F$4,0))</f>
        <v>0.1</v>
      </c>
      <c r="P595" s="176" t="s">
        <v>1284</v>
      </c>
      <c r="Q595" s="2"/>
      <c r="R595" s="152">
        <v>45553</v>
      </c>
      <c r="S595" s="152"/>
      <c r="T595" s="152">
        <v>45553</v>
      </c>
      <c r="U595" s="152">
        <v>45614</v>
      </c>
      <c r="V595" s="152">
        <v>45615</v>
      </c>
      <c r="W595" s="2">
        <f>VLOOKUP(Table1[[#This Row],[Status]],Auxiliar!$B$16:$D$24,3,0)*Table1[[#This Row],[Estimação (horas)]]</f>
        <v>0.05</v>
      </c>
      <c r="X595" s="2"/>
    </row>
    <row r="596" spans="2:24" ht="17.7" customHeight="1" x14ac:dyDescent="0.3">
      <c r="B596" s="2" t="s">
        <v>26</v>
      </c>
      <c r="C596" s="2" t="s">
        <v>311</v>
      </c>
      <c r="D596" s="2" t="s">
        <v>327</v>
      </c>
      <c r="E596" s="2" t="s">
        <v>38</v>
      </c>
      <c r="F596" s="2" t="s">
        <v>326</v>
      </c>
      <c r="G596" s="2" t="s">
        <v>245</v>
      </c>
      <c r="H596" s="57" t="str">
        <f>Table1[[#This Row],[Tabela]]&amp;Table1[[#This Row],[Campo]]</f>
        <v>modesg_out_empr_info_nfinflg_nfrd</v>
      </c>
      <c r="I596" s="2" t="s">
        <v>1927</v>
      </c>
      <c r="J596" s="43">
        <f>VLOOKUP(Table1[[#This Row],[Status]],Auxiliar!$B$16:$C$24,2,0)</f>
        <v>2</v>
      </c>
      <c r="K596" s="2" t="s">
        <v>1252</v>
      </c>
      <c r="L596" s="29" t="s">
        <v>1258</v>
      </c>
      <c r="M596" s="21" t="s">
        <v>1260</v>
      </c>
      <c r="N596" s="48">
        <v>45618</v>
      </c>
      <c r="O596" s="21">
        <f>INDEX(Auxiliar!$D$5:$F$13,MATCH(Table1[[#This Row],[Tipologia_Testes]],Auxiliar!$B$5:$B$13,0),MATCH(Table1[[#This Row],[Complexidade]],Auxiliar!$D$4:$F$4,0))</f>
        <v>4</v>
      </c>
      <c r="P596" s="176" t="s">
        <v>1284</v>
      </c>
      <c r="Q596" s="2"/>
      <c r="R596" s="152">
        <v>45553</v>
      </c>
      <c r="S596" s="152"/>
      <c r="T596" s="152">
        <v>45553</v>
      </c>
      <c r="U596" s="152">
        <v>45614</v>
      </c>
      <c r="V596" s="152">
        <v>45615</v>
      </c>
      <c r="W596" s="2">
        <f>VLOOKUP(Table1[[#This Row],[Status]],Auxiliar!$B$16:$D$24,3,0)*Table1[[#This Row],[Estimação (horas)]]</f>
        <v>2</v>
      </c>
      <c r="X596" s="2"/>
    </row>
    <row r="597" spans="2:24" ht="17.7" customHeight="1" x14ac:dyDescent="0.3">
      <c r="B597" s="2" t="s">
        <v>26</v>
      </c>
      <c r="C597" s="2" t="s">
        <v>311</v>
      </c>
      <c r="D597" s="2" t="s">
        <v>327</v>
      </c>
      <c r="E597" s="2" t="s">
        <v>38</v>
      </c>
      <c r="F597" s="2" t="s">
        <v>326</v>
      </c>
      <c r="G597" s="2" t="s">
        <v>245</v>
      </c>
      <c r="H597" s="57" t="str">
        <f>Table1[[#This Row],[Tabela]]&amp;Table1[[#This Row],[Campo]]</f>
        <v>modesg_out_empr_info_nfinflg_nfrd</v>
      </c>
      <c r="I597" s="2" t="s">
        <v>1927</v>
      </c>
      <c r="J597" s="43">
        <f>VLOOKUP(Table1[[#This Row],[Status]],Auxiliar!$B$16:$C$24,2,0)</f>
        <v>2</v>
      </c>
      <c r="K597" s="2" t="s">
        <v>1253</v>
      </c>
      <c r="L597" s="29" t="s">
        <v>1258</v>
      </c>
      <c r="M597" s="21" t="s">
        <v>1260</v>
      </c>
      <c r="N597" s="48">
        <v>45618</v>
      </c>
      <c r="O597" s="21">
        <f>INDEX(Auxiliar!$D$5:$F$13,MATCH(Table1[[#This Row],[Tipologia_Testes]],Auxiliar!$B$5:$B$13,0),MATCH(Table1[[#This Row],[Complexidade]],Auxiliar!$D$4:$F$4,0))</f>
        <v>4</v>
      </c>
      <c r="P597" s="176" t="s">
        <v>1284</v>
      </c>
      <c r="Q597" s="2"/>
      <c r="R597" s="152">
        <v>45553</v>
      </c>
      <c r="S597" s="152"/>
      <c r="T597" s="152">
        <v>45553</v>
      </c>
      <c r="U597" s="152">
        <v>45614</v>
      </c>
      <c r="V597" s="152">
        <v>45615</v>
      </c>
      <c r="W597" s="2">
        <f>VLOOKUP(Table1[[#This Row],[Status]],Auxiliar!$B$16:$D$24,3,0)*Table1[[#This Row],[Estimação (horas)]]</f>
        <v>2</v>
      </c>
      <c r="X597" s="2"/>
    </row>
    <row r="598" spans="2:24" ht="17.7" customHeight="1" x14ac:dyDescent="0.3">
      <c r="B598" s="2" t="s">
        <v>26</v>
      </c>
      <c r="C598" s="2" t="s">
        <v>311</v>
      </c>
      <c r="D598" s="2" t="s">
        <v>327</v>
      </c>
      <c r="E598" s="2" t="s">
        <v>38</v>
      </c>
      <c r="F598" s="2" t="s">
        <v>326</v>
      </c>
      <c r="G598" s="2" t="s">
        <v>245</v>
      </c>
      <c r="H598" s="57" t="str">
        <f>Table1[[#This Row],[Tabela]]&amp;Table1[[#This Row],[Campo]]</f>
        <v>modesg_out_empr_info_nfinflg_nfrd</v>
      </c>
      <c r="I598" s="2" t="s">
        <v>1927</v>
      </c>
      <c r="J598" s="43">
        <f>VLOOKUP(Table1[[#This Row],[Status]],Auxiliar!$B$16:$C$24,2,0)</f>
        <v>2</v>
      </c>
      <c r="K598" s="2" t="s">
        <v>1255</v>
      </c>
      <c r="L598" s="29" t="s">
        <v>1258</v>
      </c>
      <c r="M598" s="21" t="s">
        <v>1260</v>
      </c>
      <c r="N598" s="48">
        <v>45618</v>
      </c>
      <c r="O598" s="21">
        <f>INDEX(Auxiliar!$D$5:$F$13,MATCH(Table1[[#This Row],[Tipologia_Testes]],Auxiliar!$B$5:$B$13,0),MATCH(Table1[[#This Row],[Complexidade]],Auxiliar!$D$4:$F$4,0))</f>
        <v>0.1</v>
      </c>
      <c r="P598" s="176" t="s">
        <v>1284</v>
      </c>
      <c r="Q598" s="2"/>
      <c r="R598" s="152">
        <v>45553</v>
      </c>
      <c r="S598" s="152"/>
      <c r="T598" s="152">
        <v>45553</v>
      </c>
      <c r="U598" s="152">
        <v>45614</v>
      </c>
      <c r="V598" s="152">
        <v>45615</v>
      </c>
      <c r="W598" s="2">
        <f>VLOOKUP(Table1[[#This Row],[Status]],Auxiliar!$B$16:$D$24,3,0)*Table1[[#This Row],[Estimação (horas)]]</f>
        <v>0.05</v>
      </c>
      <c r="X598" s="2"/>
    </row>
    <row r="599" spans="2:24" ht="17.7" customHeight="1" x14ac:dyDescent="0.25">
      <c r="B599" s="2" t="s">
        <v>26</v>
      </c>
      <c r="C599" s="2" t="s">
        <v>311</v>
      </c>
      <c r="D599" s="2" t="s">
        <v>327</v>
      </c>
      <c r="E599" s="2" t="s">
        <v>38</v>
      </c>
      <c r="F599" s="2" t="s">
        <v>326</v>
      </c>
      <c r="G599" s="2" t="s">
        <v>283</v>
      </c>
      <c r="H599" s="57" t="str">
        <f>Table1[[#This Row],[Tabela]]&amp;Table1[[#This Row],[Campo]]</f>
        <v>modesg_out_empr_info_nfinflg_rsc_fsc_agd</v>
      </c>
      <c r="I599" s="2" t="s">
        <v>619</v>
      </c>
      <c r="J599" s="43">
        <f>VLOOKUP(Table1[[#This Row],[Status]],Auxiliar!$B$16:$C$24,2,0)</f>
        <v>7</v>
      </c>
      <c r="K599" s="2" t="s">
        <v>1252</v>
      </c>
      <c r="L599" s="29" t="s">
        <v>1250</v>
      </c>
      <c r="M599" s="21" t="s">
        <v>1251</v>
      </c>
      <c r="N599" s="48">
        <v>45569</v>
      </c>
      <c r="O599" s="21">
        <f>INDEX(Auxiliar!$D$5:$F$13,MATCH(Table1[[#This Row],[Tipologia_Testes]],Auxiliar!$B$5:$B$13,0),MATCH(Table1[[#This Row],[Complexidade]],Auxiliar!$D$4:$F$4,0))</f>
        <v>8</v>
      </c>
      <c r="P599" s="2"/>
      <c r="Q599" s="2"/>
      <c r="R599" s="152">
        <v>45569</v>
      </c>
      <c r="S599" s="152"/>
      <c r="T599" s="152">
        <v>45569</v>
      </c>
      <c r="U599" s="152">
        <v>45624</v>
      </c>
      <c r="V599" s="152"/>
      <c r="W599" s="2">
        <f>VLOOKUP(Table1[[#This Row],[Status]],Auxiliar!$B$16:$D$24,3,0)*Table1[[#This Row],[Estimação (horas)]]</f>
        <v>2</v>
      </c>
      <c r="X599" s="2"/>
    </row>
    <row r="600" spans="2:24" ht="17.7" customHeight="1" x14ac:dyDescent="0.25">
      <c r="B600" s="2" t="s">
        <v>26</v>
      </c>
      <c r="C600" s="2" t="s">
        <v>311</v>
      </c>
      <c r="D600" s="2" t="s">
        <v>327</v>
      </c>
      <c r="E600" s="2" t="s">
        <v>38</v>
      </c>
      <c r="F600" s="2" t="s">
        <v>326</v>
      </c>
      <c r="G600" s="2" t="s">
        <v>283</v>
      </c>
      <c r="H600" s="57" t="str">
        <f>Table1[[#This Row],[Tabela]]&amp;Table1[[#This Row],[Campo]]</f>
        <v>modesg_out_empr_info_nfinflg_rsc_fsc_agd</v>
      </c>
      <c r="I600" s="2" t="s">
        <v>619</v>
      </c>
      <c r="J600" s="43">
        <f>VLOOKUP(Table1[[#This Row],[Status]],Auxiliar!$B$16:$C$24,2,0)</f>
        <v>7</v>
      </c>
      <c r="K600" s="2" t="s">
        <v>1253</v>
      </c>
      <c r="L600" s="29" t="s">
        <v>1250</v>
      </c>
      <c r="M600" s="21" t="s">
        <v>1251</v>
      </c>
      <c r="N600" s="48">
        <v>45569</v>
      </c>
      <c r="O600" s="21">
        <f>INDEX(Auxiliar!$D$5:$F$13,MATCH(Table1[[#This Row],[Tipologia_Testes]],Auxiliar!$B$5:$B$13,0),MATCH(Table1[[#This Row],[Complexidade]],Auxiliar!$D$4:$F$4,0))</f>
        <v>8</v>
      </c>
      <c r="P600" s="2"/>
      <c r="Q600" s="2"/>
      <c r="R600" s="152">
        <v>45569</v>
      </c>
      <c r="S600" s="152"/>
      <c r="T600" s="152">
        <v>45569</v>
      </c>
      <c r="U600" s="152">
        <v>45624</v>
      </c>
      <c r="V600" s="152"/>
      <c r="W600" s="2">
        <f>VLOOKUP(Table1[[#This Row],[Status]],Auxiliar!$B$16:$D$24,3,0)*Table1[[#This Row],[Estimação (horas)]]</f>
        <v>2</v>
      </c>
      <c r="X600" s="2"/>
    </row>
    <row r="601" spans="2:24" ht="17.7" customHeight="1" x14ac:dyDescent="0.25">
      <c r="B601" s="2" t="s">
        <v>26</v>
      </c>
      <c r="C601" s="2" t="s">
        <v>311</v>
      </c>
      <c r="D601" s="2" t="s">
        <v>327</v>
      </c>
      <c r="E601" s="2" t="s">
        <v>38</v>
      </c>
      <c r="F601" s="2" t="s">
        <v>326</v>
      </c>
      <c r="G601" s="2" t="s">
        <v>283</v>
      </c>
      <c r="H601" s="57" t="str">
        <f>Table1[[#This Row],[Tabela]]&amp;Table1[[#This Row],[Campo]]</f>
        <v>modesg_out_empr_info_nfinflg_rsc_fsc_agd</v>
      </c>
      <c r="I601" s="2" t="s">
        <v>619</v>
      </c>
      <c r="J601" s="43">
        <f>VLOOKUP(Table1[[#This Row],[Status]],Auxiliar!$B$16:$C$24,2,0)</f>
        <v>7</v>
      </c>
      <c r="K601" s="2" t="s">
        <v>1255</v>
      </c>
      <c r="L601" s="29" t="s">
        <v>1250</v>
      </c>
      <c r="M601" s="21" t="s">
        <v>1251</v>
      </c>
      <c r="N601" s="48">
        <v>45569</v>
      </c>
      <c r="O601" s="21">
        <f>INDEX(Auxiliar!$D$5:$F$13,MATCH(Table1[[#This Row],[Tipologia_Testes]],Auxiliar!$B$5:$B$13,0),MATCH(Table1[[#This Row],[Complexidade]],Auxiliar!$D$4:$F$4,0))</f>
        <v>0.1</v>
      </c>
      <c r="P601" s="2"/>
      <c r="Q601" s="2"/>
      <c r="R601" s="152">
        <v>45569</v>
      </c>
      <c r="S601" s="152"/>
      <c r="T601" s="152">
        <v>45569</v>
      </c>
      <c r="U601" s="152">
        <v>45624</v>
      </c>
      <c r="V601" s="152"/>
      <c r="W601" s="2">
        <f>VLOOKUP(Table1[[#This Row],[Status]],Auxiliar!$B$16:$D$24,3,0)*Table1[[#This Row],[Estimação (horas)]]</f>
        <v>2.5000000000000001E-2</v>
      </c>
      <c r="X601" s="2"/>
    </row>
    <row r="602" spans="2:24" ht="17.7" customHeight="1" x14ac:dyDescent="0.25">
      <c r="B602" s="2" t="s">
        <v>26</v>
      </c>
      <c r="C602" s="2" t="s">
        <v>311</v>
      </c>
      <c r="D602" s="2" t="s">
        <v>327</v>
      </c>
      <c r="E602" s="2" t="s">
        <v>38</v>
      </c>
      <c r="F602" s="2" t="s">
        <v>326</v>
      </c>
      <c r="G602" s="2" t="s">
        <v>284</v>
      </c>
      <c r="H602" s="57" t="str">
        <f>Table1[[#This Row],[Tabela]]&amp;Table1[[#This Row],[Campo]]</f>
        <v>modesg_out_empr_info_nfinflg_rsc_fsc_crnc</v>
      </c>
      <c r="I602" s="2" t="s">
        <v>619</v>
      </c>
      <c r="J602" s="43">
        <f>VLOOKUP(Table1[[#This Row],[Status]],Auxiliar!$B$16:$C$24,2,0)</f>
        <v>7</v>
      </c>
      <c r="K602" s="2" t="s">
        <v>1252</v>
      </c>
      <c r="L602" s="29" t="s">
        <v>1250</v>
      </c>
      <c r="M602" s="21" t="s">
        <v>1251</v>
      </c>
      <c r="N602" s="48">
        <v>45569</v>
      </c>
      <c r="O602" s="21">
        <f>INDEX(Auxiliar!$D$5:$F$13,MATCH(Table1[[#This Row],[Tipologia_Testes]],Auxiliar!$B$5:$B$13,0),MATCH(Table1[[#This Row],[Complexidade]],Auxiliar!$D$4:$F$4,0))</f>
        <v>8</v>
      </c>
      <c r="P602" s="2"/>
      <c r="Q602" s="2"/>
      <c r="R602" s="152">
        <v>45569</v>
      </c>
      <c r="S602" s="152"/>
      <c r="T602" s="152">
        <v>45569</v>
      </c>
      <c r="U602" s="152">
        <v>45624</v>
      </c>
      <c r="V602" s="152"/>
      <c r="W602" s="2">
        <f>VLOOKUP(Table1[[#This Row],[Status]],Auxiliar!$B$16:$D$24,3,0)*Table1[[#This Row],[Estimação (horas)]]</f>
        <v>2</v>
      </c>
      <c r="X602" s="2"/>
    </row>
    <row r="603" spans="2:24" ht="17.7" customHeight="1" x14ac:dyDescent="0.25">
      <c r="B603" s="2" t="s">
        <v>26</v>
      </c>
      <c r="C603" s="2" t="s">
        <v>311</v>
      </c>
      <c r="D603" s="2" t="s">
        <v>327</v>
      </c>
      <c r="E603" s="2" t="s">
        <v>38</v>
      </c>
      <c r="F603" s="2" t="s">
        <v>326</v>
      </c>
      <c r="G603" s="2" t="s">
        <v>284</v>
      </c>
      <c r="H603" s="57" t="str">
        <f>Table1[[#This Row],[Tabela]]&amp;Table1[[#This Row],[Campo]]</f>
        <v>modesg_out_empr_info_nfinflg_rsc_fsc_crnc</v>
      </c>
      <c r="I603" s="2" t="s">
        <v>619</v>
      </c>
      <c r="J603" s="43">
        <f>VLOOKUP(Table1[[#This Row],[Status]],Auxiliar!$B$16:$C$24,2,0)</f>
        <v>7</v>
      </c>
      <c r="K603" s="2" t="s">
        <v>1253</v>
      </c>
      <c r="L603" s="29" t="s">
        <v>1250</v>
      </c>
      <c r="M603" s="21" t="s">
        <v>1251</v>
      </c>
      <c r="N603" s="48">
        <v>45569</v>
      </c>
      <c r="O603" s="21">
        <f>INDEX(Auxiliar!$D$5:$F$13,MATCH(Table1[[#This Row],[Tipologia_Testes]],Auxiliar!$B$5:$B$13,0),MATCH(Table1[[#This Row],[Complexidade]],Auxiliar!$D$4:$F$4,0))</f>
        <v>8</v>
      </c>
      <c r="P603" s="2"/>
      <c r="Q603" s="2"/>
      <c r="R603" s="152">
        <v>45569</v>
      </c>
      <c r="S603" s="152"/>
      <c r="T603" s="152">
        <v>45569</v>
      </c>
      <c r="U603" s="152">
        <v>45624</v>
      </c>
      <c r="V603" s="152"/>
      <c r="W603" s="2">
        <f>VLOOKUP(Table1[[#This Row],[Status]],Auxiliar!$B$16:$D$24,3,0)*Table1[[#This Row],[Estimação (horas)]]</f>
        <v>2</v>
      </c>
      <c r="X603" s="2"/>
    </row>
    <row r="604" spans="2:24" ht="17.7" customHeight="1" x14ac:dyDescent="0.25">
      <c r="B604" s="2" t="s">
        <v>26</v>
      </c>
      <c r="C604" s="2" t="s">
        <v>311</v>
      </c>
      <c r="D604" s="2" t="s">
        <v>327</v>
      </c>
      <c r="E604" s="2" t="s">
        <v>38</v>
      </c>
      <c r="F604" s="2" t="s">
        <v>326</v>
      </c>
      <c r="G604" s="2" t="s">
        <v>284</v>
      </c>
      <c r="H604" s="57" t="str">
        <f>Table1[[#This Row],[Tabela]]&amp;Table1[[#This Row],[Campo]]</f>
        <v>modesg_out_empr_info_nfinflg_rsc_fsc_crnc</v>
      </c>
      <c r="I604" s="2" t="s">
        <v>619</v>
      </c>
      <c r="J604" s="43">
        <f>VLOOKUP(Table1[[#This Row],[Status]],Auxiliar!$B$16:$C$24,2,0)</f>
        <v>7</v>
      </c>
      <c r="K604" s="2" t="s">
        <v>1255</v>
      </c>
      <c r="L604" s="29" t="s">
        <v>1250</v>
      </c>
      <c r="M604" s="21" t="s">
        <v>1251</v>
      </c>
      <c r="N604" s="48">
        <v>45569</v>
      </c>
      <c r="O604" s="21">
        <f>INDEX(Auxiliar!$D$5:$F$13,MATCH(Table1[[#This Row],[Tipologia_Testes]],Auxiliar!$B$5:$B$13,0),MATCH(Table1[[#This Row],[Complexidade]],Auxiliar!$D$4:$F$4,0))</f>
        <v>0.1</v>
      </c>
      <c r="P604" s="2"/>
      <c r="Q604" s="2"/>
      <c r="R604" s="152">
        <v>45569</v>
      </c>
      <c r="S604" s="152"/>
      <c r="T604" s="152">
        <v>45569</v>
      </c>
      <c r="U604" s="152">
        <v>45624</v>
      </c>
      <c r="V604" s="152"/>
      <c r="W604" s="2">
        <f>VLOOKUP(Table1[[#This Row],[Status]],Auxiliar!$B$16:$D$24,3,0)*Table1[[#This Row],[Estimação (horas)]]</f>
        <v>2.5000000000000001E-2</v>
      </c>
      <c r="X604" s="2"/>
    </row>
    <row r="605" spans="2:24" ht="17.7" customHeight="1" x14ac:dyDescent="0.25">
      <c r="B605" s="2" t="s">
        <v>26</v>
      </c>
      <c r="C605" s="2" t="s">
        <v>311</v>
      </c>
      <c r="D605" s="2" t="s">
        <v>327</v>
      </c>
      <c r="E605" s="2" t="s">
        <v>38</v>
      </c>
      <c r="F605" s="2" t="s">
        <v>326</v>
      </c>
      <c r="G605" s="2" t="s">
        <v>329</v>
      </c>
      <c r="H605" s="57" t="str">
        <f>Table1[[#This Row],[Tabela]]&amp;Table1[[#This Row],[Campo]]</f>
        <v>modesg_out_empr_info_nfinorigem_alinhamentos</v>
      </c>
      <c r="I605" s="2" t="s">
        <v>1927</v>
      </c>
      <c r="J605" s="43">
        <f>VLOOKUP(Table1[[#This Row],[Status]],Auxiliar!$B$16:$C$24,2,0)</f>
        <v>2</v>
      </c>
      <c r="K605" s="2" t="s">
        <v>1252</v>
      </c>
      <c r="L605" s="29" t="s">
        <v>1258</v>
      </c>
      <c r="M605" s="21" t="s">
        <v>1259</v>
      </c>
      <c r="N605" s="48">
        <v>45618</v>
      </c>
      <c r="O605" s="21">
        <f>INDEX(Auxiliar!$D$5:$F$13,MATCH(Table1[[#This Row],[Tipologia_Testes]],Auxiliar!$B$5:$B$13,0),MATCH(Table1[[#This Row],[Complexidade]],Auxiliar!$D$4:$F$4,0))</f>
        <v>2</v>
      </c>
      <c r="P605" s="2"/>
      <c r="Q605" s="2"/>
      <c r="R605" s="152">
        <v>45569</v>
      </c>
      <c r="S605" s="152"/>
      <c r="T605" s="152">
        <v>45569</v>
      </c>
      <c r="U605" s="152">
        <v>45614</v>
      </c>
      <c r="V605" s="152">
        <v>45615</v>
      </c>
      <c r="W605" s="2">
        <f>VLOOKUP(Table1[[#This Row],[Status]],Auxiliar!$B$16:$D$24,3,0)*Table1[[#This Row],[Estimação (horas)]]</f>
        <v>1</v>
      </c>
      <c r="X605" s="2"/>
    </row>
    <row r="606" spans="2:24" ht="17.7" customHeight="1" x14ac:dyDescent="0.25">
      <c r="B606" s="2" t="s">
        <v>26</v>
      </c>
      <c r="C606" s="2" t="s">
        <v>311</v>
      </c>
      <c r="D606" s="2" t="s">
        <v>327</v>
      </c>
      <c r="E606" s="2" t="s">
        <v>38</v>
      </c>
      <c r="F606" s="2" t="s">
        <v>326</v>
      </c>
      <c r="G606" s="2" t="s">
        <v>329</v>
      </c>
      <c r="H606" s="57" t="str">
        <f>Table1[[#This Row],[Tabela]]&amp;Table1[[#This Row],[Campo]]</f>
        <v>modesg_out_empr_info_nfinorigem_alinhamentos</v>
      </c>
      <c r="I606" s="2" t="s">
        <v>1927</v>
      </c>
      <c r="J606" s="43">
        <f>VLOOKUP(Table1[[#This Row],[Status]],Auxiliar!$B$16:$C$24,2,0)</f>
        <v>2</v>
      </c>
      <c r="K606" s="2" t="s">
        <v>1253</v>
      </c>
      <c r="L606" s="29" t="s">
        <v>1258</v>
      </c>
      <c r="M606" s="21" t="s">
        <v>1259</v>
      </c>
      <c r="N606" s="48">
        <v>45618</v>
      </c>
      <c r="O606" s="21">
        <f>INDEX(Auxiliar!$D$5:$F$13,MATCH(Table1[[#This Row],[Tipologia_Testes]],Auxiliar!$B$5:$B$13,0),MATCH(Table1[[#This Row],[Complexidade]],Auxiliar!$D$4:$F$4,0))</f>
        <v>2</v>
      </c>
      <c r="P606" s="2"/>
      <c r="Q606" s="2"/>
      <c r="R606" s="152">
        <v>45569</v>
      </c>
      <c r="S606" s="152"/>
      <c r="T606" s="152">
        <v>45569</v>
      </c>
      <c r="U606" s="152">
        <v>45614</v>
      </c>
      <c r="V606" s="152">
        <v>45615</v>
      </c>
      <c r="W606" s="2">
        <f>VLOOKUP(Table1[[#This Row],[Status]],Auxiliar!$B$16:$D$24,3,0)*Table1[[#This Row],[Estimação (horas)]]</f>
        <v>1</v>
      </c>
      <c r="X606" s="2"/>
    </row>
    <row r="607" spans="2:24" ht="17.7" customHeight="1" x14ac:dyDescent="0.25">
      <c r="B607" s="2" t="s">
        <v>26</v>
      </c>
      <c r="C607" s="2" t="s">
        <v>311</v>
      </c>
      <c r="D607" s="2" t="s">
        <v>327</v>
      </c>
      <c r="E607" s="2" t="s">
        <v>38</v>
      </c>
      <c r="F607" s="2" t="s">
        <v>326</v>
      </c>
      <c r="G607" s="2" t="s">
        <v>329</v>
      </c>
      <c r="H607" s="57" t="str">
        <f>Table1[[#This Row],[Tabela]]&amp;Table1[[#This Row],[Campo]]</f>
        <v>modesg_out_empr_info_nfinorigem_alinhamentos</v>
      </c>
      <c r="I607" s="2" t="s">
        <v>1927</v>
      </c>
      <c r="J607" s="43">
        <f>VLOOKUP(Table1[[#This Row],[Status]],Auxiliar!$B$16:$C$24,2,0)</f>
        <v>2</v>
      </c>
      <c r="K607" s="2" t="s">
        <v>1255</v>
      </c>
      <c r="L607" s="29" t="s">
        <v>1258</v>
      </c>
      <c r="M607" s="21" t="s">
        <v>1259</v>
      </c>
      <c r="N607" s="48">
        <v>45618</v>
      </c>
      <c r="O607" s="21">
        <f>INDEX(Auxiliar!$D$5:$F$13,MATCH(Table1[[#This Row],[Tipologia_Testes]],Auxiliar!$B$5:$B$13,0),MATCH(Table1[[#This Row],[Complexidade]],Auxiliar!$D$4:$F$4,0))</f>
        <v>0.1</v>
      </c>
      <c r="P607" s="2"/>
      <c r="Q607" s="2"/>
      <c r="R607" s="152">
        <v>45569</v>
      </c>
      <c r="S607" s="152"/>
      <c r="T607" s="152">
        <v>45569</v>
      </c>
      <c r="U607" s="152">
        <v>45614</v>
      </c>
      <c r="V607" s="152">
        <v>45615</v>
      </c>
      <c r="W607" s="2">
        <f>VLOOKUP(Table1[[#This Row],[Status]],Auxiliar!$B$16:$D$24,3,0)*Table1[[#This Row],[Estimação (horas)]]</f>
        <v>0.05</v>
      </c>
      <c r="X607" s="2"/>
    </row>
    <row r="608" spans="2:24" ht="17.7" customHeight="1" x14ac:dyDescent="0.3">
      <c r="B608" s="2" t="s">
        <v>26</v>
      </c>
      <c r="C608" s="2" t="s">
        <v>311</v>
      </c>
      <c r="D608" s="2" t="s">
        <v>327</v>
      </c>
      <c r="E608" s="2" t="s">
        <v>38</v>
      </c>
      <c r="F608" s="2" t="s">
        <v>326</v>
      </c>
      <c r="G608" s="2" t="s">
        <v>330</v>
      </c>
      <c r="H608" s="57" t="str">
        <f>Table1[[#This Row],[Tabela]]&amp;Table1[[#This Row],[Campo]]</f>
        <v>modesg_out_empr_info_nfinorigem_flg_emprs_excl_paris</v>
      </c>
      <c r="I608" s="2" t="s">
        <v>1927</v>
      </c>
      <c r="J608" s="43">
        <f>VLOOKUP(Table1[[#This Row],[Status]],Auxiliar!$B$16:$C$24,2,0)</f>
        <v>2</v>
      </c>
      <c r="K608" s="2" t="s">
        <v>1252</v>
      </c>
      <c r="L608" s="29" t="s">
        <v>1258</v>
      </c>
      <c r="M608" s="21" t="s">
        <v>1259</v>
      </c>
      <c r="N608" s="48">
        <v>45618</v>
      </c>
      <c r="O608" s="21">
        <f>INDEX(Auxiliar!$D$5:$F$13,MATCH(Table1[[#This Row],[Tipologia_Testes]],Auxiliar!$B$5:$B$13,0),MATCH(Table1[[#This Row],[Complexidade]],Auxiliar!$D$4:$F$4,0))</f>
        <v>2</v>
      </c>
      <c r="P608" s="176" t="s">
        <v>1284</v>
      </c>
      <c r="Q608" s="2"/>
      <c r="R608" s="152">
        <v>45553</v>
      </c>
      <c r="S608" s="152"/>
      <c r="T608" s="152">
        <v>45553</v>
      </c>
      <c r="U608" s="152">
        <v>45614</v>
      </c>
      <c r="V608" s="152">
        <v>45615</v>
      </c>
      <c r="W608" s="2">
        <f>VLOOKUP(Table1[[#This Row],[Status]],Auxiliar!$B$16:$D$24,3,0)*Table1[[#This Row],[Estimação (horas)]]</f>
        <v>1</v>
      </c>
      <c r="X608" s="2"/>
    </row>
    <row r="609" spans="2:24" ht="17.7" customHeight="1" x14ac:dyDescent="0.3">
      <c r="B609" s="2" t="s">
        <v>26</v>
      </c>
      <c r="C609" s="2" t="s">
        <v>311</v>
      </c>
      <c r="D609" s="2" t="s">
        <v>327</v>
      </c>
      <c r="E609" s="2" t="s">
        <v>38</v>
      </c>
      <c r="F609" s="2" t="s">
        <v>326</v>
      </c>
      <c r="G609" s="2" t="s">
        <v>330</v>
      </c>
      <c r="H609" s="57" t="str">
        <f>Table1[[#This Row],[Tabela]]&amp;Table1[[#This Row],[Campo]]</f>
        <v>modesg_out_empr_info_nfinorigem_flg_emprs_excl_paris</v>
      </c>
      <c r="I609" s="2" t="s">
        <v>1927</v>
      </c>
      <c r="J609" s="43">
        <f>VLOOKUP(Table1[[#This Row],[Status]],Auxiliar!$B$16:$C$24,2,0)</f>
        <v>2</v>
      </c>
      <c r="K609" s="2" t="s">
        <v>1253</v>
      </c>
      <c r="L609" s="29" t="s">
        <v>1258</v>
      </c>
      <c r="M609" s="21" t="s">
        <v>1259</v>
      </c>
      <c r="N609" s="48">
        <v>45618</v>
      </c>
      <c r="O609" s="21">
        <f>INDEX(Auxiliar!$D$5:$F$13,MATCH(Table1[[#This Row],[Tipologia_Testes]],Auxiliar!$B$5:$B$13,0),MATCH(Table1[[#This Row],[Complexidade]],Auxiliar!$D$4:$F$4,0))</f>
        <v>2</v>
      </c>
      <c r="P609" s="176" t="s">
        <v>1284</v>
      </c>
      <c r="Q609" s="2"/>
      <c r="R609" s="152">
        <v>45553</v>
      </c>
      <c r="S609" s="152"/>
      <c r="T609" s="152">
        <v>45553</v>
      </c>
      <c r="U609" s="152">
        <v>45614</v>
      </c>
      <c r="V609" s="152">
        <v>45615</v>
      </c>
      <c r="W609" s="2">
        <f>VLOOKUP(Table1[[#This Row],[Status]],Auxiliar!$B$16:$D$24,3,0)*Table1[[#This Row],[Estimação (horas)]]</f>
        <v>1</v>
      </c>
      <c r="X609" s="2"/>
    </row>
    <row r="610" spans="2:24" ht="17.7" customHeight="1" x14ac:dyDescent="0.3">
      <c r="B610" s="2" t="s">
        <v>26</v>
      </c>
      <c r="C610" s="2" t="s">
        <v>311</v>
      </c>
      <c r="D610" s="2" t="s">
        <v>327</v>
      </c>
      <c r="E610" s="2" t="s">
        <v>38</v>
      </c>
      <c r="F610" s="2" t="s">
        <v>326</v>
      </c>
      <c r="G610" s="2" t="s">
        <v>330</v>
      </c>
      <c r="H610" s="57" t="str">
        <f>Table1[[#This Row],[Tabela]]&amp;Table1[[#This Row],[Campo]]</f>
        <v>modesg_out_empr_info_nfinorigem_flg_emprs_excl_paris</v>
      </c>
      <c r="I610" s="2" t="s">
        <v>1927</v>
      </c>
      <c r="J610" s="43">
        <f>VLOOKUP(Table1[[#This Row],[Status]],Auxiliar!$B$16:$C$24,2,0)</f>
        <v>2</v>
      </c>
      <c r="K610" s="2" t="s">
        <v>1255</v>
      </c>
      <c r="L610" s="29" t="s">
        <v>1258</v>
      </c>
      <c r="M610" s="21" t="s">
        <v>1259</v>
      </c>
      <c r="N610" s="48">
        <v>45618</v>
      </c>
      <c r="O610" s="21">
        <f>INDEX(Auxiliar!$D$5:$F$13,MATCH(Table1[[#This Row],[Tipologia_Testes]],Auxiliar!$B$5:$B$13,0),MATCH(Table1[[#This Row],[Complexidade]],Auxiliar!$D$4:$F$4,0))</f>
        <v>0.1</v>
      </c>
      <c r="P610" s="176" t="s">
        <v>1284</v>
      </c>
      <c r="Q610" s="2"/>
      <c r="R610" s="152">
        <v>45553</v>
      </c>
      <c r="S610" s="152"/>
      <c r="T610" s="152">
        <v>45553</v>
      </c>
      <c r="U610" s="152">
        <v>45614</v>
      </c>
      <c r="V610" s="152">
        <v>45615</v>
      </c>
      <c r="W610" s="2">
        <f>VLOOKUP(Table1[[#This Row],[Status]],Auxiliar!$B$16:$D$24,3,0)*Table1[[#This Row],[Estimação (horas)]]</f>
        <v>0.05</v>
      </c>
      <c r="X610" s="2"/>
    </row>
    <row r="611" spans="2:24" ht="17.7" customHeight="1" x14ac:dyDescent="0.3">
      <c r="B611" s="2" t="s">
        <v>26</v>
      </c>
      <c r="C611" s="2" t="s">
        <v>311</v>
      </c>
      <c r="D611" s="2" t="s">
        <v>327</v>
      </c>
      <c r="E611" s="2" t="s">
        <v>38</v>
      </c>
      <c r="F611" s="2" t="s">
        <v>326</v>
      </c>
      <c r="G611" s="2" t="s">
        <v>331</v>
      </c>
      <c r="H611" s="57" t="str">
        <f>Table1[[#This Row],[Tabela]]&amp;Table1[[#This Row],[Campo]]</f>
        <v>modesg_out_empr_info_nfinorigem_flg_nfrd</v>
      </c>
      <c r="I611" s="2" t="s">
        <v>1927</v>
      </c>
      <c r="J611" s="43">
        <f>VLOOKUP(Table1[[#This Row],[Status]],Auxiliar!$B$16:$C$24,2,0)</f>
        <v>2</v>
      </c>
      <c r="K611" s="2" t="s">
        <v>1252</v>
      </c>
      <c r="L611" s="29" t="s">
        <v>1258</v>
      </c>
      <c r="M611" s="21" t="s">
        <v>1259</v>
      </c>
      <c r="N611" s="48">
        <v>45618</v>
      </c>
      <c r="O611" s="21">
        <f>INDEX(Auxiliar!$D$5:$F$13,MATCH(Table1[[#This Row],[Tipologia_Testes]],Auxiliar!$B$5:$B$13,0),MATCH(Table1[[#This Row],[Complexidade]],Auxiliar!$D$4:$F$4,0))</f>
        <v>2</v>
      </c>
      <c r="P611" s="176" t="s">
        <v>1284</v>
      </c>
      <c r="Q611" s="2"/>
      <c r="R611" s="152">
        <v>45553</v>
      </c>
      <c r="S611" s="152"/>
      <c r="T611" s="152">
        <v>45553</v>
      </c>
      <c r="U611" s="152">
        <v>45614</v>
      </c>
      <c r="V611" s="152">
        <v>45615</v>
      </c>
      <c r="W611" s="2">
        <f>VLOOKUP(Table1[[#This Row],[Status]],Auxiliar!$B$16:$D$24,3,0)*Table1[[#This Row],[Estimação (horas)]]</f>
        <v>1</v>
      </c>
      <c r="X611" s="2"/>
    </row>
    <row r="612" spans="2:24" ht="17.7" customHeight="1" x14ac:dyDescent="0.3">
      <c r="B612" s="2" t="s">
        <v>26</v>
      </c>
      <c r="C612" s="2" t="s">
        <v>311</v>
      </c>
      <c r="D612" s="2" t="s">
        <v>327</v>
      </c>
      <c r="E612" s="2" t="s">
        <v>38</v>
      </c>
      <c r="F612" s="2" t="s">
        <v>326</v>
      </c>
      <c r="G612" s="2" t="s">
        <v>331</v>
      </c>
      <c r="H612" s="57" t="str">
        <f>Table1[[#This Row],[Tabela]]&amp;Table1[[#This Row],[Campo]]</f>
        <v>modesg_out_empr_info_nfinorigem_flg_nfrd</v>
      </c>
      <c r="I612" s="2" t="s">
        <v>1927</v>
      </c>
      <c r="J612" s="43">
        <f>VLOOKUP(Table1[[#This Row],[Status]],Auxiliar!$B$16:$C$24,2,0)</f>
        <v>2</v>
      </c>
      <c r="K612" s="2" t="s">
        <v>1253</v>
      </c>
      <c r="L612" s="29" t="s">
        <v>1258</v>
      </c>
      <c r="M612" s="21" t="s">
        <v>1259</v>
      </c>
      <c r="N612" s="48">
        <v>45618</v>
      </c>
      <c r="O612" s="21">
        <f>INDEX(Auxiliar!$D$5:$F$13,MATCH(Table1[[#This Row],[Tipologia_Testes]],Auxiliar!$B$5:$B$13,0),MATCH(Table1[[#This Row],[Complexidade]],Auxiliar!$D$4:$F$4,0))</f>
        <v>2</v>
      </c>
      <c r="P612" s="176" t="s">
        <v>1284</v>
      </c>
      <c r="Q612" s="2"/>
      <c r="R612" s="152">
        <v>45553</v>
      </c>
      <c r="S612" s="152"/>
      <c r="T612" s="152">
        <v>45553</v>
      </c>
      <c r="U612" s="152">
        <v>45614</v>
      </c>
      <c r="V612" s="152">
        <v>45615</v>
      </c>
      <c r="W612" s="2">
        <f>VLOOKUP(Table1[[#This Row],[Status]],Auxiliar!$B$16:$D$24,3,0)*Table1[[#This Row],[Estimação (horas)]]</f>
        <v>1</v>
      </c>
      <c r="X612" s="2"/>
    </row>
    <row r="613" spans="2:24" ht="17.7" customHeight="1" x14ac:dyDescent="0.3">
      <c r="B613" s="2" t="s">
        <v>26</v>
      </c>
      <c r="C613" s="2" t="s">
        <v>311</v>
      </c>
      <c r="D613" s="2" t="s">
        <v>327</v>
      </c>
      <c r="E613" s="2" t="s">
        <v>38</v>
      </c>
      <c r="F613" s="2" t="s">
        <v>326</v>
      </c>
      <c r="G613" s="2" t="s">
        <v>331</v>
      </c>
      <c r="H613" s="57" t="str">
        <f>Table1[[#This Row],[Tabela]]&amp;Table1[[#This Row],[Campo]]</f>
        <v>modesg_out_empr_info_nfinorigem_flg_nfrd</v>
      </c>
      <c r="I613" s="2" t="s">
        <v>1927</v>
      </c>
      <c r="J613" s="43">
        <f>VLOOKUP(Table1[[#This Row],[Status]],Auxiliar!$B$16:$C$24,2,0)</f>
        <v>2</v>
      </c>
      <c r="K613" s="2" t="s">
        <v>1255</v>
      </c>
      <c r="L613" s="29" t="s">
        <v>1258</v>
      </c>
      <c r="M613" s="21" t="s">
        <v>1259</v>
      </c>
      <c r="N613" s="48">
        <v>45618</v>
      </c>
      <c r="O613" s="21">
        <f>INDEX(Auxiliar!$D$5:$F$13,MATCH(Table1[[#This Row],[Tipologia_Testes]],Auxiliar!$B$5:$B$13,0),MATCH(Table1[[#This Row],[Complexidade]],Auxiliar!$D$4:$F$4,0))</f>
        <v>0.1</v>
      </c>
      <c r="P613" s="176" t="s">
        <v>1284</v>
      </c>
      <c r="Q613" s="2"/>
      <c r="R613" s="152">
        <v>45553</v>
      </c>
      <c r="S613" s="152"/>
      <c r="T613" s="152">
        <v>45553</v>
      </c>
      <c r="U613" s="152">
        <v>45614</v>
      </c>
      <c r="V613" s="152">
        <v>45615</v>
      </c>
      <c r="W613" s="2">
        <f>VLOOKUP(Table1[[#This Row],[Status]],Auxiliar!$B$16:$D$24,3,0)*Table1[[#This Row],[Estimação (horas)]]</f>
        <v>0.05</v>
      </c>
      <c r="X613" s="2"/>
    </row>
    <row r="614" spans="2:24" ht="17.7" customHeight="1" x14ac:dyDescent="0.25">
      <c r="B614" s="2" t="s">
        <v>26</v>
      </c>
      <c r="C614" s="2" t="s">
        <v>311</v>
      </c>
      <c r="D614" s="2" t="s">
        <v>327</v>
      </c>
      <c r="E614" s="2" t="s">
        <v>38</v>
      </c>
      <c r="F614" s="2" t="s">
        <v>326</v>
      </c>
      <c r="G614" s="2" t="s">
        <v>318</v>
      </c>
      <c r="H614" s="57" t="str">
        <f>Table1[[#This Row],[Tabela]]&amp;Table1[[#This Row],[Campo]]</f>
        <v>modesg_out_empr_info_nfinorigem_flg_rsc_fsc_agd</v>
      </c>
      <c r="I614" s="2" t="s">
        <v>619</v>
      </c>
      <c r="J614" s="43">
        <f>VLOOKUP(Table1[[#This Row],[Status]],Auxiliar!$B$16:$C$24,2,0)</f>
        <v>7</v>
      </c>
      <c r="K614" s="2" t="s">
        <v>1252</v>
      </c>
      <c r="L614" s="29" t="s">
        <v>1258</v>
      </c>
      <c r="M614" s="21" t="s">
        <v>1259</v>
      </c>
      <c r="N614" s="48">
        <v>45569</v>
      </c>
      <c r="O614" s="21">
        <f>INDEX(Auxiliar!$D$5:$F$13,MATCH(Table1[[#This Row],[Tipologia_Testes]],Auxiliar!$B$5:$B$13,0),MATCH(Table1[[#This Row],[Complexidade]],Auxiliar!$D$4:$F$4,0))</f>
        <v>2</v>
      </c>
      <c r="P614" s="2"/>
      <c r="Q614" s="2"/>
      <c r="R614" s="152">
        <v>45569</v>
      </c>
      <c r="S614" s="152"/>
      <c r="T614" s="152">
        <v>45569</v>
      </c>
      <c r="U614" s="152">
        <v>45624</v>
      </c>
      <c r="V614" s="152"/>
      <c r="W614" s="2">
        <f>VLOOKUP(Table1[[#This Row],[Status]],Auxiliar!$B$16:$D$24,3,0)*Table1[[#This Row],[Estimação (horas)]]</f>
        <v>0.5</v>
      </c>
      <c r="X614" s="2"/>
    </row>
    <row r="615" spans="2:24" ht="17.7" customHeight="1" x14ac:dyDescent="0.25">
      <c r="B615" s="2" t="s">
        <v>26</v>
      </c>
      <c r="C615" s="2" t="s">
        <v>311</v>
      </c>
      <c r="D615" s="2" t="s">
        <v>327</v>
      </c>
      <c r="E615" s="2" t="s">
        <v>38</v>
      </c>
      <c r="F615" s="2" t="s">
        <v>326</v>
      </c>
      <c r="G615" s="2" t="s">
        <v>318</v>
      </c>
      <c r="H615" s="57" t="str">
        <f>Table1[[#This Row],[Tabela]]&amp;Table1[[#This Row],[Campo]]</f>
        <v>modesg_out_empr_info_nfinorigem_flg_rsc_fsc_agd</v>
      </c>
      <c r="I615" s="2" t="s">
        <v>619</v>
      </c>
      <c r="J615" s="43">
        <f>VLOOKUP(Table1[[#This Row],[Status]],Auxiliar!$B$16:$C$24,2,0)</f>
        <v>7</v>
      </c>
      <c r="K615" s="2" t="s">
        <v>1253</v>
      </c>
      <c r="L615" s="29" t="s">
        <v>1258</v>
      </c>
      <c r="M615" s="21" t="s">
        <v>1259</v>
      </c>
      <c r="N615" s="48">
        <v>45569</v>
      </c>
      <c r="O615" s="21">
        <f>INDEX(Auxiliar!$D$5:$F$13,MATCH(Table1[[#This Row],[Tipologia_Testes]],Auxiliar!$B$5:$B$13,0),MATCH(Table1[[#This Row],[Complexidade]],Auxiliar!$D$4:$F$4,0))</f>
        <v>2</v>
      </c>
      <c r="P615" s="2"/>
      <c r="Q615" s="2"/>
      <c r="R615" s="152">
        <v>45569</v>
      </c>
      <c r="S615" s="152"/>
      <c r="T615" s="152">
        <v>45569</v>
      </c>
      <c r="U615" s="152">
        <v>45624</v>
      </c>
      <c r="V615" s="152"/>
      <c r="W615" s="2">
        <f>VLOOKUP(Table1[[#This Row],[Status]],Auxiliar!$B$16:$D$24,3,0)*Table1[[#This Row],[Estimação (horas)]]</f>
        <v>0.5</v>
      </c>
      <c r="X615" s="2"/>
    </row>
    <row r="616" spans="2:24" ht="17.7" customHeight="1" x14ac:dyDescent="0.25">
      <c r="B616" s="2" t="s">
        <v>26</v>
      </c>
      <c r="C616" s="2" t="s">
        <v>311</v>
      </c>
      <c r="D616" s="2" t="s">
        <v>327</v>
      </c>
      <c r="E616" s="2" t="s">
        <v>38</v>
      </c>
      <c r="F616" s="2" t="s">
        <v>326</v>
      </c>
      <c r="G616" s="2" t="s">
        <v>318</v>
      </c>
      <c r="H616" s="57" t="str">
        <f>Table1[[#This Row],[Tabela]]&amp;Table1[[#This Row],[Campo]]</f>
        <v>modesg_out_empr_info_nfinorigem_flg_rsc_fsc_agd</v>
      </c>
      <c r="I616" s="2" t="s">
        <v>619</v>
      </c>
      <c r="J616" s="43">
        <f>VLOOKUP(Table1[[#This Row],[Status]],Auxiliar!$B$16:$C$24,2,0)</f>
        <v>7</v>
      </c>
      <c r="K616" s="2" t="s">
        <v>1255</v>
      </c>
      <c r="L616" s="29" t="s">
        <v>1258</v>
      </c>
      <c r="M616" s="21" t="s">
        <v>1259</v>
      </c>
      <c r="N616" s="48">
        <v>45569</v>
      </c>
      <c r="O616" s="21">
        <f>INDEX(Auxiliar!$D$5:$F$13,MATCH(Table1[[#This Row],[Tipologia_Testes]],Auxiliar!$B$5:$B$13,0),MATCH(Table1[[#This Row],[Complexidade]],Auxiliar!$D$4:$F$4,0))</f>
        <v>0.1</v>
      </c>
      <c r="P616" s="2"/>
      <c r="Q616" s="2"/>
      <c r="R616" s="152">
        <v>45569</v>
      </c>
      <c r="S616" s="152"/>
      <c r="T616" s="152">
        <v>45569</v>
      </c>
      <c r="U616" s="152">
        <v>45624</v>
      </c>
      <c r="V616" s="152"/>
      <c r="W616" s="2">
        <f>VLOOKUP(Table1[[#This Row],[Status]],Auxiliar!$B$16:$D$24,3,0)*Table1[[#This Row],[Estimação (horas)]]</f>
        <v>2.5000000000000001E-2</v>
      </c>
      <c r="X616" s="2"/>
    </row>
    <row r="617" spans="2:24" ht="17.7" customHeight="1" x14ac:dyDescent="0.25">
      <c r="B617" s="2" t="s">
        <v>26</v>
      </c>
      <c r="C617" s="2" t="s">
        <v>311</v>
      </c>
      <c r="D617" s="2" t="s">
        <v>327</v>
      </c>
      <c r="E617" s="2" t="s">
        <v>38</v>
      </c>
      <c r="F617" s="2" t="s">
        <v>326</v>
      </c>
      <c r="G617" s="2" t="s">
        <v>319</v>
      </c>
      <c r="H617" s="57" t="str">
        <f>Table1[[#This Row],[Tabela]]&amp;Table1[[#This Row],[Campo]]</f>
        <v>modesg_out_empr_info_nfinorigem_flg_rsc_fsc_crnc</v>
      </c>
      <c r="I617" s="2" t="s">
        <v>619</v>
      </c>
      <c r="J617" s="43">
        <f>VLOOKUP(Table1[[#This Row],[Status]],Auxiliar!$B$16:$C$24,2,0)</f>
        <v>7</v>
      </c>
      <c r="K617" s="2" t="s">
        <v>1252</v>
      </c>
      <c r="L617" s="29" t="s">
        <v>1258</v>
      </c>
      <c r="M617" s="21" t="s">
        <v>1259</v>
      </c>
      <c r="N617" s="48">
        <v>45569</v>
      </c>
      <c r="O617" s="21">
        <f>INDEX(Auxiliar!$D$5:$F$13,MATCH(Table1[[#This Row],[Tipologia_Testes]],Auxiliar!$B$5:$B$13,0),MATCH(Table1[[#This Row],[Complexidade]],Auxiliar!$D$4:$F$4,0))</f>
        <v>2</v>
      </c>
      <c r="P617" s="2"/>
      <c r="Q617" s="2"/>
      <c r="R617" s="152">
        <v>45569</v>
      </c>
      <c r="S617" s="152"/>
      <c r="T617" s="152">
        <v>45569</v>
      </c>
      <c r="U617" s="152">
        <v>45624</v>
      </c>
      <c r="V617" s="152"/>
      <c r="W617" s="2">
        <f>VLOOKUP(Table1[[#This Row],[Status]],Auxiliar!$B$16:$D$24,3,0)*Table1[[#This Row],[Estimação (horas)]]</f>
        <v>0.5</v>
      </c>
      <c r="X617" s="2"/>
    </row>
    <row r="618" spans="2:24" ht="17.7" customHeight="1" x14ac:dyDescent="0.25">
      <c r="B618" s="2" t="s">
        <v>26</v>
      </c>
      <c r="C618" s="2" t="s">
        <v>311</v>
      </c>
      <c r="D618" s="2" t="s">
        <v>327</v>
      </c>
      <c r="E618" s="2" t="s">
        <v>38</v>
      </c>
      <c r="F618" s="2" t="s">
        <v>326</v>
      </c>
      <c r="G618" s="2" t="s">
        <v>319</v>
      </c>
      <c r="H618" s="57" t="str">
        <f>Table1[[#This Row],[Tabela]]&amp;Table1[[#This Row],[Campo]]</f>
        <v>modesg_out_empr_info_nfinorigem_flg_rsc_fsc_crnc</v>
      </c>
      <c r="I618" s="2" t="s">
        <v>619</v>
      </c>
      <c r="J618" s="43">
        <f>VLOOKUP(Table1[[#This Row],[Status]],Auxiliar!$B$16:$C$24,2,0)</f>
        <v>7</v>
      </c>
      <c r="K618" s="2" t="s">
        <v>1253</v>
      </c>
      <c r="L618" s="29" t="s">
        <v>1258</v>
      </c>
      <c r="M618" s="21" t="s">
        <v>1259</v>
      </c>
      <c r="N618" s="48">
        <v>45569</v>
      </c>
      <c r="O618" s="21">
        <f>INDEX(Auxiliar!$D$5:$F$13,MATCH(Table1[[#This Row],[Tipologia_Testes]],Auxiliar!$B$5:$B$13,0),MATCH(Table1[[#This Row],[Complexidade]],Auxiliar!$D$4:$F$4,0))</f>
        <v>2</v>
      </c>
      <c r="P618" s="2"/>
      <c r="Q618" s="2"/>
      <c r="R618" s="152">
        <v>45569</v>
      </c>
      <c r="S618" s="152"/>
      <c r="T618" s="152">
        <v>45569</v>
      </c>
      <c r="U618" s="152">
        <v>45624</v>
      </c>
      <c r="V618" s="152"/>
      <c r="W618" s="2">
        <f>VLOOKUP(Table1[[#This Row],[Status]],Auxiliar!$B$16:$D$24,3,0)*Table1[[#This Row],[Estimação (horas)]]</f>
        <v>0.5</v>
      </c>
      <c r="X618" s="2"/>
    </row>
    <row r="619" spans="2:24" ht="17.7" customHeight="1" x14ac:dyDescent="0.25">
      <c r="B619" s="2" t="s">
        <v>26</v>
      </c>
      <c r="C619" s="2" t="s">
        <v>311</v>
      </c>
      <c r="D619" s="2" t="s">
        <v>327</v>
      </c>
      <c r="E619" s="2" t="s">
        <v>38</v>
      </c>
      <c r="F619" s="2" t="s">
        <v>326</v>
      </c>
      <c r="G619" s="2" t="s">
        <v>319</v>
      </c>
      <c r="H619" s="57" t="str">
        <f>Table1[[#This Row],[Tabela]]&amp;Table1[[#This Row],[Campo]]</f>
        <v>modesg_out_empr_info_nfinorigem_flg_rsc_fsc_crnc</v>
      </c>
      <c r="I619" s="2" t="s">
        <v>619</v>
      </c>
      <c r="J619" s="43">
        <f>VLOOKUP(Table1[[#This Row],[Status]],Auxiliar!$B$16:$C$24,2,0)</f>
        <v>7</v>
      </c>
      <c r="K619" s="2" t="s">
        <v>1255</v>
      </c>
      <c r="L619" s="29" t="s">
        <v>1258</v>
      </c>
      <c r="M619" s="21" t="s">
        <v>1259</v>
      </c>
      <c r="N619" s="48">
        <v>45569</v>
      </c>
      <c r="O619" s="21">
        <f>INDEX(Auxiliar!$D$5:$F$13,MATCH(Table1[[#This Row],[Tipologia_Testes]],Auxiliar!$B$5:$B$13,0),MATCH(Table1[[#This Row],[Complexidade]],Auxiliar!$D$4:$F$4,0))</f>
        <v>0.1</v>
      </c>
      <c r="P619" s="2"/>
      <c r="Q619" s="2"/>
      <c r="R619" s="152">
        <v>45569</v>
      </c>
      <c r="S619" s="152"/>
      <c r="T619" s="152">
        <v>45569</v>
      </c>
      <c r="U619" s="152">
        <v>45624</v>
      </c>
      <c r="V619" s="152"/>
      <c r="W619" s="2">
        <f>VLOOKUP(Table1[[#This Row],[Status]],Auxiliar!$B$16:$D$24,3,0)*Table1[[#This Row],[Estimação (horas)]]</f>
        <v>2.5000000000000001E-2</v>
      </c>
      <c r="X619" s="2"/>
    </row>
    <row r="620" spans="2:24" ht="17.7" customHeight="1" x14ac:dyDescent="0.25">
      <c r="B620" s="2" t="s">
        <v>26</v>
      </c>
      <c r="C620" s="2" t="s">
        <v>311</v>
      </c>
      <c r="D620" s="2" t="s">
        <v>327</v>
      </c>
      <c r="E620" s="2" t="s">
        <v>38</v>
      </c>
      <c r="F620" s="2" t="s">
        <v>326</v>
      </c>
      <c r="G620" s="2" t="s">
        <v>320</v>
      </c>
      <c r="H620" s="57" t="str">
        <f>Table1[[#This Row],[Tabela]]&amp;Table1[[#This Row],[Campo]]</f>
        <v>modesg_out_empr_info_nfinorigem_scp1_emss</v>
      </c>
      <c r="I620" s="2" t="s">
        <v>1927</v>
      </c>
      <c r="J620" s="43">
        <f>VLOOKUP(Table1[[#This Row],[Status]],Auxiliar!$B$16:$C$24,2,0)</f>
        <v>2</v>
      </c>
      <c r="K620" s="2" t="s">
        <v>1252</v>
      </c>
      <c r="L620" s="29" t="s">
        <v>1258</v>
      </c>
      <c r="M620" s="21" t="s">
        <v>1259</v>
      </c>
      <c r="N620" s="48">
        <v>45624</v>
      </c>
      <c r="O620" s="21">
        <f>INDEX(Auxiliar!$D$5:$F$13,MATCH(Table1[[#This Row],[Tipologia_Testes]],Auxiliar!$B$5:$B$13,0),MATCH(Table1[[#This Row],[Complexidade]],Auxiliar!$D$4:$F$4,0))</f>
        <v>2</v>
      </c>
      <c r="P620" s="2"/>
      <c r="Q620" s="2"/>
      <c r="R620" s="152">
        <v>45569</v>
      </c>
      <c r="S620" s="152"/>
      <c r="T620" s="152">
        <v>45569</v>
      </c>
      <c r="U620" s="152">
        <v>45621</v>
      </c>
      <c r="V620" s="152">
        <v>45622</v>
      </c>
      <c r="W620" s="2">
        <f>VLOOKUP(Table1[[#This Row],[Status]],Auxiliar!$B$16:$D$24,3,0)*Table1[[#This Row],[Estimação (horas)]]</f>
        <v>1</v>
      </c>
      <c r="X620" s="2"/>
    </row>
    <row r="621" spans="2:24" ht="17.7" customHeight="1" x14ac:dyDescent="0.25">
      <c r="B621" s="2" t="s">
        <v>26</v>
      </c>
      <c r="C621" s="2" t="s">
        <v>311</v>
      </c>
      <c r="D621" s="2" t="s">
        <v>327</v>
      </c>
      <c r="E621" s="2" t="s">
        <v>38</v>
      </c>
      <c r="F621" s="2" t="s">
        <v>326</v>
      </c>
      <c r="G621" s="2" t="s">
        <v>320</v>
      </c>
      <c r="H621" s="57" t="str">
        <f>Table1[[#This Row],[Tabela]]&amp;Table1[[#This Row],[Campo]]</f>
        <v>modesg_out_empr_info_nfinorigem_scp1_emss</v>
      </c>
      <c r="I621" s="2" t="s">
        <v>1927</v>
      </c>
      <c r="J621" s="43">
        <f>VLOOKUP(Table1[[#This Row],[Status]],Auxiliar!$B$16:$C$24,2,0)</f>
        <v>2</v>
      </c>
      <c r="K621" s="2" t="s">
        <v>1253</v>
      </c>
      <c r="L621" s="29" t="s">
        <v>1258</v>
      </c>
      <c r="M621" s="21" t="s">
        <v>1259</v>
      </c>
      <c r="N621" s="48">
        <v>45624</v>
      </c>
      <c r="O621" s="21">
        <f>INDEX(Auxiliar!$D$5:$F$13,MATCH(Table1[[#This Row],[Tipologia_Testes]],Auxiliar!$B$5:$B$13,0),MATCH(Table1[[#This Row],[Complexidade]],Auxiliar!$D$4:$F$4,0))</f>
        <v>2</v>
      </c>
      <c r="P621" s="2"/>
      <c r="Q621" s="2"/>
      <c r="R621" s="152">
        <v>45569</v>
      </c>
      <c r="S621" s="152"/>
      <c r="T621" s="152">
        <v>45569</v>
      </c>
      <c r="U621" s="152">
        <v>45621</v>
      </c>
      <c r="V621" s="152">
        <v>45622</v>
      </c>
      <c r="W621" s="2">
        <f>VLOOKUP(Table1[[#This Row],[Status]],Auxiliar!$B$16:$D$24,3,0)*Table1[[#This Row],[Estimação (horas)]]</f>
        <v>1</v>
      </c>
      <c r="X621" s="2"/>
    </row>
    <row r="622" spans="2:24" ht="17.7" customHeight="1" x14ac:dyDescent="0.25">
      <c r="B622" s="2" t="s">
        <v>26</v>
      </c>
      <c r="C622" s="2" t="s">
        <v>311</v>
      </c>
      <c r="D622" s="2" t="s">
        <v>327</v>
      </c>
      <c r="E622" s="2" t="s">
        <v>38</v>
      </c>
      <c r="F622" s="2" t="s">
        <v>326</v>
      </c>
      <c r="G622" s="2" t="s">
        <v>320</v>
      </c>
      <c r="H622" s="57" t="str">
        <f>Table1[[#This Row],[Tabela]]&amp;Table1[[#This Row],[Campo]]</f>
        <v>modesg_out_empr_info_nfinorigem_scp1_emss</v>
      </c>
      <c r="I622" s="2" t="s">
        <v>1927</v>
      </c>
      <c r="J622" s="43">
        <f>VLOOKUP(Table1[[#This Row],[Status]],Auxiliar!$B$16:$C$24,2,0)</f>
        <v>2</v>
      </c>
      <c r="K622" s="2" t="s">
        <v>1255</v>
      </c>
      <c r="L622" s="29" t="s">
        <v>1258</v>
      </c>
      <c r="M622" s="21" t="s">
        <v>1259</v>
      </c>
      <c r="N622" s="48">
        <v>45624</v>
      </c>
      <c r="O622" s="21">
        <f>INDEX(Auxiliar!$D$5:$F$13,MATCH(Table1[[#This Row],[Tipologia_Testes]],Auxiliar!$B$5:$B$13,0),MATCH(Table1[[#This Row],[Complexidade]],Auxiliar!$D$4:$F$4,0))</f>
        <v>0.1</v>
      </c>
      <c r="P622" s="2"/>
      <c r="Q622" s="2"/>
      <c r="R622" s="152">
        <v>45569</v>
      </c>
      <c r="S622" s="152"/>
      <c r="T622" s="152">
        <v>45569</v>
      </c>
      <c r="U622" s="152">
        <v>45621</v>
      </c>
      <c r="V622" s="152">
        <v>45622</v>
      </c>
      <c r="W622" s="2">
        <f>VLOOKUP(Table1[[#This Row],[Status]],Auxiliar!$B$16:$D$24,3,0)*Table1[[#This Row],[Estimação (horas)]]</f>
        <v>0.05</v>
      </c>
      <c r="X622" s="2"/>
    </row>
    <row r="623" spans="2:24" ht="17.7" customHeight="1" x14ac:dyDescent="0.25">
      <c r="B623" s="2" t="s">
        <v>26</v>
      </c>
      <c r="C623" s="2" t="s">
        <v>311</v>
      </c>
      <c r="D623" s="2" t="s">
        <v>327</v>
      </c>
      <c r="E623" s="2" t="s">
        <v>38</v>
      </c>
      <c r="F623" s="2" t="s">
        <v>326</v>
      </c>
      <c r="G623" s="2" t="s">
        <v>321</v>
      </c>
      <c r="H623" s="57" t="str">
        <f>Table1[[#This Row],[Tabela]]&amp;Table1[[#This Row],[Campo]]</f>
        <v>modesg_out_empr_info_nfinorigem_scp2_emss</v>
      </c>
      <c r="I623" s="2" t="s">
        <v>1927</v>
      </c>
      <c r="J623" s="43">
        <f>VLOOKUP(Table1[[#This Row],[Status]],Auxiliar!$B$16:$C$24,2,0)</f>
        <v>2</v>
      </c>
      <c r="K623" s="2" t="s">
        <v>1252</v>
      </c>
      <c r="L623" s="29" t="s">
        <v>1258</v>
      </c>
      <c r="M623" s="21" t="s">
        <v>1259</v>
      </c>
      <c r="N623" s="48">
        <v>45624</v>
      </c>
      <c r="O623" s="21">
        <f>INDEX(Auxiliar!$D$5:$F$13,MATCH(Table1[[#This Row],[Tipologia_Testes]],Auxiliar!$B$5:$B$13,0),MATCH(Table1[[#This Row],[Complexidade]],Auxiliar!$D$4:$F$4,0))</f>
        <v>2</v>
      </c>
      <c r="P623" s="2"/>
      <c r="Q623" s="2"/>
      <c r="R623" s="152">
        <v>45569</v>
      </c>
      <c r="S623" s="152"/>
      <c r="T623" s="152">
        <v>45569</v>
      </c>
      <c r="U623" s="152">
        <v>45621</v>
      </c>
      <c r="V623" s="152">
        <v>45622</v>
      </c>
      <c r="W623" s="2">
        <f>VLOOKUP(Table1[[#This Row],[Status]],Auxiliar!$B$16:$D$24,3,0)*Table1[[#This Row],[Estimação (horas)]]</f>
        <v>1</v>
      </c>
      <c r="X623" s="2"/>
    </row>
    <row r="624" spans="2:24" ht="17.7" customHeight="1" x14ac:dyDescent="0.25">
      <c r="B624" s="2" t="s">
        <v>26</v>
      </c>
      <c r="C624" s="2" t="s">
        <v>311</v>
      </c>
      <c r="D624" s="2" t="s">
        <v>327</v>
      </c>
      <c r="E624" s="2" t="s">
        <v>38</v>
      </c>
      <c r="F624" s="2" t="s">
        <v>326</v>
      </c>
      <c r="G624" s="2" t="s">
        <v>321</v>
      </c>
      <c r="H624" s="57" t="str">
        <f>Table1[[#This Row],[Tabela]]&amp;Table1[[#This Row],[Campo]]</f>
        <v>modesg_out_empr_info_nfinorigem_scp2_emss</v>
      </c>
      <c r="I624" s="2" t="s">
        <v>1927</v>
      </c>
      <c r="J624" s="43">
        <f>VLOOKUP(Table1[[#This Row],[Status]],Auxiliar!$B$16:$C$24,2,0)</f>
        <v>2</v>
      </c>
      <c r="K624" s="2" t="s">
        <v>1253</v>
      </c>
      <c r="L624" s="29" t="s">
        <v>1258</v>
      </c>
      <c r="M624" s="21" t="s">
        <v>1259</v>
      </c>
      <c r="N624" s="48">
        <v>45624</v>
      </c>
      <c r="O624" s="21">
        <f>INDEX(Auxiliar!$D$5:$F$13,MATCH(Table1[[#This Row],[Tipologia_Testes]],Auxiliar!$B$5:$B$13,0),MATCH(Table1[[#This Row],[Complexidade]],Auxiliar!$D$4:$F$4,0))</f>
        <v>2</v>
      </c>
      <c r="P624" s="2"/>
      <c r="Q624" s="2"/>
      <c r="R624" s="152">
        <v>45569</v>
      </c>
      <c r="S624" s="152"/>
      <c r="T624" s="152">
        <v>45569</v>
      </c>
      <c r="U624" s="152">
        <v>45621</v>
      </c>
      <c r="V624" s="152">
        <v>45622</v>
      </c>
      <c r="W624" s="2">
        <f>VLOOKUP(Table1[[#This Row],[Status]],Auxiliar!$B$16:$D$24,3,0)*Table1[[#This Row],[Estimação (horas)]]</f>
        <v>1</v>
      </c>
      <c r="X624" s="2"/>
    </row>
    <row r="625" spans="2:24" ht="17.7" customHeight="1" x14ac:dyDescent="0.25">
      <c r="B625" s="2" t="s">
        <v>26</v>
      </c>
      <c r="C625" s="2" t="s">
        <v>311</v>
      </c>
      <c r="D625" s="2" t="s">
        <v>327</v>
      </c>
      <c r="E625" s="2" t="s">
        <v>38</v>
      </c>
      <c r="F625" s="2" t="s">
        <v>326</v>
      </c>
      <c r="G625" s="2" t="s">
        <v>321</v>
      </c>
      <c r="H625" s="57" t="str">
        <f>Table1[[#This Row],[Tabela]]&amp;Table1[[#This Row],[Campo]]</f>
        <v>modesg_out_empr_info_nfinorigem_scp2_emss</v>
      </c>
      <c r="I625" s="2" t="s">
        <v>1927</v>
      </c>
      <c r="J625" s="43">
        <f>VLOOKUP(Table1[[#This Row],[Status]],Auxiliar!$B$16:$C$24,2,0)</f>
        <v>2</v>
      </c>
      <c r="K625" s="2" t="s">
        <v>1255</v>
      </c>
      <c r="L625" s="29" t="s">
        <v>1258</v>
      </c>
      <c r="M625" s="21" t="s">
        <v>1259</v>
      </c>
      <c r="N625" s="48">
        <v>45624</v>
      </c>
      <c r="O625" s="21">
        <f>INDEX(Auxiliar!$D$5:$F$13,MATCH(Table1[[#This Row],[Tipologia_Testes]],Auxiliar!$B$5:$B$13,0),MATCH(Table1[[#This Row],[Complexidade]],Auxiliar!$D$4:$F$4,0))</f>
        <v>0.1</v>
      </c>
      <c r="P625" s="2"/>
      <c r="Q625" s="2"/>
      <c r="R625" s="152">
        <v>45569</v>
      </c>
      <c r="S625" s="152"/>
      <c r="T625" s="152">
        <v>45569</v>
      </c>
      <c r="U625" s="152">
        <v>45621</v>
      </c>
      <c r="V625" s="152">
        <v>45622</v>
      </c>
      <c r="W625" s="2">
        <f>VLOOKUP(Table1[[#This Row],[Status]],Auxiliar!$B$16:$D$24,3,0)*Table1[[#This Row],[Estimação (horas)]]</f>
        <v>0.05</v>
      </c>
      <c r="X625" s="2"/>
    </row>
    <row r="626" spans="2:24" ht="17.7" customHeight="1" x14ac:dyDescent="0.25">
      <c r="B626" s="2" t="s">
        <v>26</v>
      </c>
      <c r="C626" s="2" t="s">
        <v>311</v>
      </c>
      <c r="D626" s="2" t="s">
        <v>327</v>
      </c>
      <c r="E626" s="2" t="s">
        <v>38</v>
      </c>
      <c r="F626" s="2" t="s">
        <v>326</v>
      </c>
      <c r="G626" s="2" t="s">
        <v>322</v>
      </c>
      <c r="H626" s="57" t="str">
        <f>Table1[[#This Row],[Tabela]]&amp;Table1[[#This Row],[Campo]]</f>
        <v>modesg_out_empr_info_nfinorigem_scp3_emss</v>
      </c>
      <c r="I626" s="2" t="s">
        <v>1927</v>
      </c>
      <c r="J626" s="43">
        <f>VLOOKUP(Table1[[#This Row],[Status]],Auxiliar!$B$16:$C$24,2,0)</f>
        <v>2</v>
      </c>
      <c r="K626" s="2" t="s">
        <v>1252</v>
      </c>
      <c r="L626" s="29" t="s">
        <v>1258</v>
      </c>
      <c r="M626" s="21" t="s">
        <v>1259</v>
      </c>
      <c r="N626" s="48">
        <v>45624</v>
      </c>
      <c r="O626" s="21">
        <f>INDEX(Auxiliar!$D$5:$F$13,MATCH(Table1[[#This Row],[Tipologia_Testes]],Auxiliar!$B$5:$B$13,0),MATCH(Table1[[#This Row],[Complexidade]],Auxiliar!$D$4:$F$4,0))</f>
        <v>2</v>
      </c>
      <c r="P626" s="2"/>
      <c r="Q626" s="2"/>
      <c r="R626" s="152">
        <v>45569</v>
      </c>
      <c r="S626" s="152"/>
      <c r="T626" s="152">
        <v>45569</v>
      </c>
      <c r="U626" s="152">
        <v>45621</v>
      </c>
      <c r="V626" s="152">
        <v>45622</v>
      </c>
      <c r="W626" s="2">
        <f>VLOOKUP(Table1[[#This Row],[Status]],Auxiliar!$B$16:$D$24,3,0)*Table1[[#This Row],[Estimação (horas)]]</f>
        <v>1</v>
      </c>
      <c r="X626" s="2"/>
    </row>
    <row r="627" spans="2:24" ht="17.7" customHeight="1" x14ac:dyDescent="0.25">
      <c r="B627" s="2" t="s">
        <v>26</v>
      </c>
      <c r="C627" s="2" t="s">
        <v>311</v>
      </c>
      <c r="D627" s="2" t="s">
        <v>327</v>
      </c>
      <c r="E627" s="2" t="s">
        <v>38</v>
      </c>
      <c r="F627" s="2" t="s">
        <v>326</v>
      </c>
      <c r="G627" s="2" t="s">
        <v>322</v>
      </c>
      <c r="H627" s="57" t="str">
        <f>Table1[[#This Row],[Tabela]]&amp;Table1[[#This Row],[Campo]]</f>
        <v>modesg_out_empr_info_nfinorigem_scp3_emss</v>
      </c>
      <c r="I627" s="2" t="s">
        <v>1927</v>
      </c>
      <c r="J627" s="43">
        <f>VLOOKUP(Table1[[#This Row],[Status]],Auxiliar!$B$16:$C$24,2,0)</f>
        <v>2</v>
      </c>
      <c r="K627" s="2" t="s">
        <v>1253</v>
      </c>
      <c r="L627" s="29" t="s">
        <v>1258</v>
      </c>
      <c r="M627" s="21" t="s">
        <v>1259</v>
      </c>
      <c r="N627" s="48">
        <v>45624</v>
      </c>
      <c r="O627" s="21">
        <f>INDEX(Auxiliar!$D$5:$F$13,MATCH(Table1[[#This Row],[Tipologia_Testes]],Auxiliar!$B$5:$B$13,0),MATCH(Table1[[#This Row],[Complexidade]],Auxiliar!$D$4:$F$4,0))</f>
        <v>2</v>
      </c>
      <c r="P627" s="2"/>
      <c r="Q627" s="2"/>
      <c r="R627" s="152">
        <v>45569</v>
      </c>
      <c r="S627" s="152"/>
      <c r="T627" s="152">
        <v>45569</v>
      </c>
      <c r="U627" s="152">
        <v>45621</v>
      </c>
      <c r="V627" s="152">
        <v>45622</v>
      </c>
      <c r="W627" s="2">
        <f>VLOOKUP(Table1[[#This Row],[Status]],Auxiliar!$B$16:$D$24,3,0)*Table1[[#This Row],[Estimação (horas)]]</f>
        <v>1</v>
      </c>
      <c r="X627" s="2"/>
    </row>
    <row r="628" spans="2:24" ht="17.7" customHeight="1" x14ac:dyDescent="0.25">
      <c r="B628" s="2" t="s">
        <v>26</v>
      </c>
      <c r="C628" s="2" t="s">
        <v>311</v>
      </c>
      <c r="D628" s="2" t="s">
        <v>327</v>
      </c>
      <c r="E628" s="2" t="s">
        <v>38</v>
      </c>
      <c r="F628" s="2" t="s">
        <v>326</v>
      </c>
      <c r="G628" s="2" t="s">
        <v>322</v>
      </c>
      <c r="H628" s="57" t="str">
        <f>Table1[[#This Row],[Tabela]]&amp;Table1[[#This Row],[Campo]]</f>
        <v>modesg_out_empr_info_nfinorigem_scp3_emss</v>
      </c>
      <c r="I628" s="2" t="s">
        <v>1927</v>
      </c>
      <c r="J628" s="43">
        <f>VLOOKUP(Table1[[#This Row],[Status]],Auxiliar!$B$16:$C$24,2,0)</f>
        <v>2</v>
      </c>
      <c r="K628" s="2" t="s">
        <v>1255</v>
      </c>
      <c r="L628" s="29" t="s">
        <v>1258</v>
      </c>
      <c r="M628" s="21" t="s">
        <v>1259</v>
      </c>
      <c r="N628" s="48">
        <v>45624</v>
      </c>
      <c r="O628" s="21">
        <f>INDEX(Auxiliar!$D$5:$F$13,MATCH(Table1[[#This Row],[Tipologia_Testes]],Auxiliar!$B$5:$B$13,0),MATCH(Table1[[#This Row],[Complexidade]],Auxiliar!$D$4:$F$4,0))</f>
        <v>0.1</v>
      </c>
      <c r="P628" s="2"/>
      <c r="Q628" s="2"/>
      <c r="R628" s="152">
        <v>45569</v>
      </c>
      <c r="S628" s="152"/>
      <c r="T628" s="152">
        <v>45569</v>
      </c>
      <c r="U628" s="152">
        <v>45621</v>
      </c>
      <c r="V628" s="152">
        <v>45622</v>
      </c>
      <c r="W628" s="2">
        <f>VLOOKUP(Table1[[#This Row],[Status]],Auxiliar!$B$16:$D$24,3,0)*Table1[[#This Row],[Estimação (horas)]]</f>
        <v>0.05</v>
      </c>
      <c r="X628" s="2"/>
    </row>
    <row r="629" spans="2:24" ht="17.7" customHeight="1" x14ac:dyDescent="0.25">
      <c r="B629" s="2" t="s">
        <v>26</v>
      </c>
      <c r="C629" s="2" t="s">
        <v>311</v>
      </c>
      <c r="D629" s="2" t="s">
        <v>327</v>
      </c>
      <c r="E629" s="2" t="s">
        <v>38</v>
      </c>
      <c r="F629" s="2" t="s">
        <v>326</v>
      </c>
      <c r="G629" s="2" t="s">
        <v>208</v>
      </c>
      <c r="H629" s="57" t="str">
        <f>Table1[[#This Row],[Tabela]]&amp;Table1[[#This Row],[Campo]]</f>
        <v>modesg_out_empr_info_nfinref_date</v>
      </c>
      <c r="I629" s="3" t="s">
        <v>614</v>
      </c>
      <c r="J629" s="55">
        <f>VLOOKUP(Table1[[#This Row],[Status]],Auxiliar!$B$16:$C$24,2,0)</f>
        <v>1</v>
      </c>
      <c r="K629" s="2" t="s">
        <v>1252</v>
      </c>
      <c r="L629" s="29" t="s">
        <v>1258</v>
      </c>
      <c r="M629" s="21" t="s">
        <v>1259</v>
      </c>
      <c r="N629" s="48">
        <v>45485</v>
      </c>
      <c r="O629" s="21">
        <f>INDEX(Auxiliar!$D$5:$F$13,MATCH(Table1[[#This Row],[Tipologia_Testes]],Auxiliar!$B$5:$B$13,0),MATCH(Table1[[#This Row],[Complexidade]],Auxiliar!$D$4:$F$4,0))</f>
        <v>2</v>
      </c>
      <c r="P629" s="2"/>
      <c r="Q629" s="2" t="s">
        <v>1269</v>
      </c>
      <c r="R629" s="152">
        <v>45261</v>
      </c>
      <c r="S629" s="152"/>
      <c r="T629" s="152"/>
      <c r="U629" s="152"/>
      <c r="V629" s="152"/>
      <c r="W629" s="2">
        <f>VLOOKUP(Table1[[#This Row],[Status]],Auxiliar!$B$16:$D$24,3,0)*Table1[[#This Row],[Estimação (horas)]]</f>
        <v>2</v>
      </c>
      <c r="X629" s="2"/>
    </row>
    <row r="630" spans="2:24" ht="17.7" customHeight="1" x14ac:dyDescent="0.25">
      <c r="B630" s="2" t="s">
        <v>26</v>
      </c>
      <c r="C630" s="2" t="s">
        <v>311</v>
      </c>
      <c r="D630" s="2" t="s">
        <v>327</v>
      </c>
      <c r="E630" s="2" t="s">
        <v>38</v>
      </c>
      <c r="F630" s="2" t="s">
        <v>326</v>
      </c>
      <c r="G630" s="2" t="s">
        <v>208</v>
      </c>
      <c r="H630" s="57" t="str">
        <f>Table1[[#This Row],[Tabela]]&amp;Table1[[#This Row],[Campo]]</f>
        <v>modesg_out_empr_info_nfinref_date</v>
      </c>
      <c r="I630" s="3" t="s">
        <v>614</v>
      </c>
      <c r="J630" s="55">
        <f>VLOOKUP(Table1[[#This Row],[Status]],Auxiliar!$B$16:$C$24,2,0)</f>
        <v>1</v>
      </c>
      <c r="K630" s="2" t="s">
        <v>1253</v>
      </c>
      <c r="L630" s="29" t="s">
        <v>1258</v>
      </c>
      <c r="M630" s="21" t="s">
        <v>1259</v>
      </c>
      <c r="N630" s="48">
        <v>45485</v>
      </c>
      <c r="O630" s="21">
        <f>INDEX(Auxiliar!$D$5:$F$13,MATCH(Table1[[#This Row],[Tipologia_Testes]],Auxiliar!$B$5:$B$13,0),MATCH(Table1[[#This Row],[Complexidade]],Auxiliar!$D$4:$F$4,0))</f>
        <v>2</v>
      </c>
      <c r="P630" s="2"/>
      <c r="Q630" s="2" t="s">
        <v>1269</v>
      </c>
      <c r="R630" s="152">
        <v>45261</v>
      </c>
      <c r="S630" s="152"/>
      <c r="T630" s="152"/>
      <c r="U630" s="152"/>
      <c r="V630" s="152"/>
      <c r="W630" s="2">
        <f>VLOOKUP(Table1[[#This Row],[Status]],Auxiliar!$B$16:$D$24,3,0)*Table1[[#This Row],[Estimação (horas)]]</f>
        <v>2</v>
      </c>
      <c r="X630" s="2"/>
    </row>
    <row r="631" spans="2:24" ht="17.7" customHeight="1" x14ac:dyDescent="0.25">
      <c r="B631" s="2" t="s">
        <v>26</v>
      </c>
      <c r="C631" s="2" t="s">
        <v>311</v>
      </c>
      <c r="D631" s="2" t="s">
        <v>327</v>
      </c>
      <c r="E631" s="2" t="s">
        <v>38</v>
      </c>
      <c r="F631" s="2" t="s">
        <v>326</v>
      </c>
      <c r="G631" s="2" t="s">
        <v>208</v>
      </c>
      <c r="H631" s="57" t="str">
        <f>Table1[[#This Row],[Tabela]]&amp;Table1[[#This Row],[Campo]]</f>
        <v>modesg_out_empr_info_nfinref_date</v>
      </c>
      <c r="I631" s="3" t="s">
        <v>614</v>
      </c>
      <c r="J631" s="55">
        <f>VLOOKUP(Table1[[#This Row],[Status]],Auxiliar!$B$16:$C$24,2,0)</f>
        <v>1</v>
      </c>
      <c r="K631" s="2" t="s">
        <v>1255</v>
      </c>
      <c r="L631" s="29" t="s">
        <v>1258</v>
      </c>
      <c r="M631" s="21" t="s">
        <v>1259</v>
      </c>
      <c r="N631" s="48">
        <v>45485</v>
      </c>
      <c r="O631" s="21">
        <f>INDEX(Auxiliar!$D$5:$F$13,MATCH(Table1[[#This Row],[Tipologia_Testes]],Auxiliar!$B$5:$B$13,0),MATCH(Table1[[#This Row],[Complexidade]],Auxiliar!$D$4:$F$4,0))</f>
        <v>0.1</v>
      </c>
      <c r="P631" s="2"/>
      <c r="Q631" s="2" t="s">
        <v>1269</v>
      </c>
      <c r="R631" s="152">
        <v>45261</v>
      </c>
      <c r="S631" s="152"/>
      <c r="T631" s="152"/>
      <c r="U631" s="152"/>
      <c r="V631" s="152"/>
      <c r="W631" s="2">
        <f>VLOOKUP(Table1[[#This Row],[Status]],Auxiliar!$B$16:$D$24,3,0)*Table1[[#This Row],[Estimação (horas)]]</f>
        <v>0.1</v>
      </c>
      <c r="X631" s="2"/>
    </row>
    <row r="632" spans="2:24" ht="17.7" customHeight="1" x14ac:dyDescent="0.25">
      <c r="B632" s="2" t="s">
        <v>26</v>
      </c>
      <c r="C632" s="2" t="s">
        <v>311</v>
      </c>
      <c r="D632" s="2" t="s">
        <v>327</v>
      </c>
      <c r="E632" s="2" t="s">
        <v>38</v>
      </c>
      <c r="F632" s="2" t="s">
        <v>326</v>
      </c>
      <c r="G632" s="2" t="s">
        <v>286</v>
      </c>
      <c r="H632" s="57" t="str">
        <f>Table1[[#This Row],[Tabela]]&amp;Table1[[#This Row],[Campo]]</f>
        <v>modesg_out_empr_info_nfinscp1_emss</v>
      </c>
      <c r="I632" s="2" t="s">
        <v>1927</v>
      </c>
      <c r="J632" s="43">
        <f>VLOOKUP(Table1[[#This Row],[Status]],Auxiliar!$B$16:$C$24,2,0)</f>
        <v>2</v>
      </c>
      <c r="K632" s="2" t="s">
        <v>1252</v>
      </c>
      <c r="L632" s="29" t="s">
        <v>1258</v>
      </c>
      <c r="M632" s="21" t="s">
        <v>1260</v>
      </c>
      <c r="N632" s="48">
        <v>45624</v>
      </c>
      <c r="O632" s="21">
        <f>INDEX(Auxiliar!$D$5:$F$13,MATCH(Table1[[#This Row],[Tipologia_Testes]],Auxiliar!$B$5:$B$13,0),MATCH(Table1[[#This Row],[Complexidade]],Auxiliar!$D$4:$F$4,0))</f>
        <v>4</v>
      </c>
      <c r="P632" s="2"/>
      <c r="Q632" s="2"/>
      <c r="R632" s="152">
        <v>45569</v>
      </c>
      <c r="S632" s="152"/>
      <c r="T632" s="152">
        <v>45569</v>
      </c>
      <c r="U632" s="152">
        <v>45621</v>
      </c>
      <c r="V632" s="152">
        <v>45622</v>
      </c>
      <c r="W632" s="2">
        <f>VLOOKUP(Table1[[#This Row],[Status]],Auxiliar!$B$16:$D$24,3,0)*Table1[[#This Row],[Estimação (horas)]]</f>
        <v>2</v>
      </c>
      <c r="X632" s="2"/>
    </row>
    <row r="633" spans="2:24" ht="17.7" customHeight="1" x14ac:dyDescent="0.25">
      <c r="B633" s="2" t="s">
        <v>26</v>
      </c>
      <c r="C633" s="2" t="s">
        <v>311</v>
      </c>
      <c r="D633" s="2" t="s">
        <v>327</v>
      </c>
      <c r="E633" s="2" t="s">
        <v>38</v>
      </c>
      <c r="F633" s="2" t="s">
        <v>326</v>
      </c>
      <c r="G633" s="2" t="s">
        <v>286</v>
      </c>
      <c r="H633" s="57" t="str">
        <f>Table1[[#This Row],[Tabela]]&amp;Table1[[#This Row],[Campo]]</f>
        <v>modesg_out_empr_info_nfinscp1_emss</v>
      </c>
      <c r="I633" s="2" t="s">
        <v>1927</v>
      </c>
      <c r="J633" s="43">
        <f>VLOOKUP(Table1[[#This Row],[Status]],Auxiliar!$B$16:$C$24,2,0)</f>
        <v>2</v>
      </c>
      <c r="K633" s="2" t="s">
        <v>1253</v>
      </c>
      <c r="L633" s="29" t="s">
        <v>1258</v>
      </c>
      <c r="M633" s="21" t="s">
        <v>1260</v>
      </c>
      <c r="N633" s="48">
        <v>45624</v>
      </c>
      <c r="O633" s="21">
        <f>INDEX(Auxiliar!$D$5:$F$13,MATCH(Table1[[#This Row],[Tipologia_Testes]],Auxiliar!$B$5:$B$13,0),MATCH(Table1[[#This Row],[Complexidade]],Auxiliar!$D$4:$F$4,0))</f>
        <v>4</v>
      </c>
      <c r="P633" s="2"/>
      <c r="Q633" s="2"/>
      <c r="R633" s="152">
        <v>45569</v>
      </c>
      <c r="S633" s="152"/>
      <c r="T633" s="152">
        <v>45569</v>
      </c>
      <c r="U633" s="152">
        <v>45621</v>
      </c>
      <c r="V633" s="152">
        <v>45622</v>
      </c>
      <c r="W633" s="2">
        <f>VLOOKUP(Table1[[#This Row],[Status]],Auxiliar!$B$16:$D$24,3,0)*Table1[[#This Row],[Estimação (horas)]]</f>
        <v>2</v>
      </c>
      <c r="X633" s="2"/>
    </row>
    <row r="634" spans="2:24" ht="17.7" customHeight="1" x14ac:dyDescent="0.25">
      <c r="B634" s="2" t="s">
        <v>26</v>
      </c>
      <c r="C634" s="2" t="s">
        <v>311</v>
      </c>
      <c r="D634" s="2" t="s">
        <v>327</v>
      </c>
      <c r="E634" s="2" t="s">
        <v>38</v>
      </c>
      <c r="F634" s="2" t="s">
        <v>326</v>
      </c>
      <c r="G634" s="2" t="s">
        <v>286</v>
      </c>
      <c r="H634" s="57" t="str">
        <f>Table1[[#This Row],[Tabela]]&amp;Table1[[#This Row],[Campo]]</f>
        <v>modesg_out_empr_info_nfinscp1_emss</v>
      </c>
      <c r="I634" s="2" t="s">
        <v>1927</v>
      </c>
      <c r="J634" s="43">
        <f>VLOOKUP(Table1[[#This Row],[Status]],Auxiliar!$B$16:$C$24,2,0)</f>
        <v>2</v>
      </c>
      <c r="K634" s="2" t="s">
        <v>1255</v>
      </c>
      <c r="L634" s="29" t="s">
        <v>1258</v>
      </c>
      <c r="M634" s="21" t="s">
        <v>1260</v>
      </c>
      <c r="N634" s="48">
        <v>45624</v>
      </c>
      <c r="O634" s="21">
        <f>INDEX(Auxiliar!$D$5:$F$13,MATCH(Table1[[#This Row],[Tipologia_Testes]],Auxiliar!$B$5:$B$13,0),MATCH(Table1[[#This Row],[Complexidade]],Auxiliar!$D$4:$F$4,0))</f>
        <v>0.1</v>
      </c>
      <c r="P634" s="2"/>
      <c r="Q634" s="2"/>
      <c r="R634" s="152">
        <v>45569</v>
      </c>
      <c r="S634" s="152"/>
      <c r="T634" s="152">
        <v>45569</v>
      </c>
      <c r="U634" s="152">
        <v>45621</v>
      </c>
      <c r="V634" s="152">
        <v>45622</v>
      </c>
      <c r="W634" s="2">
        <f>VLOOKUP(Table1[[#This Row],[Status]],Auxiliar!$B$16:$D$24,3,0)*Table1[[#This Row],[Estimação (horas)]]</f>
        <v>0.05</v>
      </c>
      <c r="X634" s="2"/>
    </row>
    <row r="635" spans="2:24" ht="17.7" customHeight="1" x14ac:dyDescent="0.25">
      <c r="B635" s="2" t="s">
        <v>26</v>
      </c>
      <c r="C635" s="2" t="s">
        <v>311</v>
      </c>
      <c r="D635" s="2" t="s">
        <v>327</v>
      </c>
      <c r="E635" s="2" t="s">
        <v>38</v>
      </c>
      <c r="F635" s="2" t="s">
        <v>326</v>
      </c>
      <c r="G635" s="2" t="s">
        <v>287</v>
      </c>
      <c r="H635" s="57" t="str">
        <f>Table1[[#This Row],[Tabela]]&amp;Table1[[#This Row],[Campo]]</f>
        <v>modesg_out_empr_info_nfinscp2_emss</v>
      </c>
      <c r="I635" s="2" t="s">
        <v>1927</v>
      </c>
      <c r="J635" s="43">
        <f>VLOOKUP(Table1[[#This Row],[Status]],Auxiliar!$B$16:$C$24,2,0)</f>
        <v>2</v>
      </c>
      <c r="K635" s="2" t="s">
        <v>1252</v>
      </c>
      <c r="L635" s="29" t="s">
        <v>1258</v>
      </c>
      <c r="M635" s="21" t="s">
        <v>1260</v>
      </c>
      <c r="N635" s="48">
        <v>45624</v>
      </c>
      <c r="O635" s="21">
        <f>INDEX(Auxiliar!$D$5:$F$13,MATCH(Table1[[#This Row],[Tipologia_Testes]],Auxiliar!$B$5:$B$13,0),MATCH(Table1[[#This Row],[Complexidade]],Auxiliar!$D$4:$F$4,0))</f>
        <v>4</v>
      </c>
      <c r="P635" s="2"/>
      <c r="Q635" s="2"/>
      <c r="R635" s="152">
        <v>45569</v>
      </c>
      <c r="S635" s="152"/>
      <c r="T635" s="152">
        <v>45569</v>
      </c>
      <c r="U635" s="152">
        <v>45621</v>
      </c>
      <c r="V635" s="152">
        <v>45622</v>
      </c>
      <c r="W635" s="2">
        <f>VLOOKUP(Table1[[#This Row],[Status]],Auxiliar!$B$16:$D$24,3,0)*Table1[[#This Row],[Estimação (horas)]]</f>
        <v>2</v>
      </c>
      <c r="X635" s="2"/>
    </row>
    <row r="636" spans="2:24" ht="17.7" customHeight="1" x14ac:dyDescent="0.25">
      <c r="B636" s="2" t="s">
        <v>26</v>
      </c>
      <c r="C636" s="2" t="s">
        <v>311</v>
      </c>
      <c r="D636" s="2" t="s">
        <v>327</v>
      </c>
      <c r="E636" s="2" t="s">
        <v>38</v>
      </c>
      <c r="F636" s="2" t="s">
        <v>326</v>
      </c>
      <c r="G636" s="2" t="s">
        <v>287</v>
      </c>
      <c r="H636" s="57" t="str">
        <f>Table1[[#This Row],[Tabela]]&amp;Table1[[#This Row],[Campo]]</f>
        <v>modesg_out_empr_info_nfinscp2_emss</v>
      </c>
      <c r="I636" s="2" t="s">
        <v>1927</v>
      </c>
      <c r="J636" s="43">
        <f>VLOOKUP(Table1[[#This Row],[Status]],Auxiliar!$B$16:$C$24,2,0)</f>
        <v>2</v>
      </c>
      <c r="K636" s="2" t="s">
        <v>1253</v>
      </c>
      <c r="L636" s="29" t="s">
        <v>1258</v>
      </c>
      <c r="M636" s="21" t="s">
        <v>1260</v>
      </c>
      <c r="N636" s="48">
        <v>45624</v>
      </c>
      <c r="O636" s="21">
        <f>INDEX(Auxiliar!$D$5:$F$13,MATCH(Table1[[#This Row],[Tipologia_Testes]],Auxiliar!$B$5:$B$13,0),MATCH(Table1[[#This Row],[Complexidade]],Auxiliar!$D$4:$F$4,0))</f>
        <v>4</v>
      </c>
      <c r="P636" s="2"/>
      <c r="Q636" s="2"/>
      <c r="R636" s="152">
        <v>45569</v>
      </c>
      <c r="S636" s="152"/>
      <c r="T636" s="152">
        <v>45569</v>
      </c>
      <c r="U636" s="152">
        <v>45621</v>
      </c>
      <c r="V636" s="152">
        <v>45622</v>
      </c>
      <c r="W636" s="2">
        <f>VLOOKUP(Table1[[#This Row],[Status]],Auxiliar!$B$16:$D$24,3,0)*Table1[[#This Row],[Estimação (horas)]]</f>
        <v>2</v>
      </c>
      <c r="X636" s="2"/>
    </row>
    <row r="637" spans="2:24" ht="17.7" customHeight="1" x14ac:dyDescent="0.25">
      <c r="B637" s="2" t="s">
        <v>26</v>
      </c>
      <c r="C637" s="2" t="s">
        <v>311</v>
      </c>
      <c r="D637" s="2" t="s">
        <v>327</v>
      </c>
      <c r="E637" s="2" t="s">
        <v>38</v>
      </c>
      <c r="F637" s="2" t="s">
        <v>326</v>
      </c>
      <c r="G637" s="2" t="s">
        <v>287</v>
      </c>
      <c r="H637" s="57" t="str">
        <f>Table1[[#This Row],[Tabela]]&amp;Table1[[#This Row],[Campo]]</f>
        <v>modesg_out_empr_info_nfinscp2_emss</v>
      </c>
      <c r="I637" s="2" t="s">
        <v>1927</v>
      </c>
      <c r="J637" s="43">
        <f>VLOOKUP(Table1[[#This Row],[Status]],Auxiliar!$B$16:$C$24,2,0)</f>
        <v>2</v>
      </c>
      <c r="K637" s="2" t="s">
        <v>1255</v>
      </c>
      <c r="L637" s="29" t="s">
        <v>1258</v>
      </c>
      <c r="M637" s="21" t="s">
        <v>1260</v>
      </c>
      <c r="N637" s="48">
        <v>45624</v>
      </c>
      <c r="O637" s="21">
        <f>INDEX(Auxiliar!$D$5:$F$13,MATCH(Table1[[#This Row],[Tipologia_Testes]],Auxiliar!$B$5:$B$13,0),MATCH(Table1[[#This Row],[Complexidade]],Auxiliar!$D$4:$F$4,0))</f>
        <v>0.1</v>
      </c>
      <c r="P637" s="2"/>
      <c r="Q637" s="2"/>
      <c r="R637" s="152">
        <v>45569</v>
      </c>
      <c r="S637" s="152"/>
      <c r="T637" s="152">
        <v>45569</v>
      </c>
      <c r="U637" s="152">
        <v>45621</v>
      </c>
      <c r="V637" s="152">
        <v>45622</v>
      </c>
      <c r="W637" s="2">
        <f>VLOOKUP(Table1[[#This Row],[Status]],Auxiliar!$B$16:$D$24,3,0)*Table1[[#This Row],[Estimação (horas)]]</f>
        <v>0.05</v>
      </c>
      <c r="X637" s="2"/>
    </row>
    <row r="638" spans="2:24" ht="17.7" customHeight="1" x14ac:dyDescent="0.25">
      <c r="B638" s="2" t="s">
        <v>26</v>
      </c>
      <c r="C638" s="2" t="s">
        <v>311</v>
      </c>
      <c r="D638" s="2" t="s">
        <v>327</v>
      </c>
      <c r="E638" s="2" t="s">
        <v>38</v>
      </c>
      <c r="F638" s="2" t="s">
        <v>326</v>
      </c>
      <c r="G638" s="2" t="s">
        <v>288</v>
      </c>
      <c r="H638" s="57" t="str">
        <f>Table1[[#This Row],[Tabela]]&amp;Table1[[#This Row],[Campo]]</f>
        <v>modesg_out_empr_info_nfinscp3_emss</v>
      </c>
      <c r="I638" s="2" t="s">
        <v>1927</v>
      </c>
      <c r="J638" s="43">
        <f>VLOOKUP(Table1[[#This Row],[Status]],Auxiliar!$B$16:$C$24,2,0)</f>
        <v>2</v>
      </c>
      <c r="K638" s="2" t="s">
        <v>1252</v>
      </c>
      <c r="L638" s="29" t="s">
        <v>1258</v>
      </c>
      <c r="M638" s="21" t="s">
        <v>1260</v>
      </c>
      <c r="N638" s="48">
        <v>45624</v>
      </c>
      <c r="O638" s="21">
        <f>INDEX(Auxiliar!$D$5:$F$13,MATCH(Table1[[#This Row],[Tipologia_Testes]],Auxiliar!$B$5:$B$13,0),MATCH(Table1[[#This Row],[Complexidade]],Auxiliar!$D$4:$F$4,0))</f>
        <v>4</v>
      </c>
      <c r="P638" s="2"/>
      <c r="Q638" s="2"/>
      <c r="R638" s="152">
        <v>45569</v>
      </c>
      <c r="S638" s="152"/>
      <c r="T638" s="152">
        <v>45569</v>
      </c>
      <c r="U638" s="152">
        <v>45621</v>
      </c>
      <c r="V638" s="152">
        <v>45622</v>
      </c>
      <c r="W638" s="2">
        <f>VLOOKUP(Table1[[#This Row],[Status]],Auxiliar!$B$16:$D$24,3,0)*Table1[[#This Row],[Estimação (horas)]]</f>
        <v>2</v>
      </c>
      <c r="X638" s="2"/>
    </row>
    <row r="639" spans="2:24" ht="17.7" customHeight="1" x14ac:dyDescent="0.25">
      <c r="B639" s="2" t="s">
        <v>26</v>
      </c>
      <c r="C639" s="2" t="s">
        <v>311</v>
      </c>
      <c r="D639" s="2" t="s">
        <v>327</v>
      </c>
      <c r="E639" s="2" t="s">
        <v>38</v>
      </c>
      <c r="F639" s="2" t="s">
        <v>326</v>
      </c>
      <c r="G639" s="2" t="s">
        <v>288</v>
      </c>
      <c r="H639" s="57" t="str">
        <f>Table1[[#This Row],[Tabela]]&amp;Table1[[#This Row],[Campo]]</f>
        <v>modesg_out_empr_info_nfinscp3_emss</v>
      </c>
      <c r="I639" s="2" t="s">
        <v>1927</v>
      </c>
      <c r="J639" s="43">
        <f>VLOOKUP(Table1[[#This Row],[Status]],Auxiliar!$B$16:$C$24,2,0)</f>
        <v>2</v>
      </c>
      <c r="K639" s="2" t="s">
        <v>1253</v>
      </c>
      <c r="L639" s="29" t="s">
        <v>1258</v>
      </c>
      <c r="M639" s="21" t="s">
        <v>1260</v>
      </c>
      <c r="N639" s="48">
        <v>45624</v>
      </c>
      <c r="O639" s="21">
        <f>INDEX(Auxiliar!$D$5:$F$13,MATCH(Table1[[#This Row],[Tipologia_Testes]],Auxiliar!$B$5:$B$13,0),MATCH(Table1[[#This Row],[Complexidade]],Auxiliar!$D$4:$F$4,0))</f>
        <v>4</v>
      </c>
      <c r="P639" s="2"/>
      <c r="Q639" s="2"/>
      <c r="R639" s="152">
        <v>45569</v>
      </c>
      <c r="S639" s="152"/>
      <c r="T639" s="152">
        <v>45569</v>
      </c>
      <c r="U639" s="152">
        <v>45621</v>
      </c>
      <c r="V639" s="152">
        <v>45622</v>
      </c>
      <c r="W639" s="2">
        <f>VLOOKUP(Table1[[#This Row],[Status]],Auxiliar!$B$16:$D$24,3,0)*Table1[[#This Row],[Estimação (horas)]]</f>
        <v>2</v>
      </c>
      <c r="X639" s="2"/>
    </row>
    <row r="640" spans="2:24" ht="17.7" customHeight="1" x14ac:dyDescent="0.25">
      <c r="B640" s="2" t="s">
        <v>26</v>
      </c>
      <c r="C640" s="2" t="s">
        <v>311</v>
      </c>
      <c r="D640" s="2" t="s">
        <v>327</v>
      </c>
      <c r="E640" s="2" t="s">
        <v>38</v>
      </c>
      <c r="F640" s="2" t="s">
        <v>326</v>
      </c>
      <c r="G640" s="2" t="s">
        <v>288</v>
      </c>
      <c r="H640" s="57" t="str">
        <f>Table1[[#This Row],[Tabela]]&amp;Table1[[#This Row],[Campo]]</f>
        <v>modesg_out_empr_info_nfinscp3_emss</v>
      </c>
      <c r="I640" s="2" t="s">
        <v>1927</v>
      </c>
      <c r="J640" s="43">
        <f>VLOOKUP(Table1[[#This Row],[Status]],Auxiliar!$B$16:$C$24,2,0)</f>
        <v>2</v>
      </c>
      <c r="K640" s="2" t="s">
        <v>1255</v>
      </c>
      <c r="L640" s="29" t="s">
        <v>1258</v>
      </c>
      <c r="M640" s="21" t="s">
        <v>1260</v>
      </c>
      <c r="N640" s="48">
        <v>45624</v>
      </c>
      <c r="O640" s="21">
        <f>INDEX(Auxiliar!$D$5:$F$13,MATCH(Table1[[#This Row],[Tipologia_Testes]],Auxiliar!$B$5:$B$13,0),MATCH(Table1[[#This Row],[Complexidade]],Auxiliar!$D$4:$F$4,0))</f>
        <v>0.1</v>
      </c>
      <c r="P640" s="2"/>
      <c r="Q640" s="2"/>
      <c r="R640" s="152">
        <v>45569</v>
      </c>
      <c r="S640" s="152"/>
      <c r="T640" s="152">
        <v>45569</v>
      </c>
      <c r="U640" s="152">
        <v>45621</v>
      </c>
      <c r="V640" s="152">
        <v>45622</v>
      </c>
      <c r="W640" s="2">
        <f>VLOOKUP(Table1[[#This Row],[Status]],Auxiliar!$B$16:$D$24,3,0)*Table1[[#This Row],[Estimação (horas)]]</f>
        <v>0.05</v>
      </c>
      <c r="X640" s="2"/>
    </row>
    <row r="641" spans="2:24" ht="17.7" customHeight="1" x14ac:dyDescent="0.25">
      <c r="B641" s="2" t="s">
        <v>26</v>
      </c>
      <c r="C641" s="2" t="s">
        <v>311</v>
      </c>
      <c r="D641" s="2" t="s">
        <v>327</v>
      </c>
      <c r="E641" s="2" t="s">
        <v>38</v>
      </c>
      <c r="F641" s="2" t="s">
        <v>326</v>
      </c>
      <c r="G641" s="2" t="s">
        <v>209</v>
      </c>
      <c r="H641" s="57" t="str">
        <f>Table1[[#This Row],[Tabela]]&amp;Table1[[#This Row],[Campo]]</f>
        <v>modesg_out_empr_info_nfinzcliente</v>
      </c>
      <c r="I641" s="2" t="s">
        <v>614</v>
      </c>
      <c r="J641" s="55">
        <f>VLOOKUP(Table1[[#This Row],[Status]],Auxiliar!$B$16:$C$24,2,0)</f>
        <v>1</v>
      </c>
      <c r="K641" s="2" t="s">
        <v>1252</v>
      </c>
      <c r="L641" s="29" t="s">
        <v>1258</v>
      </c>
      <c r="M641" s="21" t="s">
        <v>1259</v>
      </c>
      <c r="N641" s="48">
        <v>45561</v>
      </c>
      <c r="O641" s="21">
        <f>INDEX(Auxiliar!$D$5:$F$13,MATCH(Table1[[#This Row],[Tipologia_Testes]],Auxiliar!$B$5:$B$13,0),MATCH(Table1[[#This Row],[Complexidade]],Auxiliar!$D$4:$F$4,0))</f>
        <v>2</v>
      </c>
      <c r="P641" s="2" t="s">
        <v>1285</v>
      </c>
      <c r="Q641" s="2"/>
      <c r="R641" s="152"/>
      <c r="S641" s="152"/>
      <c r="T641" s="152"/>
      <c r="U641" s="152"/>
      <c r="V641" s="152"/>
      <c r="W641" s="2">
        <f>VLOOKUP(Table1[[#This Row],[Status]],Auxiliar!$B$16:$D$24,3,0)*Table1[[#This Row],[Estimação (horas)]]</f>
        <v>2</v>
      </c>
      <c r="X641" s="2"/>
    </row>
    <row r="642" spans="2:24" ht="17.7" customHeight="1" x14ac:dyDescent="0.25">
      <c r="B642" s="2" t="s">
        <v>26</v>
      </c>
      <c r="C642" s="2" t="s">
        <v>311</v>
      </c>
      <c r="D642" s="2" t="s">
        <v>327</v>
      </c>
      <c r="E642" s="2" t="s">
        <v>38</v>
      </c>
      <c r="F642" s="2" t="s">
        <v>326</v>
      </c>
      <c r="G642" s="2" t="s">
        <v>209</v>
      </c>
      <c r="H642" s="57" t="str">
        <f>Table1[[#This Row],[Tabela]]&amp;Table1[[#This Row],[Campo]]</f>
        <v>modesg_out_empr_info_nfinzcliente</v>
      </c>
      <c r="I642" s="2" t="s">
        <v>614</v>
      </c>
      <c r="J642" s="55">
        <f>VLOOKUP(Table1[[#This Row],[Status]],Auxiliar!$B$16:$C$24,2,0)</f>
        <v>1</v>
      </c>
      <c r="K642" s="2" t="s">
        <v>1253</v>
      </c>
      <c r="L642" s="29" t="s">
        <v>1258</v>
      </c>
      <c r="M642" s="21" t="s">
        <v>1259</v>
      </c>
      <c r="N642" s="48">
        <v>45561</v>
      </c>
      <c r="O642" s="21">
        <f>INDEX(Auxiliar!$D$5:$F$13,MATCH(Table1[[#This Row],[Tipologia_Testes]],Auxiliar!$B$5:$B$13,0),MATCH(Table1[[#This Row],[Complexidade]],Auxiliar!$D$4:$F$4,0))</f>
        <v>2</v>
      </c>
      <c r="P642" s="2" t="s">
        <v>1285</v>
      </c>
      <c r="Q642" s="2"/>
      <c r="R642" s="152"/>
      <c r="S642" s="152"/>
      <c r="T642" s="152"/>
      <c r="U642" s="152"/>
      <c r="V642" s="152"/>
      <c r="W642" s="2">
        <f>VLOOKUP(Table1[[#This Row],[Status]],Auxiliar!$B$16:$D$24,3,0)*Table1[[#This Row],[Estimação (horas)]]</f>
        <v>2</v>
      </c>
      <c r="X642" s="2"/>
    </row>
    <row r="643" spans="2:24" ht="17.7" customHeight="1" x14ac:dyDescent="0.25">
      <c r="B643" s="2" t="s">
        <v>26</v>
      </c>
      <c r="C643" s="2" t="s">
        <v>311</v>
      </c>
      <c r="D643" s="2" t="s">
        <v>327</v>
      </c>
      <c r="E643" s="2" t="s">
        <v>38</v>
      </c>
      <c r="F643" s="2" t="s">
        <v>326</v>
      </c>
      <c r="G643" s="2" t="s">
        <v>209</v>
      </c>
      <c r="H643" s="57" t="str">
        <f>Table1[[#This Row],[Tabela]]&amp;Table1[[#This Row],[Campo]]</f>
        <v>modesg_out_empr_info_nfinzcliente</v>
      </c>
      <c r="I643" s="2" t="s">
        <v>614</v>
      </c>
      <c r="J643" s="55">
        <f>VLOOKUP(Table1[[#This Row],[Status]],Auxiliar!$B$16:$C$24,2,0)</f>
        <v>1</v>
      </c>
      <c r="K643" s="2" t="s">
        <v>1255</v>
      </c>
      <c r="L643" s="29" t="s">
        <v>1258</v>
      </c>
      <c r="M643" s="21" t="s">
        <v>1259</v>
      </c>
      <c r="N643" s="48">
        <v>45561</v>
      </c>
      <c r="O643" s="21">
        <f>INDEX(Auxiliar!$D$5:$F$13,MATCH(Table1[[#This Row],[Tipologia_Testes]],Auxiliar!$B$5:$B$13,0),MATCH(Table1[[#This Row],[Complexidade]],Auxiliar!$D$4:$F$4,0))</f>
        <v>0.1</v>
      </c>
      <c r="P643" s="2" t="s">
        <v>1285</v>
      </c>
      <c r="Q643" s="2"/>
      <c r="R643" s="152"/>
      <c r="S643" s="152"/>
      <c r="T643" s="152"/>
      <c r="U643" s="152"/>
      <c r="V643" s="152"/>
      <c r="W643" s="2">
        <f>VLOOKUP(Table1[[#This Row],[Status]],Auxiliar!$B$16:$D$24,3,0)*Table1[[#This Row],[Estimação (horas)]]</f>
        <v>0.1</v>
      </c>
      <c r="X643" s="2"/>
    </row>
    <row r="644" spans="2:24" ht="23.7" customHeight="1" x14ac:dyDescent="0.25">
      <c r="B644" s="2" t="s">
        <v>26</v>
      </c>
      <c r="C644" s="2" t="s">
        <v>311</v>
      </c>
      <c r="D644" s="2" t="s">
        <v>333</v>
      </c>
      <c r="E644" s="2" t="s">
        <v>38</v>
      </c>
      <c r="F644" s="2" t="s">
        <v>332</v>
      </c>
      <c r="G644" s="2" t="s">
        <v>38</v>
      </c>
      <c r="H644" s="57" t="str">
        <f>Table1[[#This Row],[Tabela]]&amp;Table1[[#This Row],[Campo]]</f>
        <v>modesg_out_emss_vclsn.a.</v>
      </c>
      <c r="I644" s="2" t="s">
        <v>1927</v>
      </c>
      <c r="J644" s="43">
        <f>VLOOKUP(Table1[[#This Row],[Status]],Auxiliar!$B$16:$C$24,2,0)</f>
        <v>2</v>
      </c>
      <c r="K644" s="2" t="s">
        <v>1249</v>
      </c>
      <c r="L644" s="29" t="s">
        <v>1258</v>
      </c>
      <c r="M644" s="21" t="s">
        <v>1259</v>
      </c>
      <c r="N644" s="48">
        <v>45611</v>
      </c>
      <c r="O644" s="21">
        <f>INDEX(Auxiliar!$D$5:$F$13,MATCH(Table1[[#This Row],[Tipologia_Testes]],Auxiliar!$B$5:$B$13,0),MATCH(Table1[[#This Row],[Complexidade]],Auxiliar!$D$4:$F$4,0))</f>
        <v>8</v>
      </c>
      <c r="P644" s="23" t="s">
        <v>1286</v>
      </c>
      <c r="Q644" s="2"/>
      <c r="R644" s="152">
        <v>45560</v>
      </c>
      <c r="S644" s="152"/>
      <c r="T644" s="152">
        <v>45560</v>
      </c>
      <c r="U644" s="152">
        <v>45607</v>
      </c>
      <c r="V644" s="152">
        <v>45608</v>
      </c>
      <c r="W644" s="2">
        <f>VLOOKUP(Table1[[#This Row],[Status]],Auxiliar!$B$16:$D$24,3,0)*Table1[[#This Row],[Estimação (horas)]]</f>
        <v>4</v>
      </c>
      <c r="X644" s="2"/>
    </row>
    <row r="645" spans="2:24" ht="17.7" customHeight="1" x14ac:dyDescent="0.25">
      <c r="B645" s="2" t="s">
        <v>26</v>
      </c>
      <c r="C645" s="2" t="s">
        <v>311</v>
      </c>
      <c r="D645" s="2" t="s">
        <v>333</v>
      </c>
      <c r="E645" s="2" t="s">
        <v>38</v>
      </c>
      <c r="F645" s="2" t="s">
        <v>332</v>
      </c>
      <c r="G645" s="2" t="s">
        <v>314</v>
      </c>
      <c r="H645" s="57" t="str">
        <f>Table1[[#This Row],[Tabela]]&amp;Table1[[#This Row],[Campo]]</f>
        <v>modesg_out_emss_vclscempbem</v>
      </c>
      <c r="I645" s="3" t="s">
        <v>614</v>
      </c>
      <c r="J645" s="55">
        <f>VLOOKUP(Table1[[#This Row],[Status]],Auxiliar!$B$16:$C$24,2,0)</f>
        <v>1</v>
      </c>
      <c r="K645" s="2" t="s">
        <v>1252</v>
      </c>
      <c r="L645" s="29" t="s">
        <v>1258</v>
      </c>
      <c r="M645" s="21" t="s">
        <v>1259</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customHeight="1" x14ac:dyDescent="0.25">
      <c r="B646" s="2" t="s">
        <v>26</v>
      </c>
      <c r="C646" s="2" t="s">
        <v>311</v>
      </c>
      <c r="D646" s="2" t="s">
        <v>333</v>
      </c>
      <c r="E646" s="2" t="s">
        <v>38</v>
      </c>
      <c r="F646" s="2" t="s">
        <v>332</v>
      </c>
      <c r="G646" s="2" t="s">
        <v>314</v>
      </c>
      <c r="H646" s="57" t="str">
        <f>Table1[[#This Row],[Tabela]]&amp;Table1[[#This Row],[Campo]]</f>
        <v>modesg_out_emss_vclscempbem</v>
      </c>
      <c r="I646" s="3" t="s">
        <v>614</v>
      </c>
      <c r="J646" s="55">
        <f>VLOOKUP(Table1[[#This Row],[Status]],Auxiliar!$B$16:$C$24,2,0)</f>
        <v>1</v>
      </c>
      <c r="K646" s="2" t="s">
        <v>1253</v>
      </c>
      <c r="L646" s="29" t="s">
        <v>1258</v>
      </c>
      <c r="M646" s="21" t="s">
        <v>1259</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customHeight="1" x14ac:dyDescent="0.25">
      <c r="B647" s="2" t="s">
        <v>26</v>
      </c>
      <c r="C647" s="2" t="s">
        <v>311</v>
      </c>
      <c r="D647" s="2" t="s">
        <v>333</v>
      </c>
      <c r="E647" s="2" t="s">
        <v>38</v>
      </c>
      <c r="F647" s="2" t="s">
        <v>332</v>
      </c>
      <c r="G647" s="2" t="s">
        <v>314</v>
      </c>
      <c r="H647" s="57" t="str">
        <f>Table1[[#This Row],[Tabela]]&amp;Table1[[#This Row],[Campo]]</f>
        <v>modesg_out_emss_vclscempbem</v>
      </c>
      <c r="I647" s="3" t="s">
        <v>614</v>
      </c>
      <c r="J647" s="55">
        <f>VLOOKUP(Table1[[#This Row],[Status]],Auxiliar!$B$16:$C$24,2,0)</f>
        <v>1</v>
      </c>
      <c r="K647" s="2" t="s">
        <v>1255</v>
      </c>
      <c r="L647" s="29" t="s">
        <v>1258</v>
      </c>
      <c r="M647" s="21" t="s">
        <v>1259</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customHeight="1" x14ac:dyDescent="0.25">
      <c r="B648" s="2" t="s">
        <v>26</v>
      </c>
      <c r="C648" s="2" t="s">
        <v>311</v>
      </c>
      <c r="D648" s="2" t="s">
        <v>333</v>
      </c>
      <c r="E648" s="2" t="s">
        <v>38</v>
      </c>
      <c r="F648" s="2" t="s">
        <v>332</v>
      </c>
      <c r="G648" s="2" t="s">
        <v>315</v>
      </c>
      <c r="H648" s="57" t="str">
        <f>Table1[[#This Row],[Tabela]]&amp;Table1[[#This Row],[Campo]]</f>
        <v>modesg_out_emss_vclsckbalbem</v>
      </c>
      <c r="I648" s="3" t="s">
        <v>614</v>
      </c>
      <c r="J648" s="55">
        <f>VLOOKUP(Table1[[#This Row],[Status]],Auxiliar!$B$16:$C$24,2,0)</f>
        <v>1</v>
      </c>
      <c r="K648" s="2" t="s">
        <v>1252</v>
      </c>
      <c r="L648" s="29" t="s">
        <v>1258</v>
      </c>
      <c r="M648" s="21" t="s">
        <v>1259</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customHeight="1" x14ac:dyDescent="0.25">
      <c r="B649" s="2" t="s">
        <v>26</v>
      </c>
      <c r="C649" s="2" t="s">
        <v>311</v>
      </c>
      <c r="D649" s="2" t="s">
        <v>333</v>
      </c>
      <c r="E649" s="2" t="s">
        <v>38</v>
      </c>
      <c r="F649" s="2" t="s">
        <v>332</v>
      </c>
      <c r="G649" s="2" t="s">
        <v>315</v>
      </c>
      <c r="H649" s="57" t="str">
        <f>Table1[[#This Row],[Tabela]]&amp;Table1[[#This Row],[Campo]]</f>
        <v>modesg_out_emss_vclsckbalbem</v>
      </c>
      <c r="I649" s="3" t="s">
        <v>614</v>
      </c>
      <c r="J649" s="55">
        <f>VLOOKUP(Table1[[#This Row],[Status]],Auxiliar!$B$16:$C$24,2,0)</f>
        <v>1</v>
      </c>
      <c r="K649" s="2" t="s">
        <v>1253</v>
      </c>
      <c r="L649" s="29" t="s">
        <v>1258</v>
      </c>
      <c r="M649" s="21" t="s">
        <v>1259</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customHeight="1" x14ac:dyDescent="0.25">
      <c r="B650" s="2" t="s">
        <v>26</v>
      </c>
      <c r="C650" s="2" t="s">
        <v>311</v>
      </c>
      <c r="D650" s="2" t="s">
        <v>333</v>
      </c>
      <c r="E650" s="2" t="s">
        <v>38</v>
      </c>
      <c r="F650" s="2" t="s">
        <v>332</v>
      </c>
      <c r="G650" s="2" t="s">
        <v>315</v>
      </c>
      <c r="H650" s="57" t="str">
        <f>Table1[[#This Row],[Tabela]]&amp;Table1[[#This Row],[Campo]]</f>
        <v>modesg_out_emss_vclsckbalbem</v>
      </c>
      <c r="I650" s="3" t="s">
        <v>614</v>
      </c>
      <c r="J650" s="55">
        <f>VLOOKUP(Table1[[#This Row],[Status]],Auxiliar!$B$16:$C$24,2,0)</f>
        <v>1</v>
      </c>
      <c r="K650" s="2" t="s">
        <v>1255</v>
      </c>
      <c r="L650" s="29" t="s">
        <v>1258</v>
      </c>
      <c r="M650" s="21" t="s">
        <v>1259</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customHeight="1" x14ac:dyDescent="0.25">
      <c r="B651" s="2" t="s">
        <v>26</v>
      </c>
      <c r="C651" s="2" t="s">
        <v>311</v>
      </c>
      <c r="D651" s="2" t="s">
        <v>333</v>
      </c>
      <c r="E651" s="2" t="s">
        <v>38</v>
      </c>
      <c r="F651" s="2" t="s">
        <v>332</v>
      </c>
      <c r="G651" s="2" t="s">
        <v>316</v>
      </c>
      <c r="H651" s="57" t="str">
        <f>Table1[[#This Row],[Tabela]]&amp;Table1[[#This Row],[Campo]]</f>
        <v>modesg_out_emss_vclsckctabem</v>
      </c>
      <c r="I651" s="3" t="s">
        <v>614</v>
      </c>
      <c r="J651" s="55">
        <f>VLOOKUP(Table1[[#This Row],[Status]],Auxiliar!$B$16:$C$24,2,0)</f>
        <v>1</v>
      </c>
      <c r="K651" s="2" t="s">
        <v>1252</v>
      </c>
      <c r="L651" s="29" t="s">
        <v>1258</v>
      </c>
      <c r="M651" s="21" t="s">
        <v>1259</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customHeight="1" x14ac:dyDescent="0.25">
      <c r="B652" s="2" t="s">
        <v>26</v>
      </c>
      <c r="C652" s="2" t="s">
        <v>311</v>
      </c>
      <c r="D652" s="2" t="s">
        <v>333</v>
      </c>
      <c r="E652" s="2" t="s">
        <v>38</v>
      </c>
      <c r="F652" s="2" t="s">
        <v>332</v>
      </c>
      <c r="G652" s="2" t="s">
        <v>316</v>
      </c>
      <c r="H652" s="57" t="str">
        <f>Table1[[#This Row],[Tabela]]&amp;Table1[[#This Row],[Campo]]</f>
        <v>modesg_out_emss_vclsckctabem</v>
      </c>
      <c r="I652" s="3" t="s">
        <v>614</v>
      </c>
      <c r="J652" s="55">
        <f>VLOOKUP(Table1[[#This Row],[Status]],Auxiliar!$B$16:$C$24,2,0)</f>
        <v>1</v>
      </c>
      <c r="K652" s="2" t="s">
        <v>1253</v>
      </c>
      <c r="L652" s="29" t="s">
        <v>1258</v>
      </c>
      <c r="M652" s="21" t="s">
        <v>1259</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customHeight="1" x14ac:dyDescent="0.25">
      <c r="B653" s="2" t="s">
        <v>26</v>
      </c>
      <c r="C653" s="2" t="s">
        <v>311</v>
      </c>
      <c r="D653" s="2" t="s">
        <v>333</v>
      </c>
      <c r="E653" s="2" t="s">
        <v>38</v>
      </c>
      <c r="F653" s="2" t="s">
        <v>332</v>
      </c>
      <c r="G653" s="2" t="s">
        <v>316</v>
      </c>
      <c r="H653" s="57" t="str">
        <f>Table1[[#This Row],[Tabela]]&amp;Table1[[#This Row],[Campo]]</f>
        <v>modesg_out_emss_vclsckctabem</v>
      </c>
      <c r="I653" s="3" t="s">
        <v>614</v>
      </c>
      <c r="J653" s="55">
        <f>VLOOKUP(Table1[[#This Row],[Status]],Auxiliar!$B$16:$C$24,2,0)</f>
        <v>1</v>
      </c>
      <c r="K653" s="2" t="s">
        <v>1255</v>
      </c>
      <c r="L653" s="29" t="s">
        <v>1258</v>
      </c>
      <c r="M653" s="21" t="s">
        <v>1259</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customHeight="1" x14ac:dyDescent="0.25">
      <c r="B654" s="2" t="s">
        <v>26</v>
      </c>
      <c r="C654" s="2" t="s">
        <v>311</v>
      </c>
      <c r="D654" s="2" t="s">
        <v>333</v>
      </c>
      <c r="E654" s="2" t="s">
        <v>38</v>
      </c>
      <c r="F654" s="2" t="s">
        <v>332</v>
      </c>
      <c r="G654" s="2" t="s">
        <v>317</v>
      </c>
      <c r="H654" s="57" t="str">
        <f>Table1[[#This Row],[Tabela]]&amp;Table1[[#This Row],[Campo]]</f>
        <v>modesg_out_emss_vclsckrefbem</v>
      </c>
      <c r="I654" s="3" t="s">
        <v>614</v>
      </c>
      <c r="J654" s="55">
        <f>VLOOKUP(Table1[[#This Row],[Status]],Auxiliar!$B$16:$C$24,2,0)</f>
        <v>1</v>
      </c>
      <c r="K654" s="2" t="s">
        <v>1252</v>
      </c>
      <c r="L654" s="29" t="s">
        <v>1258</v>
      </c>
      <c r="M654" s="21" t="s">
        <v>1259</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customHeight="1" x14ac:dyDescent="0.25">
      <c r="B655" s="2" t="s">
        <v>26</v>
      </c>
      <c r="C655" s="2" t="s">
        <v>311</v>
      </c>
      <c r="D655" s="2" t="s">
        <v>333</v>
      </c>
      <c r="E655" s="2" t="s">
        <v>38</v>
      </c>
      <c r="F655" s="2" t="s">
        <v>332</v>
      </c>
      <c r="G655" s="2" t="s">
        <v>317</v>
      </c>
      <c r="H655" s="57" t="str">
        <f>Table1[[#This Row],[Tabela]]&amp;Table1[[#This Row],[Campo]]</f>
        <v>modesg_out_emss_vclsckrefbem</v>
      </c>
      <c r="I655" s="3" t="s">
        <v>614</v>
      </c>
      <c r="J655" s="55">
        <f>VLOOKUP(Table1[[#This Row],[Status]],Auxiliar!$B$16:$C$24,2,0)</f>
        <v>1</v>
      </c>
      <c r="K655" s="2" t="s">
        <v>1253</v>
      </c>
      <c r="L655" s="29" t="s">
        <v>1258</v>
      </c>
      <c r="M655" s="21" t="s">
        <v>1259</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customHeight="1" x14ac:dyDescent="0.25">
      <c r="B656" s="2" t="s">
        <v>26</v>
      </c>
      <c r="C656" s="2" t="s">
        <v>311</v>
      </c>
      <c r="D656" s="2" t="s">
        <v>333</v>
      </c>
      <c r="E656" s="2" t="s">
        <v>38</v>
      </c>
      <c r="F656" s="2" t="s">
        <v>332</v>
      </c>
      <c r="G656" s="2" t="s">
        <v>317</v>
      </c>
      <c r="H656" s="57" t="str">
        <f>Table1[[#This Row],[Tabela]]&amp;Table1[[#This Row],[Campo]]</f>
        <v>modesg_out_emss_vclsckrefbem</v>
      </c>
      <c r="I656" s="3" t="s">
        <v>614</v>
      </c>
      <c r="J656" s="55">
        <f>VLOOKUP(Table1[[#This Row],[Status]],Auxiliar!$B$16:$C$24,2,0)</f>
        <v>1</v>
      </c>
      <c r="K656" s="2" t="s">
        <v>1255</v>
      </c>
      <c r="L656" s="29" t="s">
        <v>1258</v>
      </c>
      <c r="M656" s="21" t="s">
        <v>1259</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customHeight="1" x14ac:dyDescent="0.25">
      <c r="B657" s="2" t="s">
        <v>26</v>
      </c>
      <c r="C657" s="2" t="s">
        <v>311</v>
      </c>
      <c r="D657" s="2" t="s">
        <v>333</v>
      </c>
      <c r="E657" s="2" t="s">
        <v>38</v>
      </c>
      <c r="F657" s="2" t="s">
        <v>332</v>
      </c>
      <c r="G657" s="2" t="s">
        <v>188</v>
      </c>
      <c r="H657" s="57" t="str">
        <f>Table1[[#This Row],[Tabela]]&amp;Table1[[#This Row],[Campo]]</f>
        <v>modesg_out_emss_vclscnsm_co2</v>
      </c>
      <c r="I657" s="2" t="s">
        <v>614</v>
      </c>
      <c r="J657" s="43">
        <f>VLOOKUP(Table1[[#This Row],[Status]],Auxiliar!$B$16:$C$24,2,0)</f>
        <v>1</v>
      </c>
      <c r="K657" s="2" t="s">
        <v>1252</v>
      </c>
      <c r="L657" s="29" t="s">
        <v>1250</v>
      </c>
      <c r="M657" s="21" t="s">
        <v>1260</v>
      </c>
      <c r="N657" s="48">
        <v>45618</v>
      </c>
      <c r="O657" s="21">
        <f>INDEX(Auxiliar!$D$5:$F$13,MATCH(Table1[[#This Row],[Tipologia_Testes]],Auxiliar!$B$5:$B$13,0),MATCH(Table1[[#This Row],[Complexidade]],Auxiliar!$D$4:$F$4,0))</f>
        <v>4</v>
      </c>
      <c r="P657" s="2" t="s">
        <v>1287</v>
      </c>
      <c r="Q657" s="2"/>
      <c r="R657" s="152">
        <v>45559</v>
      </c>
      <c r="S657" s="152"/>
      <c r="T657" s="152">
        <v>45559</v>
      </c>
      <c r="U657" s="152">
        <v>45607</v>
      </c>
      <c r="V657" s="152">
        <v>45608</v>
      </c>
      <c r="W657" s="2">
        <f>VLOOKUP(Table1[[#This Row],[Status]],Auxiliar!$B$16:$D$24,3,0)*Table1[[#This Row],[Estimação (horas)]]</f>
        <v>4</v>
      </c>
      <c r="X657" s="2"/>
    </row>
    <row r="658" spans="2:24" ht="17.7" customHeight="1" x14ac:dyDescent="0.25">
      <c r="B658" s="2" t="s">
        <v>26</v>
      </c>
      <c r="C658" s="2" t="s">
        <v>311</v>
      </c>
      <c r="D658" s="2" t="s">
        <v>333</v>
      </c>
      <c r="E658" s="2" t="s">
        <v>38</v>
      </c>
      <c r="F658" s="2" t="s">
        <v>332</v>
      </c>
      <c r="G658" s="2" t="s">
        <v>188</v>
      </c>
      <c r="H658" s="57" t="str">
        <f>Table1[[#This Row],[Tabela]]&amp;Table1[[#This Row],[Campo]]</f>
        <v>modesg_out_emss_vclscnsm_co2</v>
      </c>
      <c r="I658" s="2" t="s">
        <v>614</v>
      </c>
      <c r="J658" s="43">
        <f>VLOOKUP(Table1[[#This Row],[Status]],Auxiliar!$B$16:$C$24,2,0)</f>
        <v>1</v>
      </c>
      <c r="K658" s="2" t="s">
        <v>1253</v>
      </c>
      <c r="L658" s="29" t="s">
        <v>1250</v>
      </c>
      <c r="M658" s="21" t="s">
        <v>1260</v>
      </c>
      <c r="N658" s="48">
        <v>45618</v>
      </c>
      <c r="O658" s="21">
        <f>INDEX(Auxiliar!$D$5:$F$13,MATCH(Table1[[#This Row],[Tipologia_Testes]],Auxiliar!$B$5:$B$13,0),MATCH(Table1[[#This Row],[Complexidade]],Auxiliar!$D$4:$F$4,0))</f>
        <v>4</v>
      </c>
      <c r="P658" s="2" t="s">
        <v>1287</v>
      </c>
      <c r="Q658" s="2"/>
      <c r="R658" s="152">
        <v>45559</v>
      </c>
      <c r="S658" s="152"/>
      <c r="T658" s="152">
        <v>45559</v>
      </c>
      <c r="U658" s="152">
        <v>45607</v>
      </c>
      <c r="V658" s="152">
        <v>45608</v>
      </c>
      <c r="W658" s="2">
        <f>VLOOKUP(Table1[[#This Row],[Status]],Auxiliar!$B$16:$D$24,3,0)*Table1[[#This Row],[Estimação (horas)]]</f>
        <v>4</v>
      </c>
      <c r="X658" s="2"/>
    </row>
    <row r="659" spans="2:24" ht="17.7" customHeight="1" x14ac:dyDescent="0.25">
      <c r="B659" s="2" t="s">
        <v>26</v>
      </c>
      <c r="C659" s="2" t="s">
        <v>311</v>
      </c>
      <c r="D659" s="2" t="s">
        <v>333</v>
      </c>
      <c r="E659" s="2" t="s">
        <v>38</v>
      </c>
      <c r="F659" s="2" t="s">
        <v>332</v>
      </c>
      <c r="G659" s="2" t="s">
        <v>188</v>
      </c>
      <c r="H659" s="57" t="str">
        <f>Table1[[#This Row],[Tabela]]&amp;Table1[[#This Row],[Campo]]</f>
        <v>modesg_out_emss_vclscnsm_co2</v>
      </c>
      <c r="I659" s="2" t="s">
        <v>614</v>
      </c>
      <c r="J659" s="43">
        <f>VLOOKUP(Table1[[#This Row],[Status]],Auxiliar!$B$16:$C$24,2,0)</f>
        <v>1</v>
      </c>
      <c r="K659" s="2" t="s">
        <v>1255</v>
      </c>
      <c r="L659" s="29" t="s">
        <v>1250</v>
      </c>
      <c r="M659" s="21" t="s">
        <v>1260</v>
      </c>
      <c r="N659" s="48">
        <v>45618</v>
      </c>
      <c r="O659" s="21">
        <f>INDEX(Auxiliar!$D$5:$F$13,MATCH(Table1[[#This Row],[Tipologia_Testes]],Auxiliar!$B$5:$B$13,0),MATCH(Table1[[#This Row],[Complexidade]],Auxiliar!$D$4:$F$4,0))</f>
        <v>0.1</v>
      </c>
      <c r="P659" s="2" t="s">
        <v>1287</v>
      </c>
      <c r="Q659" s="2"/>
      <c r="R659" s="152">
        <v>45559</v>
      </c>
      <c r="S659" s="152"/>
      <c r="T659" s="152">
        <v>45559</v>
      </c>
      <c r="U659" s="152">
        <v>45607</v>
      </c>
      <c r="V659" s="152">
        <v>45608</v>
      </c>
      <c r="W659" s="2">
        <f>VLOOKUP(Table1[[#This Row],[Status]],Auxiliar!$B$16:$D$24,3,0)*Table1[[#This Row],[Estimação (horas)]]</f>
        <v>0.1</v>
      </c>
      <c r="X659" s="2"/>
    </row>
    <row r="660" spans="2:24" ht="17.7" customHeight="1" x14ac:dyDescent="0.25">
      <c r="B660" s="2" t="s">
        <v>26</v>
      </c>
      <c r="C660" s="2" t="s">
        <v>311</v>
      </c>
      <c r="D660" s="2" t="s">
        <v>333</v>
      </c>
      <c r="E660" s="2" t="s">
        <v>38</v>
      </c>
      <c r="F660" s="2" t="s">
        <v>332</v>
      </c>
      <c r="G660" s="2" t="s">
        <v>320</v>
      </c>
      <c r="H660" s="57" t="str">
        <f>Table1[[#This Row],[Tabela]]&amp;Table1[[#This Row],[Campo]]</f>
        <v>modesg_out_emss_vclsorigem_scp1_emss</v>
      </c>
      <c r="I660" s="2" t="s">
        <v>617</v>
      </c>
      <c r="J660" s="43">
        <f>VLOOKUP(Table1[[#This Row],[Status]],Auxiliar!$B$16:$C$24,2,0)</f>
        <v>6</v>
      </c>
      <c r="K660" s="2" t="s">
        <v>1252</v>
      </c>
      <c r="L660" s="29" t="s">
        <v>1250</v>
      </c>
      <c r="M660" s="21" t="s">
        <v>1260</v>
      </c>
      <c r="N660" s="48">
        <v>45618</v>
      </c>
      <c r="O660" s="21">
        <f>INDEX(Auxiliar!$D$5:$F$13,MATCH(Table1[[#This Row],[Tipologia_Testes]],Auxiliar!$B$5:$B$13,0),MATCH(Table1[[#This Row],[Complexidade]],Auxiliar!$D$4:$F$4,0))</f>
        <v>4</v>
      </c>
      <c r="P660" s="2"/>
      <c r="Q660" s="2"/>
      <c r="R660" s="152">
        <v>45566</v>
      </c>
      <c r="S660" s="152"/>
      <c r="T660" s="152">
        <v>45621</v>
      </c>
      <c r="U660" s="152">
        <v>45607</v>
      </c>
      <c r="V660" s="152">
        <v>45608</v>
      </c>
      <c r="W660" s="2">
        <f>VLOOKUP(Table1[[#This Row],[Status]],Auxiliar!$B$16:$D$24,3,0)*Table1[[#This Row],[Estimação (horas)]]</f>
        <v>1</v>
      </c>
      <c r="X660" s="2"/>
    </row>
    <row r="661" spans="2:24" ht="17.7" customHeight="1" x14ac:dyDescent="0.25">
      <c r="B661" s="2" t="s">
        <v>26</v>
      </c>
      <c r="C661" s="2" t="s">
        <v>311</v>
      </c>
      <c r="D661" s="2" t="s">
        <v>333</v>
      </c>
      <c r="E661" s="2" t="s">
        <v>38</v>
      </c>
      <c r="F661" s="2" t="s">
        <v>332</v>
      </c>
      <c r="G661" s="2" t="s">
        <v>320</v>
      </c>
      <c r="H661" s="57" t="str">
        <f>Table1[[#This Row],[Tabela]]&amp;Table1[[#This Row],[Campo]]</f>
        <v>modesg_out_emss_vclsorigem_scp1_emss</v>
      </c>
      <c r="I661" s="2" t="s">
        <v>617</v>
      </c>
      <c r="J661" s="43">
        <f>VLOOKUP(Table1[[#This Row],[Status]],Auxiliar!$B$16:$C$24,2,0)</f>
        <v>6</v>
      </c>
      <c r="K661" s="2" t="s">
        <v>1253</v>
      </c>
      <c r="L661" s="29" t="s">
        <v>1250</v>
      </c>
      <c r="M661" s="21" t="s">
        <v>1260</v>
      </c>
      <c r="N661" s="48">
        <v>45618</v>
      </c>
      <c r="O661" s="21">
        <f>INDEX(Auxiliar!$D$5:$F$13,MATCH(Table1[[#This Row],[Tipologia_Testes]],Auxiliar!$B$5:$B$13,0),MATCH(Table1[[#This Row],[Complexidade]],Auxiliar!$D$4:$F$4,0))</f>
        <v>4</v>
      </c>
      <c r="P661" s="2"/>
      <c r="Q661" s="2"/>
      <c r="R661" s="152">
        <v>45566</v>
      </c>
      <c r="S661" s="152"/>
      <c r="T661" s="152">
        <v>45621</v>
      </c>
      <c r="U661" s="152">
        <v>45607</v>
      </c>
      <c r="V661" s="152">
        <v>45608</v>
      </c>
      <c r="W661" s="2">
        <f>VLOOKUP(Table1[[#This Row],[Status]],Auxiliar!$B$16:$D$24,3,0)*Table1[[#This Row],[Estimação (horas)]]</f>
        <v>1</v>
      </c>
      <c r="X661" s="2"/>
    </row>
    <row r="662" spans="2:24" ht="17.7" customHeight="1" x14ac:dyDescent="0.25">
      <c r="B662" s="2" t="s">
        <v>26</v>
      </c>
      <c r="C662" s="2" t="s">
        <v>311</v>
      </c>
      <c r="D662" s="2" t="s">
        <v>333</v>
      </c>
      <c r="E662" s="2" t="s">
        <v>38</v>
      </c>
      <c r="F662" s="2" t="s">
        <v>332</v>
      </c>
      <c r="G662" s="2" t="s">
        <v>320</v>
      </c>
      <c r="H662" s="57" t="str">
        <f>Table1[[#This Row],[Tabela]]&amp;Table1[[#This Row],[Campo]]</f>
        <v>modesg_out_emss_vclsorigem_scp1_emss</v>
      </c>
      <c r="I662" s="2" t="s">
        <v>617</v>
      </c>
      <c r="J662" s="43">
        <f>VLOOKUP(Table1[[#This Row],[Status]],Auxiliar!$B$16:$C$24,2,0)</f>
        <v>6</v>
      </c>
      <c r="K662" s="2" t="s">
        <v>1255</v>
      </c>
      <c r="L662" s="29" t="s">
        <v>1250</v>
      </c>
      <c r="M662" s="21" t="s">
        <v>1260</v>
      </c>
      <c r="N662" s="48">
        <v>45618</v>
      </c>
      <c r="O662" s="21">
        <f>INDEX(Auxiliar!$D$5:$F$13,MATCH(Table1[[#This Row],[Tipologia_Testes]],Auxiliar!$B$5:$B$13,0),MATCH(Table1[[#This Row],[Complexidade]],Auxiliar!$D$4:$F$4,0))</f>
        <v>0.1</v>
      </c>
      <c r="P662" s="2"/>
      <c r="Q662" s="2"/>
      <c r="R662" s="152">
        <v>45566</v>
      </c>
      <c r="S662" s="152"/>
      <c r="T662" s="152">
        <v>45621</v>
      </c>
      <c r="U662" s="152">
        <v>45607</v>
      </c>
      <c r="V662" s="152">
        <v>45608</v>
      </c>
      <c r="W662" s="2">
        <f>VLOOKUP(Table1[[#This Row],[Status]],Auxiliar!$B$16:$D$24,3,0)*Table1[[#This Row],[Estimação (horas)]]</f>
        <v>2.5000000000000001E-2</v>
      </c>
      <c r="X662" s="2"/>
    </row>
    <row r="663" spans="2:24" ht="17.7" customHeight="1" x14ac:dyDescent="0.25">
      <c r="B663" s="2" t="s">
        <v>26</v>
      </c>
      <c r="C663" s="2" t="s">
        <v>311</v>
      </c>
      <c r="D663" s="2" t="s">
        <v>333</v>
      </c>
      <c r="E663" s="2" t="s">
        <v>38</v>
      </c>
      <c r="F663" s="2" t="s">
        <v>332</v>
      </c>
      <c r="G663" s="2" t="s">
        <v>321</v>
      </c>
      <c r="H663" s="57" t="str">
        <f>Table1[[#This Row],[Tabela]]&amp;Table1[[#This Row],[Campo]]</f>
        <v>modesg_out_emss_vclsorigem_scp2_emss</v>
      </c>
      <c r="I663" s="2" t="s">
        <v>617</v>
      </c>
      <c r="J663" s="43">
        <f>VLOOKUP(Table1[[#This Row],[Status]],Auxiliar!$B$16:$C$24,2,0)</f>
        <v>6</v>
      </c>
      <c r="K663" s="2" t="s">
        <v>1252</v>
      </c>
      <c r="L663" s="29" t="s">
        <v>1250</v>
      </c>
      <c r="M663" s="21" t="s">
        <v>1260</v>
      </c>
      <c r="N663" s="48">
        <v>45618</v>
      </c>
      <c r="O663" s="21">
        <f>INDEX(Auxiliar!$D$5:$F$13,MATCH(Table1[[#This Row],[Tipologia_Testes]],Auxiliar!$B$5:$B$13,0),MATCH(Table1[[#This Row],[Complexidade]],Auxiliar!$D$4:$F$4,0))</f>
        <v>4</v>
      </c>
      <c r="P663" s="2"/>
      <c r="Q663" s="2"/>
      <c r="R663" s="152">
        <v>45566</v>
      </c>
      <c r="S663" s="152"/>
      <c r="T663" s="152">
        <v>45621</v>
      </c>
      <c r="U663" s="152">
        <v>45607</v>
      </c>
      <c r="V663" s="152">
        <v>45608</v>
      </c>
      <c r="W663" s="2">
        <f>VLOOKUP(Table1[[#This Row],[Status]],Auxiliar!$B$16:$D$24,3,0)*Table1[[#This Row],[Estimação (horas)]]</f>
        <v>1</v>
      </c>
      <c r="X663" s="2"/>
    </row>
    <row r="664" spans="2:24" ht="17.7" customHeight="1" x14ac:dyDescent="0.25">
      <c r="B664" s="2" t="s">
        <v>26</v>
      </c>
      <c r="C664" s="2" t="s">
        <v>311</v>
      </c>
      <c r="D664" s="2" t="s">
        <v>333</v>
      </c>
      <c r="E664" s="2" t="s">
        <v>38</v>
      </c>
      <c r="F664" s="2" t="s">
        <v>332</v>
      </c>
      <c r="G664" s="2" t="s">
        <v>321</v>
      </c>
      <c r="H664" s="57" t="str">
        <f>Table1[[#This Row],[Tabela]]&amp;Table1[[#This Row],[Campo]]</f>
        <v>modesg_out_emss_vclsorigem_scp2_emss</v>
      </c>
      <c r="I664" s="2" t="s">
        <v>617</v>
      </c>
      <c r="J664" s="43">
        <f>VLOOKUP(Table1[[#This Row],[Status]],Auxiliar!$B$16:$C$24,2,0)</f>
        <v>6</v>
      </c>
      <c r="K664" s="2" t="s">
        <v>1253</v>
      </c>
      <c r="L664" s="29" t="s">
        <v>1250</v>
      </c>
      <c r="M664" s="21" t="s">
        <v>1260</v>
      </c>
      <c r="N664" s="48">
        <v>45618</v>
      </c>
      <c r="O664" s="21">
        <f>INDEX(Auxiliar!$D$5:$F$13,MATCH(Table1[[#This Row],[Tipologia_Testes]],Auxiliar!$B$5:$B$13,0),MATCH(Table1[[#This Row],[Complexidade]],Auxiliar!$D$4:$F$4,0))</f>
        <v>4</v>
      </c>
      <c r="P664" s="2"/>
      <c r="Q664" s="2"/>
      <c r="R664" s="152">
        <v>45566</v>
      </c>
      <c r="S664" s="152"/>
      <c r="T664" s="152">
        <v>45621</v>
      </c>
      <c r="U664" s="152">
        <v>45607</v>
      </c>
      <c r="V664" s="152">
        <v>45608</v>
      </c>
      <c r="W664" s="2">
        <f>VLOOKUP(Table1[[#This Row],[Status]],Auxiliar!$B$16:$D$24,3,0)*Table1[[#This Row],[Estimação (horas)]]</f>
        <v>1</v>
      </c>
      <c r="X664" s="2"/>
    </row>
    <row r="665" spans="2:24" ht="17.7" customHeight="1" x14ac:dyDescent="0.25">
      <c r="B665" s="2" t="s">
        <v>26</v>
      </c>
      <c r="C665" s="2" t="s">
        <v>311</v>
      </c>
      <c r="D665" s="2" t="s">
        <v>333</v>
      </c>
      <c r="E665" s="2" t="s">
        <v>38</v>
      </c>
      <c r="F665" s="2" t="s">
        <v>332</v>
      </c>
      <c r="G665" s="2" t="s">
        <v>321</v>
      </c>
      <c r="H665" s="57" t="str">
        <f>Table1[[#This Row],[Tabela]]&amp;Table1[[#This Row],[Campo]]</f>
        <v>modesg_out_emss_vclsorigem_scp2_emss</v>
      </c>
      <c r="I665" s="2" t="s">
        <v>617</v>
      </c>
      <c r="J665" s="43">
        <f>VLOOKUP(Table1[[#This Row],[Status]],Auxiliar!$B$16:$C$24,2,0)</f>
        <v>6</v>
      </c>
      <c r="K665" s="2" t="s">
        <v>1255</v>
      </c>
      <c r="L665" s="29" t="s">
        <v>1250</v>
      </c>
      <c r="M665" s="21" t="s">
        <v>1260</v>
      </c>
      <c r="N665" s="48">
        <v>45618</v>
      </c>
      <c r="O665" s="21">
        <f>INDEX(Auxiliar!$D$5:$F$13,MATCH(Table1[[#This Row],[Tipologia_Testes]],Auxiliar!$B$5:$B$13,0),MATCH(Table1[[#This Row],[Complexidade]],Auxiliar!$D$4:$F$4,0))</f>
        <v>0.1</v>
      </c>
      <c r="P665" s="2"/>
      <c r="Q665" s="2"/>
      <c r="R665" s="152">
        <v>45566</v>
      </c>
      <c r="S665" s="152"/>
      <c r="T665" s="152">
        <v>45621</v>
      </c>
      <c r="U665" s="152">
        <v>45607</v>
      </c>
      <c r="V665" s="152">
        <v>45608</v>
      </c>
      <c r="W665" s="2">
        <f>VLOOKUP(Table1[[#This Row],[Status]],Auxiliar!$B$16:$D$24,3,0)*Table1[[#This Row],[Estimação (horas)]]</f>
        <v>2.5000000000000001E-2</v>
      </c>
      <c r="X665" s="2"/>
    </row>
    <row r="666" spans="2:24" ht="17.7" customHeight="1" x14ac:dyDescent="0.25">
      <c r="B666" s="2" t="s">
        <v>26</v>
      </c>
      <c r="C666" s="2" t="s">
        <v>311</v>
      </c>
      <c r="D666" s="2" t="s">
        <v>333</v>
      </c>
      <c r="E666" s="2" t="s">
        <v>38</v>
      </c>
      <c r="F666" s="2" t="s">
        <v>332</v>
      </c>
      <c r="G666" s="2" t="s">
        <v>322</v>
      </c>
      <c r="H666" s="57" t="str">
        <f>Table1[[#This Row],[Tabela]]&amp;Table1[[#This Row],[Campo]]</f>
        <v>modesg_out_emss_vclsorigem_scp3_emss</v>
      </c>
      <c r="I666" s="2" t="s">
        <v>614</v>
      </c>
      <c r="J666" s="43">
        <f>VLOOKUP(Table1[[#This Row],[Status]],Auxiliar!$B$16:$C$24,2,0)</f>
        <v>1</v>
      </c>
      <c r="K666" s="2" t="s">
        <v>1252</v>
      </c>
      <c r="L666" s="29" t="s">
        <v>1250</v>
      </c>
      <c r="M666" s="21" t="s">
        <v>1260</v>
      </c>
      <c r="N666" s="48">
        <v>45618</v>
      </c>
      <c r="O666" s="21">
        <f>INDEX(Auxiliar!$D$5:$F$13,MATCH(Table1[[#This Row],[Tipologia_Testes]],Auxiliar!$B$5:$B$13,0),MATCH(Table1[[#This Row],[Complexidade]],Auxiliar!$D$4:$F$4,0))</f>
        <v>4</v>
      </c>
      <c r="P666" s="2"/>
      <c r="Q666" s="2"/>
      <c r="R666" s="152">
        <v>45566</v>
      </c>
      <c r="S666" s="152"/>
      <c r="T666" s="152">
        <v>45569</v>
      </c>
      <c r="U666" s="152">
        <v>45607</v>
      </c>
      <c r="V666" s="152">
        <v>45608</v>
      </c>
      <c r="W666" s="2">
        <f>VLOOKUP(Table1[[#This Row],[Status]],Auxiliar!$B$16:$D$24,3,0)*Table1[[#This Row],[Estimação (horas)]]</f>
        <v>4</v>
      </c>
      <c r="X666" s="2"/>
    </row>
    <row r="667" spans="2:24" ht="17.7" customHeight="1" x14ac:dyDescent="0.25">
      <c r="B667" s="2" t="s">
        <v>26</v>
      </c>
      <c r="C667" s="2" t="s">
        <v>311</v>
      </c>
      <c r="D667" s="2" t="s">
        <v>333</v>
      </c>
      <c r="E667" s="2" t="s">
        <v>38</v>
      </c>
      <c r="F667" s="2" t="s">
        <v>332</v>
      </c>
      <c r="G667" s="2" t="s">
        <v>322</v>
      </c>
      <c r="H667" s="57" t="str">
        <f>Table1[[#This Row],[Tabela]]&amp;Table1[[#This Row],[Campo]]</f>
        <v>modesg_out_emss_vclsorigem_scp3_emss</v>
      </c>
      <c r="I667" s="2" t="s">
        <v>614</v>
      </c>
      <c r="J667" s="43">
        <f>VLOOKUP(Table1[[#This Row],[Status]],Auxiliar!$B$16:$C$24,2,0)</f>
        <v>1</v>
      </c>
      <c r="K667" s="2" t="s">
        <v>1253</v>
      </c>
      <c r="L667" s="29" t="s">
        <v>1250</v>
      </c>
      <c r="M667" s="21" t="s">
        <v>1260</v>
      </c>
      <c r="N667" s="48">
        <v>45618</v>
      </c>
      <c r="O667" s="21">
        <f>INDEX(Auxiliar!$D$5:$F$13,MATCH(Table1[[#This Row],[Tipologia_Testes]],Auxiliar!$B$5:$B$13,0),MATCH(Table1[[#This Row],[Complexidade]],Auxiliar!$D$4:$F$4,0))</f>
        <v>4</v>
      </c>
      <c r="P667" s="2"/>
      <c r="Q667" s="2"/>
      <c r="R667" s="152">
        <v>45566</v>
      </c>
      <c r="S667" s="152"/>
      <c r="T667" s="152">
        <v>45569</v>
      </c>
      <c r="U667" s="152">
        <v>45607</v>
      </c>
      <c r="V667" s="152">
        <v>45608</v>
      </c>
      <c r="W667" s="2">
        <f>VLOOKUP(Table1[[#This Row],[Status]],Auxiliar!$B$16:$D$24,3,0)*Table1[[#This Row],[Estimação (horas)]]</f>
        <v>4</v>
      </c>
      <c r="X667" s="2"/>
    </row>
    <row r="668" spans="2:24" ht="17.7" customHeight="1" x14ac:dyDescent="0.25">
      <c r="B668" s="2" t="s">
        <v>26</v>
      </c>
      <c r="C668" s="2" t="s">
        <v>311</v>
      </c>
      <c r="D668" s="2" t="s">
        <v>333</v>
      </c>
      <c r="E668" s="2" t="s">
        <v>38</v>
      </c>
      <c r="F668" s="2" t="s">
        <v>332</v>
      </c>
      <c r="G668" s="2" t="s">
        <v>322</v>
      </c>
      <c r="H668" s="57" t="str">
        <f>Table1[[#This Row],[Tabela]]&amp;Table1[[#This Row],[Campo]]</f>
        <v>modesg_out_emss_vclsorigem_scp3_emss</v>
      </c>
      <c r="I668" s="2" t="s">
        <v>614</v>
      </c>
      <c r="J668" s="43">
        <f>VLOOKUP(Table1[[#This Row],[Status]],Auxiliar!$B$16:$C$24,2,0)</f>
        <v>1</v>
      </c>
      <c r="K668" s="2" t="s">
        <v>1255</v>
      </c>
      <c r="L668" s="29" t="s">
        <v>1250</v>
      </c>
      <c r="M668" s="21" t="s">
        <v>1260</v>
      </c>
      <c r="N668" s="48">
        <v>45618</v>
      </c>
      <c r="O668" s="21">
        <f>INDEX(Auxiliar!$D$5:$F$13,MATCH(Table1[[#This Row],[Tipologia_Testes]],Auxiliar!$B$5:$B$13,0),MATCH(Table1[[#This Row],[Complexidade]],Auxiliar!$D$4:$F$4,0))</f>
        <v>0.1</v>
      </c>
      <c r="P668" s="2"/>
      <c r="Q668" s="2"/>
      <c r="R668" s="152">
        <v>45566</v>
      </c>
      <c r="S668" s="152"/>
      <c r="T668" s="152">
        <v>45569</v>
      </c>
      <c r="U668" s="152">
        <v>45607</v>
      </c>
      <c r="V668" s="152">
        <v>45608</v>
      </c>
      <c r="W668" s="2">
        <f>VLOOKUP(Table1[[#This Row],[Status]],Auxiliar!$B$16:$D$24,3,0)*Table1[[#This Row],[Estimação (horas)]]</f>
        <v>0.1</v>
      </c>
      <c r="X668" s="2"/>
    </row>
    <row r="669" spans="2:24" ht="17.7" customHeight="1" x14ac:dyDescent="0.25">
      <c r="B669" s="2" t="s">
        <v>26</v>
      </c>
      <c r="C669" s="2" t="s">
        <v>311</v>
      </c>
      <c r="D669" s="2" t="s">
        <v>333</v>
      </c>
      <c r="E669" s="2" t="s">
        <v>38</v>
      </c>
      <c r="F669" s="2" t="s">
        <v>332</v>
      </c>
      <c r="G669" s="2" t="s">
        <v>208</v>
      </c>
      <c r="H669" s="57" t="str">
        <f>Table1[[#This Row],[Tabela]]&amp;Table1[[#This Row],[Campo]]</f>
        <v>modesg_out_emss_vclsref_date</v>
      </c>
      <c r="I669" s="3" t="s">
        <v>614</v>
      </c>
      <c r="J669" s="55">
        <f>VLOOKUP(Table1[[#This Row],[Status]],Auxiliar!$B$16:$C$24,2,0)</f>
        <v>1</v>
      </c>
      <c r="K669" s="2" t="s">
        <v>1252</v>
      </c>
      <c r="L669" s="29" t="s">
        <v>1258</v>
      </c>
      <c r="M669" s="21" t="s">
        <v>1259</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7" customHeight="1" x14ac:dyDescent="0.25">
      <c r="B670" s="2" t="s">
        <v>26</v>
      </c>
      <c r="C670" s="2" t="s">
        <v>311</v>
      </c>
      <c r="D670" s="2" t="s">
        <v>333</v>
      </c>
      <c r="E670" s="2" t="s">
        <v>38</v>
      </c>
      <c r="F670" s="2" t="s">
        <v>332</v>
      </c>
      <c r="G670" s="2" t="s">
        <v>208</v>
      </c>
      <c r="H670" s="57" t="str">
        <f>Table1[[#This Row],[Tabela]]&amp;Table1[[#This Row],[Campo]]</f>
        <v>modesg_out_emss_vclsref_date</v>
      </c>
      <c r="I670" s="3" t="s">
        <v>614</v>
      </c>
      <c r="J670" s="55">
        <f>VLOOKUP(Table1[[#This Row],[Status]],Auxiliar!$B$16:$C$24,2,0)</f>
        <v>1</v>
      </c>
      <c r="K670" s="2" t="s">
        <v>1253</v>
      </c>
      <c r="L670" s="29" t="s">
        <v>1258</v>
      </c>
      <c r="M670" s="21" t="s">
        <v>1259</v>
      </c>
      <c r="N670" s="48">
        <v>45485</v>
      </c>
      <c r="O670" s="21">
        <f>INDEX(Auxiliar!$D$5:$F$13,MATCH(Table1[[#This Row],[Tipologia_Testes]],Auxiliar!$B$5:$B$13,0),MATCH(Table1[[#This Row],[Complexidade]],Auxiliar!$D$4:$F$4,0))</f>
        <v>2</v>
      </c>
      <c r="P670" s="2"/>
      <c r="Q670" s="2"/>
      <c r="R670" s="152">
        <v>45261</v>
      </c>
      <c r="S670" s="152"/>
      <c r="T670" s="152"/>
      <c r="U670" s="152"/>
      <c r="V670" s="152"/>
      <c r="W670" s="2">
        <f>VLOOKUP(Table1[[#This Row],[Status]],Auxiliar!$B$16:$D$24,3,0)*Table1[[#This Row],[Estimação (horas)]]</f>
        <v>2</v>
      </c>
      <c r="X670" s="2"/>
    </row>
    <row r="671" spans="2:24" ht="17.7" customHeight="1" x14ac:dyDescent="0.25">
      <c r="B671" s="2" t="s">
        <v>26</v>
      </c>
      <c r="C671" s="2" t="s">
        <v>311</v>
      </c>
      <c r="D671" s="2" t="s">
        <v>333</v>
      </c>
      <c r="E671" s="2" t="s">
        <v>38</v>
      </c>
      <c r="F671" s="2" t="s">
        <v>332</v>
      </c>
      <c r="G671" s="2" t="s">
        <v>208</v>
      </c>
      <c r="H671" s="57" t="str">
        <f>Table1[[#This Row],[Tabela]]&amp;Table1[[#This Row],[Campo]]</f>
        <v>modesg_out_emss_vclsref_date</v>
      </c>
      <c r="I671" s="3" t="s">
        <v>614</v>
      </c>
      <c r="J671" s="55">
        <f>VLOOKUP(Table1[[#This Row],[Status]],Auxiliar!$B$16:$C$24,2,0)</f>
        <v>1</v>
      </c>
      <c r="K671" s="2" t="s">
        <v>1255</v>
      </c>
      <c r="L671" s="29" t="s">
        <v>1258</v>
      </c>
      <c r="M671" s="21" t="s">
        <v>1259</v>
      </c>
      <c r="N671" s="48">
        <v>45485</v>
      </c>
      <c r="O671" s="21">
        <f>INDEX(Auxiliar!$D$5:$F$13,MATCH(Table1[[#This Row],[Tipologia_Testes]],Auxiliar!$B$5:$B$13,0),MATCH(Table1[[#This Row],[Complexidade]],Auxiliar!$D$4:$F$4,0))</f>
        <v>0.1</v>
      </c>
      <c r="P671" s="2"/>
      <c r="Q671" s="2"/>
      <c r="R671" s="152">
        <v>45261</v>
      </c>
      <c r="S671" s="152"/>
      <c r="T671" s="152"/>
      <c r="U671" s="152"/>
      <c r="V671" s="152"/>
      <c r="W671" s="2">
        <f>VLOOKUP(Table1[[#This Row],[Status]],Auxiliar!$B$16:$D$24,3,0)*Table1[[#This Row],[Estimação (horas)]]</f>
        <v>0.1</v>
      </c>
      <c r="X671" s="2"/>
    </row>
    <row r="672" spans="2:24" ht="69.599999999999994" customHeight="1" x14ac:dyDescent="0.25">
      <c r="B672" s="2" t="s">
        <v>26</v>
      </c>
      <c r="C672" s="2" t="s">
        <v>311</v>
      </c>
      <c r="D672" s="2" t="s">
        <v>333</v>
      </c>
      <c r="E672" s="2" t="s">
        <v>38</v>
      </c>
      <c r="F672" s="2" t="s">
        <v>332</v>
      </c>
      <c r="G672" s="2" t="s">
        <v>286</v>
      </c>
      <c r="H672" s="57" t="str">
        <f>Table1[[#This Row],[Tabela]]&amp;Table1[[#This Row],[Campo]]</f>
        <v>modesg_out_emss_vclsscp1_emss</v>
      </c>
      <c r="I672" s="2" t="s">
        <v>617</v>
      </c>
      <c r="J672" s="43">
        <f>VLOOKUP(Table1[[#This Row],[Status]],Auxiliar!$B$16:$C$24,2,0)</f>
        <v>6</v>
      </c>
      <c r="K672" s="2" t="s">
        <v>1252</v>
      </c>
      <c r="L672" s="29" t="s">
        <v>1250</v>
      </c>
      <c r="M672" s="21" t="s">
        <v>1251</v>
      </c>
      <c r="N672" s="48">
        <v>45618</v>
      </c>
      <c r="O672" s="21">
        <f>INDEX(Auxiliar!$D$5:$F$13,MATCH(Table1[[#This Row],[Tipologia_Testes]],Auxiliar!$B$5:$B$13,0),MATCH(Table1[[#This Row],[Complexidade]],Auxiliar!$D$4:$F$4,0))</f>
        <v>8</v>
      </c>
      <c r="P672" s="23" t="s">
        <v>1288</v>
      </c>
      <c r="Q672" s="2"/>
      <c r="R672" s="152">
        <v>45566</v>
      </c>
      <c r="S672" s="152"/>
      <c r="T672" s="152">
        <v>45621</v>
      </c>
      <c r="U672" s="152">
        <v>45607</v>
      </c>
      <c r="V672" s="152">
        <v>45608</v>
      </c>
      <c r="W672" s="2">
        <f>VLOOKUP(Table1[[#This Row],[Status]],Auxiliar!$B$16:$D$24,3,0)*Table1[[#This Row],[Estimação (horas)]]</f>
        <v>2</v>
      </c>
      <c r="X672" s="2"/>
    </row>
    <row r="673" spans="2:24" ht="69.599999999999994" customHeight="1" x14ac:dyDescent="0.25">
      <c r="B673" s="2" t="s">
        <v>26</v>
      </c>
      <c r="C673" s="2" t="s">
        <v>311</v>
      </c>
      <c r="D673" s="2" t="s">
        <v>333</v>
      </c>
      <c r="E673" s="2" t="s">
        <v>38</v>
      </c>
      <c r="F673" s="2" t="s">
        <v>332</v>
      </c>
      <c r="G673" s="2" t="s">
        <v>286</v>
      </c>
      <c r="H673" s="57" t="str">
        <f>Table1[[#This Row],[Tabela]]&amp;Table1[[#This Row],[Campo]]</f>
        <v>modesg_out_emss_vclsscp1_emss</v>
      </c>
      <c r="I673" s="2" t="s">
        <v>617</v>
      </c>
      <c r="J673" s="43">
        <f>VLOOKUP(Table1[[#This Row],[Status]],Auxiliar!$B$16:$C$24,2,0)</f>
        <v>6</v>
      </c>
      <c r="K673" s="2" t="s">
        <v>1253</v>
      </c>
      <c r="L673" s="29" t="s">
        <v>1250</v>
      </c>
      <c r="M673" s="21" t="s">
        <v>1251</v>
      </c>
      <c r="N673" s="48">
        <v>45618</v>
      </c>
      <c r="O673" s="21">
        <f>INDEX(Auxiliar!$D$5:$F$13,MATCH(Table1[[#This Row],[Tipologia_Testes]],Auxiliar!$B$5:$B$13,0),MATCH(Table1[[#This Row],[Complexidade]],Auxiliar!$D$4:$F$4,0))</f>
        <v>8</v>
      </c>
      <c r="P673" s="23" t="s">
        <v>1288</v>
      </c>
      <c r="Q673" s="2"/>
      <c r="R673" s="152">
        <v>45566</v>
      </c>
      <c r="S673" s="152"/>
      <c r="T673" s="152">
        <v>45621</v>
      </c>
      <c r="U673" s="152">
        <v>45607</v>
      </c>
      <c r="V673" s="152">
        <v>45608</v>
      </c>
      <c r="W673" s="2">
        <f>VLOOKUP(Table1[[#This Row],[Status]],Auxiliar!$B$16:$D$24,3,0)*Table1[[#This Row],[Estimação (horas)]]</f>
        <v>2</v>
      </c>
      <c r="X673" s="2"/>
    </row>
    <row r="674" spans="2:24" ht="69.599999999999994" customHeight="1" x14ac:dyDescent="0.25">
      <c r="B674" s="2" t="s">
        <v>26</v>
      </c>
      <c r="C674" s="2" t="s">
        <v>311</v>
      </c>
      <c r="D674" s="2" t="s">
        <v>333</v>
      </c>
      <c r="E674" s="2" t="s">
        <v>38</v>
      </c>
      <c r="F674" s="2" t="s">
        <v>332</v>
      </c>
      <c r="G674" s="2" t="s">
        <v>286</v>
      </c>
      <c r="H674" s="57" t="str">
        <f>Table1[[#This Row],[Tabela]]&amp;Table1[[#This Row],[Campo]]</f>
        <v>modesg_out_emss_vclsscp1_emss</v>
      </c>
      <c r="I674" s="2" t="s">
        <v>617</v>
      </c>
      <c r="J674" s="43">
        <f>VLOOKUP(Table1[[#This Row],[Status]],Auxiliar!$B$16:$C$24,2,0)</f>
        <v>6</v>
      </c>
      <c r="K674" s="2" t="s">
        <v>1255</v>
      </c>
      <c r="L674" s="29" t="s">
        <v>1250</v>
      </c>
      <c r="M674" s="21" t="s">
        <v>1251</v>
      </c>
      <c r="N674" s="48">
        <v>45618</v>
      </c>
      <c r="O674" s="21">
        <f>INDEX(Auxiliar!$D$5:$F$13,MATCH(Table1[[#This Row],[Tipologia_Testes]],Auxiliar!$B$5:$B$13,0),MATCH(Table1[[#This Row],[Complexidade]],Auxiliar!$D$4:$F$4,0))</f>
        <v>0.1</v>
      </c>
      <c r="P674" s="23" t="s">
        <v>1288</v>
      </c>
      <c r="Q674" s="2"/>
      <c r="R674" s="152">
        <v>45566</v>
      </c>
      <c r="S674" s="152"/>
      <c r="T674" s="152">
        <v>45621</v>
      </c>
      <c r="U674" s="152">
        <v>45607</v>
      </c>
      <c r="V674" s="152">
        <v>45608</v>
      </c>
      <c r="W674" s="2">
        <f>VLOOKUP(Table1[[#This Row],[Status]],Auxiliar!$B$16:$D$24,3,0)*Table1[[#This Row],[Estimação (horas)]]</f>
        <v>2.5000000000000001E-2</v>
      </c>
      <c r="X674" s="2"/>
    </row>
    <row r="675" spans="2:24" ht="69.599999999999994" customHeight="1" x14ac:dyDescent="0.25">
      <c r="B675" s="2" t="s">
        <v>26</v>
      </c>
      <c r="C675" s="2" t="s">
        <v>311</v>
      </c>
      <c r="D675" s="2" t="s">
        <v>333</v>
      </c>
      <c r="E675" s="2" t="s">
        <v>38</v>
      </c>
      <c r="F675" s="2" t="s">
        <v>332</v>
      </c>
      <c r="G675" s="2" t="s">
        <v>287</v>
      </c>
      <c r="H675" s="57" t="str">
        <f>Table1[[#This Row],[Tabela]]&amp;Table1[[#This Row],[Campo]]</f>
        <v>modesg_out_emss_vclsscp2_emss</v>
      </c>
      <c r="I675" s="2" t="s">
        <v>617</v>
      </c>
      <c r="J675" s="43">
        <f>VLOOKUP(Table1[[#This Row],[Status]],Auxiliar!$B$16:$C$24,2,0)</f>
        <v>6</v>
      </c>
      <c r="K675" s="2" t="s">
        <v>1252</v>
      </c>
      <c r="L675" s="29" t="s">
        <v>1250</v>
      </c>
      <c r="M675" s="21" t="s">
        <v>1251</v>
      </c>
      <c r="N675" s="48">
        <v>45618</v>
      </c>
      <c r="O675" s="21">
        <f>INDEX(Auxiliar!$D$5:$F$13,MATCH(Table1[[#This Row],[Tipologia_Testes]],Auxiliar!$B$5:$B$13,0),MATCH(Table1[[#This Row],[Complexidade]],Auxiliar!$D$4:$F$4,0))</f>
        <v>8</v>
      </c>
      <c r="P675" s="23" t="s">
        <v>1288</v>
      </c>
      <c r="Q675" s="2"/>
      <c r="R675" s="152">
        <v>45566</v>
      </c>
      <c r="S675" s="152"/>
      <c r="T675" s="152">
        <v>45621</v>
      </c>
      <c r="U675" s="152">
        <v>45607</v>
      </c>
      <c r="V675" s="152">
        <v>45608</v>
      </c>
      <c r="W675" s="2">
        <f>VLOOKUP(Table1[[#This Row],[Status]],Auxiliar!$B$16:$D$24,3,0)*Table1[[#This Row],[Estimação (horas)]]</f>
        <v>2</v>
      </c>
      <c r="X675" s="2"/>
    </row>
    <row r="676" spans="2:24" ht="69.599999999999994" customHeight="1" x14ac:dyDescent="0.25">
      <c r="B676" s="2" t="s">
        <v>26</v>
      </c>
      <c r="C676" s="2" t="s">
        <v>311</v>
      </c>
      <c r="D676" s="2" t="s">
        <v>333</v>
      </c>
      <c r="E676" s="2" t="s">
        <v>38</v>
      </c>
      <c r="F676" s="2" t="s">
        <v>332</v>
      </c>
      <c r="G676" s="2" t="s">
        <v>287</v>
      </c>
      <c r="H676" s="57" t="str">
        <f>Table1[[#This Row],[Tabela]]&amp;Table1[[#This Row],[Campo]]</f>
        <v>modesg_out_emss_vclsscp2_emss</v>
      </c>
      <c r="I676" s="2" t="s">
        <v>617</v>
      </c>
      <c r="J676" s="43">
        <f>VLOOKUP(Table1[[#This Row],[Status]],Auxiliar!$B$16:$C$24,2,0)</f>
        <v>6</v>
      </c>
      <c r="K676" s="2" t="s">
        <v>1253</v>
      </c>
      <c r="L676" s="29" t="s">
        <v>1250</v>
      </c>
      <c r="M676" s="21" t="s">
        <v>1251</v>
      </c>
      <c r="N676" s="48">
        <v>45618</v>
      </c>
      <c r="O676" s="21">
        <f>INDEX(Auxiliar!$D$5:$F$13,MATCH(Table1[[#This Row],[Tipologia_Testes]],Auxiliar!$B$5:$B$13,0),MATCH(Table1[[#This Row],[Complexidade]],Auxiliar!$D$4:$F$4,0))</f>
        <v>8</v>
      </c>
      <c r="P676" s="23" t="s">
        <v>1288</v>
      </c>
      <c r="Q676" s="2"/>
      <c r="R676" s="152">
        <v>45566</v>
      </c>
      <c r="S676" s="152"/>
      <c r="T676" s="152">
        <v>45621</v>
      </c>
      <c r="U676" s="152">
        <v>45607</v>
      </c>
      <c r="V676" s="152">
        <v>45608</v>
      </c>
      <c r="W676" s="2">
        <f>VLOOKUP(Table1[[#This Row],[Status]],Auxiliar!$B$16:$D$24,3,0)*Table1[[#This Row],[Estimação (horas)]]</f>
        <v>2</v>
      </c>
      <c r="X676" s="2"/>
    </row>
    <row r="677" spans="2:24" ht="69.599999999999994" customHeight="1" x14ac:dyDescent="0.25">
      <c r="B677" s="2" t="s">
        <v>26</v>
      </c>
      <c r="C677" s="2" t="s">
        <v>311</v>
      </c>
      <c r="D677" s="2" t="s">
        <v>333</v>
      </c>
      <c r="E677" s="2" t="s">
        <v>38</v>
      </c>
      <c r="F677" s="2" t="s">
        <v>332</v>
      </c>
      <c r="G677" s="2" t="s">
        <v>287</v>
      </c>
      <c r="H677" s="57" t="str">
        <f>Table1[[#This Row],[Tabela]]&amp;Table1[[#This Row],[Campo]]</f>
        <v>modesg_out_emss_vclsscp2_emss</v>
      </c>
      <c r="I677" s="2" t="s">
        <v>617</v>
      </c>
      <c r="J677" s="43">
        <f>VLOOKUP(Table1[[#This Row],[Status]],Auxiliar!$B$16:$C$24,2,0)</f>
        <v>6</v>
      </c>
      <c r="K677" s="2" t="s">
        <v>1255</v>
      </c>
      <c r="L677" s="29" t="s">
        <v>1250</v>
      </c>
      <c r="M677" s="21" t="s">
        <v>1251</v>
      </c>
      <c r="N677" s="48">
        <v>45618</v>
      </c>
      <c r="O677" s="21">
        <f>INDEX(Auxiliar!$D$5:$F$13,MATCH(Table1[[#This Row],[Tipologia_Testes]],Auxiliar!$B$5:$B$13,0),MATCH(Table1[[#This Row],[Complexidade]],Auxiliar!$D$4:$F$4,0))</f>
        <v>0.1</v>
      </c>
      <c r="P677" s="23" t="s">
        <v>1288</v>
      </c>
      <c r="Q677" s="2"/>
      <c r="R677" s="152">
        <v>45566</v>
      </c>
      <c r="S677" s="152"/>
      <c r="T677" s="152">
        <v>45621</v>
      </c>
      <c r="U677" s="152">
        <v>45607</v>
      </c>
      <c r="V677" s="152">
        <v>45608</v>
      </c>
      <c r="W677" s="2">
        <f>VLOOKUP(Table1[[#This Row],[Status]],Auxiliar!$B$16:$D$24,3,0)*Table1[[#This Row],[Estimação (horas)]]</f>
        <v>2.5000000000000001E-2</v>
      </c>
      <c r="X677" s="2"/>
    </row>
    <row r="678" spans="2:24" ht="69.599999999999994" customHeight="1" x14ac:dyDescent="0.25">
      <c r="B678" s="2" t="s">
        <v>26</v>
      </c>
      <c r="C678" s="2" t="s">
        <v>311</v>
      </c>
      <c r="D678" s="2" t="s">
        <v>333</v>
      </c>
      <c r="E678" s="2" t="s">
        <v>38</v>
      </c>
      <c r="F678" s="2" t="s">
        <v>332</v>
      </c>
      <c r="G678" s="2" t="s">
        <v>288</v>
      </c>
      <c r="H678" s="57" t="str">
        <f>Table1[[#This Row],[Tabela]]&amp;Table1[[#This Row],[Campo]]</f>
        <v>modesg_out_emss_vclsscp3_emss</v>
      </c>
      <c r="I678" s="2" t="s">
        <v>614</v>
      </c>
      <c r="J678" s="43">
        <f>VLOOKUP(Table1[[#This Row],[Status]],Auxiliar!$B$16:$C$24,2,0)</f>
        <v>1</v>
      </c>
      <c r="K678" s="2" t="s">
        <v>1252</v>
      </c>
      <c r="L678" s="29" t="s">
        <v>1250</v>
      </c>
      <c r="M678" s="21" t="s">
        <v>1251</v>
      </c>
      <c r="N678" s="48">
        <v>45618</v>
      </c>
      <c r="O678" s="21">
        <f>INDEX(Auxiliar!$D$5:$F$13,MATCH(Table1[[#This Row],[Tipologia_Testes]],Auxiliar!$B$5:$B$13,0),MATCH(Table1[[#This Row],[Complexidade]],Auxiliar!$D$4:$F$4,0))</f>
        <v>8</v>
      </c>
      <c r="P678" s="23" t="s">
        <v>1288</v>
      </c>
      <c r="Q678" s="2"/>
      <c r="R678" s="152">
        <v>45566</v>
      </c>
      <c r="S678" s="152"/>
      <c r="T678" s="152">
        <v>45569</v>
      </c>
      <c r="U678" s="152">
        <v>45607</v>
      </c>
      <c r="V678" s="152">
        <v>45608</v>
      </c>
      <c r="W678" s="2">
        <f>VLOOKUP(Table1[[#This Row],[Status]],Auxiliar!$B$16:$D$24,3,0)*Table1[[#This Row],[Estimação (horas)]]</f>
        <v>8</v>
      </c>
      <c r="X678" s="2"/>
    </row>
    <row r="679" spans="2:24" ht="69.599999999999994" customHeight="1" x14ac:dyDescent="0.25">
      <c r="B679" s="2" t="s">
        <v>26</v>
      </c>
      <c r="C679" s="2" t="s">
        <v>311</v>
      </c>
      <c r="D679" s="2" t="s">
        <v>333</v>
      </c>
      <c r="E679" s="2" t="s">
        <v>38</v>
      </c>
      <c r="F679" s="2" t="s">
        <v>332</v>
      </c>
      <c r="G679" s="2" t="s">
        <v>288</v>
      </c>
      <c r="H679" s="57" t="str">
        <f>Table1[[#This Row],[Tabela]]&amp;Table1[[#This Row],[Campo]]</f>
        <v>modesg_out_emss_vclsscp3_emss</v>
      </c>
      <c r="I679" s="2" t="s">
        <v>614</v>
      </c>
      <c r="J679" s="43">
        <f>VLOOKUP(Table1[[#This Row],[Status]],Auxiliar!$B$16:$C$24,2,0)</f>
        <v>1</v>
      </c>
      <c r="K679" s="2" t="s">
        <v>1253</v>
      </c>
      <c r="L679" s="29" t="s">
        <v>1250</v>
      </c>
      <c r="M679" s="21" t="s">
        <v>1251</v>
      </c>
      <c r="N679" s="48">
        <v>45618</v>
      </c>
      <c r="O679" s="21">
        <f>INDEX(Auxiliar!$D$5:$F$13,MATCH(Table1[[#This Row],[Tipologia_Testes]],Auxiliar!$B$5:$B$13,0),MATCH(Table1[[#This Row],[Complexidade]],Auxiliar!$D$4:$F$4,0))</f>
        <v>8</v>
      </c>
      <c r="P679" s="23" t="s">
        <v>1288</v>
      </c>
      <c r="Q679" s="2"/>
      <c r="R679" s="152">
        <v>45566</v>
      </c>
      <c r="S679" s="152"/>
      <c r="T679" s="152">
        <v>45569</v>
      </c>
      <c r="U679" s="152">
        <v>45607</v>
      </c>
      <c r="V679" s="152">
        <v>45608</v>
      </c>
      <c r="W679" s="2">
        <f>VLOOKUP(Table1[[#This Row],[Status]],Auxiliar!$B$16:$D$24,3,0)*Table1[[#This Row],[Estimação (horas)]]</f>
        <v>8</v>
      </c>
      <c r="X679" s="2"/>
    </row>
    <row r="680" spans="2:24" ht="69.599999999999994" customHeight="1" x14ac:dyDescent="0.25">
      <c r="B680" s="2" t="s">
        <v>26</v>
      </c>
      <c r="C680" s="2" t="s">
        <v>311</v>
      </c>
      <c r="D680" s="2" t="s">
        <v>333</v>
      </c>
      <c r="E680" s="2" t="s">
        <v>38</v>
      </c>
      <c r="F680" s="2" t="s">
        <v>332</v>
      </c>
      <c r="G680" s="2" t="s">
        <v>288</v>
      </c>
      <c r="H680" s="57" t="str">
        <f>Table1[[#This Row],[Tabela]]&amp;Table1[[#This Row],[Campo]]</f>
        <v>modesg_out_emss_vclsscp3_emss</v>
      </c>
      <c r="I680" s="2" t="s">
        <v>614</v>
      </c>
      <c r="J680" s="43">
        <f>VLOOKUP(Table1[[#This Row],[Status]],Auxiliar!$B$16:$C$24,2,0)</f>
        <v>1</v>
      </c>
      <c r="K680" s="2" t="s">
        <v>1255</v>
      </c>
      <c r="L680" s="29" t="s">
        <v>1250</v>
      </c>
      <c r="M680" s="21" t="s">
        <v>1251</v>
      </c>
      <c r="N680" s="48">
        <v>45618</v>
      </c>
      <c r="O680" s="21">
        <f>INDEX(Auxiliar!$D$5:$F$13,MATCH(Table1[[#This Row],[Tipologia_Testes]],Auxiliar!$B$5:$B$13,0),MATCH(Table1[[#This Row],[Complexidade]],Auxiliar!$D$4:$F$4,0))</f>
        <v>0.1</v>
      </c>
      <c r="P680" s="23" t="s">
        <v>1288</v>
      </c>
      <c r="Q680" s="2"/>
      <c r="R680" s="152">
        <v>45566</v>
      </c>
      <c r="S680" s="152"/>
      <c r="T680" s="152">
        <v>45569</v>
      </c>
      <c r="U680" s="152">
        <v>45607</v>
      </c>
      <c r="V680" s="152">
        <v>45608</v>
      </c>
      <c r="W680" s="2">
        <f>VLOOKUP(Table1[[#This Row],[Status]],Auxiliar!$B$16:$D$24,3,0)*Table1[[#This Row],[Estimação (horas)]]</f>
        <v>0.1</v>
      </c>
      <c r="X680" s="2"/>
    </row>
    <row r="681" spans="2:24" ht="17.7" customHeight="1" x14ac:dyDescent="0.25">
      <c r="B681" s="2" t="s">
        <v>26</v>
      </c>
      <c r="C681" s="2" t="s">
        <v>311</v>
      </c>
      <c r="D681" s="2" t="s">
        <v>333</v>
      </c>
      <c r="E681" s="2" t="s">
        <v>38</v>
      </c>
      <c r="F681" s="2" t="s">
        <v>332</v>
      </c>
      <c r="G681" s="2" t="s">
        <v>323</v>
      </c>
      <c r="H681" s="57" t="str">
        <f>Table1[[#This Row],[Tabela]]&amp;Table1[[#This Row],[Campo]]</f>
        <v>modesg_out_emss_vclsunidade_funcional_scp1_emss</v>
      </c>
      <c r="I681" s="3" t="s">
        <v>614</v>
      </c>
      <c r="J681" s="55">
        <f>VLOOKUP(Table1[[#This Row],[Status]],Auxiliar!$B$16:$C$24,2,0)</f>
        <v>1</v>
      </c>
      <c r="K681" s="2" t="s">
        <v>1252</v>
      </c>
      <c r="L681" s="29" t="s">
        <v>1258</v>
      </c>
      <c r="M681" s="21" t="s">
        <v>1259</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customHeight="1" x14ac:dyDescent="0.25">
      <c r="B682" s="2" t="s">
        <v>26</v>
      </c>
      <c r="C682" s="2" t="s">
        <v>311</v>
      </c>
      <c r="D682" s="2" t="s">
        <v>333</v>
      </c>
      <c r="E682" s="2" t="s">
        <v>38</v>
      </c>
      <c r="F682" s="2" t="s">
        <v>332</v>
      </c>
      <c r="G682" s="2" t="s">
        <v>323</v>
      </c>
      <c r="H682" s="57" t="str">
        <f>Table1[[#This Row],[Tabela]]&amp;Table1[[#This Row],[Campo]]</f>
        <v>modesg_out_emss_vclsunidade_funcional_scp1_emss</v>
      </c>
      <c r="I682" s="3" t="s">
        <v>614</v>
      </c>
      <c r="J682" s="55">
        <f>VLOOKUP(Table1[[#This Row],[Status]],Auxiliar!$B$16:$C$24,2,0)</f>
        <v>1</v>
      </c>
      <c r="K682" s="2" t="s">
        <v>1253</v>
      </c>
      <c r="L682" s="29" t="s">
        <v>1258</v>
      </c>
      <c r="M682" s="21" t="s">
        <v>1259</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customHeight="1" x14ac:dyDescent="0.25">
      <c r="B683" s="2" t="s">
        <v>26</v>
      </c>
      <c r="C683" s="2" t="s">
        <v>311</v>
      </c>
      <c r="D683" s="2" t="s">
        <v>333</v>
      </c>
      <c r="E683" s="2" t="s">
        <v>38</v>
      </c>
      <c r="F683" s="2" t="s">
        <v>332</v>
      </c>
      <c r="G683" s="2" t="s">
        <v>323</v>
      </c>
      <c r="H683" s="57" t="str">
        <f>Table1[[#This Row],[Tabela]]&amp;Table1[[#This Row],[Campo]]</f>
        <v>modesg_out_emss_vclsunidade_funcional_scp1_emss</v>
      </c>
      <c r="I683" s="3" t="s">
        <v>614</v>
      </c>
      <c r="J683" s="55">
        <f>VLOOKUP(Table1[[#This Row],[Status]],Auxiliar!$B$16:$C$24,2,0)</f>
        <v>1</v>
      </c>
      <c r="K683" s="2" t="s">
        <v>1255</v>
      </c>
      <c r="L683" s="29" t="s">
        <v>1258</v>
      </c>
      <c r="M683" s="21" t="s">
        <v>1259</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customHeight="1" x14ac:dyDescent="0.25">
      <c r="B684" s="2" t="s">
        <v>26</v>
      </c>
      <c r="C684" s="2" t="s">
        <v>311</v>
      </c>
      <c r="D684" s="2" t="s">
        <v>333</v>
      </c>
      <c r="E684" s="2" t="s">
        <v>38</v>
      </c>
      <c r="F684" s="2" t="s">
        <v>332</v>
      </c>
      <c r="G684" s="2" t="s">
        <v>324</v>
      </c>
      <c r="H684" s="57" t="str">
        <f>Table1[[#This Row],[Tabela]]&amp;Table1[[#This Row],[Campo]]</f>
        <v>modesg_out_emss_vclsunidade_funcional_scp2_emss</v>
      </c>
      <c r="I684" s="3" t="s">
        <v>614</v>
      </c>
      <c r="J684" s="55">
        <f>VLOOKUP(Table1[[#This Row],[Status]],Auxiliar!$B$16:$C$24,2,0)</f>
        <v>1</v>
      </c>
      <c r="K684" s="2" t="s">
        <v>1252</v>
      </c>
      <c r="L684" s="29" t="s">
        <v>1258</v>
      </c>
      <c r="M684" s="21" t="s">
        <v>1259</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customHeight="1" x14ac:dyDescent="0.25">
      <c r="B685" s="2" t="s">
        <v>26</v>
      </c>
      <c r="C685" s="2" t="s">
        <v>311</v>
      </c>
      <c r="D685" s="2" t="s">
        <v>333</v>
      </c>
      <c r="E685" s="2" t="s">
        <v>38</v>
      </c>
      <c r="F685" s="2" t="s">
        <v>332</v>
      </c>
      <c r="G685" s="2" t="s">
        <v>324</v>
      </c>
      <c r="H685" s="57" t="str">
        <f>Table1[[#This Row],[Tabela]]&amp;Table1[[#This Row],[Campo]]</f>
        <v>modesg_out_emss_vclsunidade_funcional_scp2_emss</v>
      </c>
      <c r="I685" s="3" t="s">
        <v>614</v>
      </c>
      <c r="J685" s="55">
        <f>VLOOKUP(Table1[[#This Row],[Status]],Auxiliar!$B$16:$C$24,2,0)</f>
        <v>1</v>
      </c>
      <c r="K685" s="2" t="s">
        <v>1253</v>
      </c>
      <c r="L685" s="29" t="s">
        <v>1258</v>
      </c>
      <c r="M685" s="21" t="s">
        <v>1259</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customHeight="1" x14ac:dyDescent="0.25">
      <c r="B686" s="2" t="s">
        <v>26</v>
      </c>
      <c r="C686" s="2" t="s">
        <v>311</v>
      </c>
      <c r="D686" s="2" t="s">
        <v>333</v>
      </c>
      <c r="E686" s="2" t="s">
        <v>38</v>
      </c>
      <c r="F686" s="2" t="s">
        <v>332</v>
      </c>
      <c r="G686" s="2" t="s">
        <v>324</v>
      </c>
      <c r="H686" s="57" t="str">
        <f>Table1[[#This Row],[Tabela]]&amp;Table1[[#This Row],[Campo]]</f>
        <v>modesg_out_emss_vclsunidade_funcional_scp2_emss</v>
      </c>
      <c r="I686" s="3" t="s">
        <v>614</v>
      </c>
      <c r="J686" s="55">
        <f>VLOOKUP(Table1[[#This Row],[Status]],Auxiliar!$B$16:$C$24,2,0)</f>
        <v>1</v>
      </c>
      <c r="K686" s="2" t="s">
        <v>1255</v>
      </c>
      <c r="L686" s="29" t="s">
        <v>1258</v>
      </c>
      <c r="M686" s="21" t="s">
        <v>1259</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customHeight="1" x14ac:dyDescent="0.25">
      <c r="B687" s="2" t="s">
        <v>26</v>
      </c>
      <c r="C687" s="2" t="s">
        <v>311</v>
      </c>
      <c r="D687" s="2" t="s">
        <v>333</v>
      </c>
      <c r="E687" s="2" t="s">
        <v>38</v>
      </c>
      <c r="F687" s="2" t="s">
        <v>332</v>
      </c>
      <c r="G687" s="2" t="s">
        <v>325</v>
      </c>
      <c r="H687" s="57" t="str">
        <f>Table1[[#This Row],[Tabela]]&amp;Table1[[#This Row],[Campo]]</f>
        <v>modesg_out_emss_vclsunidade_funcional_scp3_emss</v>
      </c>
      <c r="I687" s="3" t="s">
        <v>614</v>
      </c>
      <c r="J687" s="55">
        <f>VLOOKUP(Table1[[#This Row],[Status]],Auxiliar!$B$16:$C$24,2,0)</f>
        <v>1</v>
      </c>
      <c r="K687" s="2" t="s">
        <v>1252</v>
      </c>
      <c r="L687" s="29" t="s">
        <v>1258</v>
      </c>
      <c r="M687" s="21" t="s">
        <v>1259</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customHeight="1" x14ac:dyDescent="0.25">
      <c r="B688" s="2" t="s">
        <v>26</v>
      </c>
      <c r="C688" s="2" t="s">
        <v>311</v>
      </c>
      <c r="D688" s="2" t="s">
        <v>333</v>
      </c>
      <c r="E688" s="2" t="s">
        <v>38</v>
      </c>
      <c r="F688" s="2" t="s">
        <v>332</v>
      </c>
      <c r="G688" s="2" t="s">
        <v>325</v>
      </c>
      <c r="H688" s="57" t="str">
        <f>Table1[[#This Row],[Tabela]]&amp;Table1[[#This Row],[Campo]]</f>
        <v>modesg_out_emss_vclsunidade_funcional_scp3_emss</v>
      </c>
      <c r="I688" s="3" t="s">
        <v>614</v>
      </c>
      <c r="J688" s="55">
        <f>VLOOKUP(Table1[[#This Row],[Status]],Auxiliar!$B$16:$C$24,2,0)</f>
        <v>1</v>
      </c>
      <c r="K688" s="2" t="s">
        <v>1253</v>
      </c>
      <c r="L688" s="29" t="s">
        <v>1258</v>
      </c>
      <c r="M688" s="21" t="s">
        <v>1259</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customHeight="1" x14ac:dyDescent="0.25">
      <c r="B689" s="2" t="s">
        <v>26</v>
      </c>
      <c r="C689" s="2" t="s">
        <v>311</v>
      </c>
      <c r="D689" s="2" t="s">
        <v>333</v>
      </c>
      <c r="E689" s="2" t="s">
        <v>38</v>
      </c>
      <c r="F689" s="2" t="s">
        <v>332</v>
      </c>
      <c r="G689" s="2" t="s">
        <v>325</v>
      </c>
      <c r="H689" s="57" t="str">
        <f>Table1[[#This Row],[Tabela]]&amp;Table1[[#This Row],[Campo]]</f>
        <v>modesg_out_emss_vclsunidade_funcional_scp3_emss</v>
      </c>
      <c r="I689" s="3" t="s">
        <v>614</v>
      </c>
      <c r="J689" s="55">
        <f>VLOOKUP(Table1[[#This Row],[Status]],Auxiliar!$B$16:$C$24,2,0)</f>
        <v>1</v>
      </c>
      <c r="K689" s="2" t="s">
        <v>1255</v>
      </c>
      <c r="L689" s="29" t="s">
        <v>1258</v>
      </c>
      <c r="M689" s="21" t="s">
        <v>1259</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8" customHeight="1" x14ac:dyDescent="0.25">
      <c r="B690" s="2" t="s">
        <v>26</v>
      </c>
      <c r="C690" s="2" t="s">
        <v>311</v>
      </c>
      <c r="D690" s="2" t="s">
        <v>335</v>
      </c>
      <c r="E690" s="2" t="s">
        <v>38</v>
      </c>
      <c r="F690" s="2" t="s">
        <v>334</v>
      </c>
      <c r="G690" s="2" t="s">
        <v>38</v>
      </c>
      <c r="H690" s="57" t="str">
        <f>Table1[[#This Row],[Tabela]]&amp;Table1[[#This Row],[Campo]]</f>
        <v>modesg_out_sfcs_taxon_europeian.a.</v>
      </c>
      <c r="I690" s="2" t="s">
        <v>619</v>
      </c>
      <c r="J690" s="43">
        <f>VLOOKUP(Table1[[#This Row],[Status]],Auxiliar!$B$16:$C$24,2,0)</f>
        <v>7</v>
      </c>
      <c r="K690" s="2" t="s">
        <v>1249</v>
      </c>
      <c r="L690" s="29" t="s">
        <v>1250</v>
      </c>
      <c r="M690" s="21" t="s">
        <v>1251</v>
      </c>
      <c r="N690" s="48">
        <v>45546</v>
      </c>
      <c r="O690" s="21">
        <f>INDEX(Auxiliar!$D$5:$F$13,MATCH(Table1[[#This Row],[Tipologia_Testes]],Auxiliar!$B$5:$B$13,0),MATCH(Table1[[#This Row],[Complexidade]],Auxiliar!$D$4:$F$4,0))</f>
        <v>8</v>
      </c>
      <c r="P690" s="23" t="s">
        <v>1289</v>
      </c>
      <c r="Q690" s="2"/>
      <c r="R690" s="152">
        <v>45563</v>
      </c>
      <c r="S690" s="152"/>
      <c r="T690" s="152">
        <v>45563</v>
      </c>
      <c r="U690" s="152">
        <v>45624</v>
      </c>
      <c r="V690" s="152"/>
      <c r="W690" s="2">
        <f>VLOOKUP(Table1[[#This Row],[Status]],Auxiliar!$B$16:$D$24,3,0)*Table1[[#This Row],[Estimação (horas)]]</f>
        <v>2</v>
      </c>
      <c r="X690" s="2"/>
    </row>
    <row r="691" spans="2:24" ht="17.7" customHeight="1" x14ac:dyDescent="0.25">
      <c r="B691" s="2" t="s">
        <v>26</v>
      </c>
      <c r="C691" s="2" t="s">
        <v>311</v>
      </c>
      <c r="D691" s="2" t="s">
        <v>335</v>
      </c>
      <c r="E691" s="2" t="s">
        <v>38</v>
      </c>
      <c r="F691" s="2" t="s">
        <v>334</v>
      </c>
      <c r="G691" s="2" t="s">
        <v>183</v>
      </c>
      <c r="H691" s="57" t="str">
        <f>Table1[[#This Row],[Tabela]]&amp;Table1[[#This Row],[Campo]]</f>
        <v>modesg_out_sfcs_taxon_europeiacbalcao</v>
      </c>
      <c r="I691" s="2" t="s">
        <v>619</v>
      </c>
      <c r="J691" s="43">
        <f>VLOOKUP(Table1[[#This Row],[Status]],Auxiliar!$B$16:$C$24,2,0)</f>
        <v>7</v>
      </c>
      <c r="K691" s="2" t="s">
        <v>1252</v>
      </c>
      <c r="L691" s="29" t="s">
        <v>1258</v>
      </c>
      <c r="M691" s="21" t="s">
        <v>1259</v>
      </c>
      <c r="N691" s="48">
        <v>45546</v>
      </c>
      <c r="O691" s="21">
        <f>INDEX(Auxiliar!$D$5:$F$13,MATCH(Table1[[#This Row],[Tipologia_Testes]],Auxiliar!$B$5:$B$13,0),MATCH(Table1[[#This Row],[Complexidade]],Auxiliar!$D$4:$F$4,0))</f>
        <v>2</v>
      </c>
      <c r="P691" s="2"/>
      <c r="Q691" s="2"/>
      <c r="R691" s="152">
        <v>45563</v>
      </c>
      <c r="S691" s="152"/>
      <c r="T691" s="152">
        <v>45563</v>
      </c>
      <c r="U691" s="152">
        <v>45624</v>
      </c>
      <c r="V691" s="152"/>
      <c r="W691" s="2">
        <f>VLOOKUP(Table1[[#This Row],[Status]],Auxiliar!$B$16:$D$24,3,0)*Table1[[#This Row],[Estimação (horas)]]</f>
        <v>0.5</v>
      </c>
      <c r="X691" s="2"/>
    </row>
    <row r="692" spans="2:24" ht="17.7" customHeight="1" x14ac:dyDescent="0.25">
      <c r="B692" s="2" t="s">
        <v>26</v>
      </c>
      <c r="C692" s="2" t="s">
        <v>311</v>
      </c>
      <c r="D692" s="2" t="s">
        <v>335</v>
      </c>
      <c r="E692" s="2" t="s">
        <v>38</v>
      </c>
      <c r="F692" s="2" t="s">
        <v>334</v>
      </c>
      <c r="G692" s="2" t="s">
        <v>183</v>
      </c>
      <c r="H692" s="57" t="str">
        <f>Table1[[#This Row],[Tabela]]&amp;Table1[[#This Row],[Campo]]</f>
        <v>modesg_out_sfcs_taxon_europeiacbalcao</v>
      </c>
      <c r="I692" s="2" t="s">
        <v>619</v>
      </c>
      <c r="J692" s="43">
        <f>VLOOKUP(Table1[[#This Row],[Status]],Auxiliar!$B$16:$C$24,2,0)</f>
        <v>7</v>
      </c>
      <c r="K692" s="2" t="s">
        <v>1253</v>
      </c>
      <c r="L692" s="29" t="s">
        <v>1258</v>
      </c>
      <c r="M692" s="21" t="s">
        <v>1259</v>
      </c>
      <c r="N692" s="48">
        <v>45546</v>
      </c>
      <c r="O692" s="21">
        <f>INDEX(Auxiliar!$D$5:$F$13,MATCH(Table1[[#This Row],[Tipologia_Testes]],Auxiliar!$B$5:$B$13,0),MATCH(Table1[[#This Row],[Complexidade]],Auxiliar!$D$4:$F$4,0))</f>
        <v>2</v>
      </c>
      <c r="P692" s="2"/>
      <c r="Q692" s="2"/>
      <c r="R692" s="152">
        <v>45563</v>
      </c>
      <c r="S692" s="152"/>
      <c r="T692" s="152">
        <v>45563</v>
      </c>
      <c r="U692" s="152">
        <v>45624</v>
      </c>
      <c r="V692" s="152"/>
      <c r="W692" s="2">
        <f>VLOOKUP(Table1[[#This Row],[Status]],Auxiliar!$B$16:$D$24,3,0)*Table1[[#This Row],[Estimação (horas)]]</f>
        <v>0.5</v>
      </c>
      <c r="X692" s="2"/>
    </row>
    <row r="693" spans="2:24" ht="17.7" customHeight="1" x14ac:dyDescent="0.25">
      <c r="B693" s="2" t="s">
        <v>26</v>
      </c>
      <c r="C693" s="2" t="s">
        <v>311</v>
      </c>
      <c r="D693" s="2" t="s">
        <v>335</v>
      </c>
      <c r="E693" s="2" t="s">
        <v>38</v>
      </c>
      <c r="F693" s="2" t="s">
        <v>334</v>
      </c>
      <c r="G693" s="2" t="s">
        <v>183</v>
      </c>
      <c r="H693" s="57" t="str">
        <f>Table1[[#This Row],[Tabela]]&amp;Table1[[#This Row],[Campo]]</f>
        <v>modesg_out_sfcs_taxon_europeiacbalcao</v>
      </c>
      <c r="I693" s="2" t="s">
        <v>619</v>
      </c>
      <c r="J693" s="43">
        <f>VLOOKUP(Table1[[#This Row],[Status]],Auxiliar!$B$16:$C$24,2,0)</f>
        <v>7</v>
      </c>
      <c r="K693" s="2" t="s">
        <v>1255</v>
      </c>
      <c r="L693" s="29" t="s">
        <v>1258</v>
      </c>
      <c r="M693" s="21" t="s">
        <v>1259</v>
      </c>
      <c r="N693" s="48">
        <v>45546</v>
      </c>
      <c r="O693" s="21">
        <f>INDEX(Auxiliar!$D$5:$F$13,MATCH(Table1[[#This Row],[Tipologia_Testes]],Auxiliar!$B$5:$B$13,0),MATCH(Table1[[#This Row],[Complexidade]],Auxiliar!$D$4:$F$4,0))</f>
        <v>0.1</v>
      </c>
      <c r="P693" s="2"/>
      <c r="Q693" s="2"/>
      <c r="R693" s="152">
        <v>45563</v>
      </c>
      <c r="S693" s="152"/>
      <c r="T693" s="152">
        <v>45563</v>
      </c>
      <c r="U693" s="152">
        <v>45624</v>
      </c>
      <c r="V693" s="152"/>
      <c r="W693" s="2">
        <f>VLOOKUP(Table1[[#This Row],[Status]],Auxiliar!$B$16:$D$24,3,0)*Table1[[#This Row],[Estimação (horas)]]</f>
        <v>2.5000000000000001E-2</v>
      </c>
      <c r="X693" s="2"/>
    </row>
    <row r="694" spans="2:24" ht="17.7" customHeight="1" x14ac:dyDescent="0.25">
      <c r="B694" s="2" t="s">
        <v>26</v>
      </c>
      <c r="C694" s="2" t="s">
        <v>311</v>
      </c>
      <c r="D694" s="2" t="s">
        <v>335</v>
      </c>
      <c r="E694" s="2" t="s">
        <v>38</v>
      </c>
      <c r="F694" s="2" t="s">
        <v>334</v>
      </c>
      <c r="G694" s="2" t="s">
        <v>184</v>
      </c>
      <c r="H694" s="57" t="str">
        <f>Table1[[#This Row],[Tabela]]&amp;Table1[[#This Row],[Campo]]</f>
        <v>modesg_out_sfcs_taxon_europeiacempresa</v>
      </c>
      <c r="I694" s="2" t="s">
        <v>619</v>
      </c>
      <c r="J694" s="43">
        <f>VLOOKUP(Table1[[#This Row],[Status]],Auxiliar!$B$16:$C$24,2,0)</f>
        <v>7</v>
      </c>
      <c r="K694" s="2" t="s">
        <v>1252</v>
      </c>
      <c r="L694" s="29" t="s">
        <v>1258</v>
      </c>
      <c r="M694" s="21" t="s">
        <v>1259</v>
      </c>
      <c r="N694" s="48">
        <v>45546</v>
      </c>
      <c r="O694" s="21">
        <f>INDEX(Auxiliar!$D$5:$F$13,MATCH(Table1[[#This Row],[Tipologia_Testes]],Auxiliar!$B$5:$B$13,0),MATCH(Table1[[#This Row],[Complexidade]],Auxiliar!$D$4:$F$4,0))</f>
        <v>2</v>
      </c>
      <c r="P694" s="2"/>
      <c r="Q694" s="2"/>
      <c r="R694" s="152">
        <v>45563</v>
      </c>
      <c r="S694" s="152"/>
      <c r="T694" s="152">
        <v>45563</v>
      </c>
      <c r="U694" s="152">
        <v>45624</v>
      </c>
      <c r="V694" s="152"/>
      <c r="W694" s="2">
        <f>VLOOKUP(Table1[[#This Row],[Status]],Auxiliar!$B$16:$D$24,3,0)*Table1[[#This Row],[Estimação (horas)]]</f>
        <v>0.5</v>
      </c>
      <c r="X694" s="2"/>
    </row>
    <row r="695" spans="2:24" ht="17.7" customHeight="1" x14ac:dyDescent="0.25">
      <c r="B695" s="2" t="s">
        <v>26</v>
      </c>
      <c r="C695" s="2" t="s">
        <v>311</v>
      </c>
      <c r="D695" s="2" t="s">
        <v>335</v>
      </c>
      <c r="E695" s="2" t="s">
        <v>38</v>
      </c>
      <c r="F695" s="2" t="s">
        <v>334</v>
      </c>
      <c r="G695" s="2" t="s">
        <v>184</v>
      </c>
      <c r="H695" s="57" t="str">
        <f>Table1[[#This Row],[Tabela]]&amp;Table1[[#This Row],[Campo]]</f>
        <v>modesg_out_sfcs_taxon_europeiacempresa</v>
      </c>
      <c r="I695" s="2" t="s">
        <v>619</v>
      </c>
      <c r="J695" s="43">
        <f>VLOOKUP(Table1[[#This Row],[Status]],Auxiliar!$B$16:$C$24,2,0)</f>
        <v>7</v>
      </c>
      <c r="K695" s="2" t="s">
        <v>1253</v>
      </c>
      <c r="L695" s="29" t="s">
        <v>1258</v>
      </c>
      <c r="M695" s="21" t="s">
        <v>1259</v>
      </c>
      <c r="N695" s="48">
        <v>45546</v>
      </c>
      <c r="O695" s="21">
        <f>INDEX(Auxiliar!$D$5:$F$13,MATCH(Table1[[#This Row],[Tipologia_Testes]],Auxiliar!$B$5:$B$13,0),MATCH(Table1[[#This Row],[Complexidade]],Auxiliar!$D$4:$F$4,0))</f>
        <v>2</v>
      </c>
      <c r="P695" s="2"/>
      <c r="Q695" s="2"/>
      <c r="R695" s="152">
        <v>45563</v>
      </c>
      <c r="S695" s="152"/>
      <c r="T695" s="152">
        <v>45563</v>
      </c>
      <c r="U695" s="152">
        <v>45624</v>
      </c>
      <c r="V695" s="152"/>
      <c r="W695" s="2">
        <f>VLOOKUP(Table1[[#This Row],[Status]],Auxiliar!$B$16:$D$24,3,0)*Table1[[#This Row],[Estimação (horas)]]</f>
        <v>0.5</v>
      </c>
      <c r="X695" s="2"/>
    </row>
    <row r="696" spans="2:24" ht="17.7" customHeight="1" x14ac:dyDescent="0.25">
      <c r="B696" s="2" t="s">
        <v>26</v>
      </c>
      <c r="C696" s="2" t="s">
        <v>311</v>
      </c>
      <c r="D696" s="2" t="s">
        <v>335</v>
      </c>
      <c r="E696" s="2" t="s">
        <v>38</v>
      </c>
      <c r="F696" s="2" t="s">
        <v>334</v>
      </c>
      <c r="G696" s="2" t="s">
        <v>184</v>
      </c>
      <c r="H696" s="57" t="str">
        <f>Table1[[#This Row],[Tabela]]&amp;Table1[[#This Row],[Campo]]</f>
        <v>modesg_out_sfcs_taxon_europeiacempresa</v>
      </c>
      <c r="I696" s="2" t="s">
        <v>619</v>
      </c>
      <c r="J696" s="43">
        <f>VLOOKUP(Table1[[#This Row],[Status]],Auxiliar!$B$16:$C$24,2,0)</f>
        <v>7</v>
      </c>
      <c r="K696" s="2" t="s">
        <v>1255</v>
      </c>
      <c r="L696" s="29" t="s">
        <v>1258</v>
      </c>
      <c r="M696" s="21" t="s">
        <v>1259</v>
      </c>
      <c r="N696" s="48">
        <v>45546</v>
      </c>
      <c r="O696" s="21">
        <f>INDEX(Auxiliar!$D$5:$F$13,MATCH(Table1[[#This Row],[Tipologia_Testes]],Auxiliar!$B$5:$B$13,0),MATCH(Table1[[#This Row],[Complexidade]],Auxiliar!$D$4:$F$4,0))</f>
        <v>0.1</v>
      </c>
      <c r="P696" s="2"/>
      <c r="Q696" s="2"/>
      <c r="R696" s="152">
        <v>45563</v>
      </c>
      <c r="S696" s="152"/>
      <c r="T696" s="152">
        <v>45563</v>
      </c>
      <c r="U696" s="152">
        <v>45624</v>
      </c>
      <c r="V696" s="152"/>
      <c r="W696" s="2">
        <f>VLOOKUP(Table1[[#This Row],[Status]],Auxiliar!$B$16:$D$24,3,0)*Table1[[#This Row],[Estimação (horas)]]</f>
        <v>2.5000000000000001E-2</v>
      </c>
      <c r="X696" s="2"/>
    </row>
    <row r="697" spans="2:24" ht="17.7" customHeight="1" x14ac:dyDescent="0.25">
      <c r="B697" s="2" t="s">
        <v>26</v>
      </c>
      <c r="C697" s="2" t="s">
        <v>311</v>
      </c>
      <c r="D697" s="2" t="s">
        <v>335</v>
      </c>
      <c r="E697" s="2" t="s">
        <v>38</v>
      </c>
      <c r="F697" s="2" t="s">
        <v>334</v>
      </c>
      <c r="G697" s="2" t="s">
        <v>189</v>
      </c>
      <c r="H697" s="57" t="str">
        <f>Table1[[#This Row],[Tabela]]&amp;Table1[[#This Row],[Campo]]</f>
        <v>modesg_out_sfcs_taxon_europeiacnumecta</v>
      </c>
      <c r="I697" s="2" t="s">
        <v>619</v>
      </c>
      <c r="J697" s="43">
        <f>VLOOKUP(Table1[[#This Row],[Status]],Auxiliar!$B$16:$C$24,2,0)</f>
        <v>7</v>
      </c>
      <c r="K697" s="2" t="s">
        <v>1252</v>
      </c>
      <c r="L697" s="29" t="s">
        <v>1258</v>
      </c>
      <c r="M697" s="21" t="s">
        <v>1259</v>
      </c>
      <c r="N697" s="48">
        <v>45546</v>
      </c>
      <c r="O697" s="21">
        <f>INDEX(Auxiliar!$D$5:$F$13,MATCH(Table1[[#This Row],[Tipologia_Testes]],Auxiliar!$B$5:$B$13,0),MATCH(Table1[[#This Row],[Complexidade]],Auxiliar!$D$4:$F$4,0))</f>
        <v>2</v>
      </c>
      <c r="P697" s="2"/>
      <c r="Q697" s="2"/>
      <c r="R697" s="152">
        <v>45563</v>
      </c>
      <c r="S697" s="152"/>
      <c r="T697" s="152">
        <v>45563</v>
      </c>
      <c r="U697" s="152">
        <v>45624</v>
      </c>
      <c r="V697" s="152"/>
      <c r="W697" s="2">
        <f>VLOOKUP(Table1[[#This Row],[Status]],Auxiliar!$B$16:$D$24,3,0)*Table1[[#This Row],[Estimação (horas)]]</f>
        <v>0.5</v>
      </c>
      <c r="X697" s="2"/>
    </row>
    <row r="698" spans="2:24" ht="17.7" customHeight="1" x14ac:dyDescent="0.25">
      <c r="B698" s="2" t="s">
        <v>26</v>
      </c>
      <c r="C698" s="2" t="s">
        <v>311</v>
      </c>
      <c r="D698" s="2" t="s">
        <v>335</v>
      </c>
      <c r="E698" s="2" t="s">
        <v>38</v>
      </c>
      <c r="F698" s="2" t="s">
        <v>334</v>
      </c>
      <c r="G698" s="2" t="s">
        <v>189</v>
      </c>
      <c r="H698" s="57" t="str">
        <f>Table1[[#This Row],[Tabela]]&amp;Table1[[#This Row],[Campo]]</f>
        <v>modesg_out_sfcs_taxon_europeiacnumecta</v>
      </c>
      <c r="I698" s="2" t="s">
        <v>619</v>
      </c>
      <c r="J698" s="43">
        <f>VLOOKUP(Table1[[#This Row],[Status]],Auxiliar!$B$16:$C$24,2,0)</f>
        <v>7</v>
      </c>
      <c r="K698" s="2" t="s">
        <v>1253</v>
      </c>
      <c r="L698" s="29" t="s">
        <v>1258</v>
      </c>
      <c r="M698" s="21" t="s">
        <v>1259</v>
      </c>
      <c r="N698" s="48">
        <v>45546</v>
      </c>
      <c r="O698" s="21">
        <f>INDEX(Auxiliar!$D$5:$F$13,MATCH(Table1[[#This Row],[Tipologia_Testes]],Auxiliar!$B$5:$B$13,0),MATCH(Table1[[#This Row],[Complexidade]],Auxiliar!$D$4:$F$4,0))</f>
        <v>2</v>
      </c>
      <c r="P698" s="2"/>
      <c r="Q698" s="2"/>
      <c r="R698" s="152">
        <v>45563</v>
      </c>
      <c r="S698" s="152"/>
      <c r="T698" s="152">
        <v>45563</v>
      </c>
      <c r="U698" s="152">
        <v>45624</v>
      </c>
      <c r="V698" s="152"/>
      <c r="W698" s="2">
        <f>VLOOKUP(Table1[[#This Row],[Status]],Auxiliar!$B$16:$D$24,3,0)*Table1[[#This Row],[Estimação (horas)]]</f>
        <v>0.5</v>
      </c>
      <c r="X698" s="2"/>
    </row>
    <row r="699" spans="2:24" ht="17.7" customHeight="1" x14ac:dyDescent="0.25">
      <c r="B699" s="2" t="s">
        <v>26</v>
      </c>
      <c r="C699" s="2" t="s">
        <v>311</v>
      </c>
      <c r="D699" s="2" t="s">
        <v>335</v>
      </c>
      <c r="E699" s="2" t="s">
        <v>38</v>
      </c>
      <c r="F699" s="2" t="s">
        <v>334</v>
      </c>
      <c r="G699" s="2" t="s">
        <v>189</v>
      </c>
      <c r="H699" s="57" t="str">
        <f>Table1[[#This Row],[Tabela]]&amp;Table1[[#This Row],[Campo]]</f>
        <v>modesg_out_sfcs_taxon_europeiacnumecta</v>
      </c>
      <c r="I699" s="2" t="s">
        <v>619</v>
      </c>
      <c r="J699" s="43">
        <f>VLOOKUP(Table1[[#This Row],[Status]],Auxiliar!$B$16:$C$24,2,0)</f>
        <v>7</v>
      </c>
      <c r="K699" s="2" t="s">
        <v>1255</v>
      </c>
      <c r="L699" s="29" t="s">
        <v>1258</v>
      </c>
      <c r="M699" s="21" t="s">
        <v>1259</v>
      </c>
      <c r="N699" s="48">
        <v>45546</v>
      </c>
      <c r="O699" s="21">
        <f>INDEX(Auxiliar!$D$5:$F$13,MATCH(Table1[[#This Row],[Tipologia_Testes]],Auxiliar!$B$5:$B$13,0),MATCH(Table1[[#This Row],[Complexidade]],Auxiliar!$D$4:$F$4,0))</f>
        <v>0.1</v>
      </c>
      <c r="P699" s="2"/>
      <c r="Q699" s="2"/>
      <c r="R699" s="152">
        <v>45563</v>
      </c>
      <c r="S699" s="152"/>
      <c r="T699" s="152">
        <v>45563</v>
      </c>
      <c r="U699" s="152">
        <v>45624</v>
      </c>
      <c r="V699" s="152"/>
      <c r="W699" s="2">
        <f>VLOOKUP(Table1[[#This Row],[Status]],Auxiliar!$B$16:$D$24,3,0)*Table1[[#This Row],[Estimação (horas)]]</f>
        <v>2.5000000000000001E-2</v>
      </c>
      <c r="X699" s="2"/>
    </row>
    <row r="700" spans="2:24" ht="17.7" customHeight="1" x14ac:dyDescent="0.25">
      <c r="B700" s="2" t="s">
        <v>26</v>
      </c>
      <c r="C700" s="2" t="s">
        <v>311</v>
      </c>
      <c r="D700" s="2" t="s">
        <v>335</v>
      </c>
      <c r="E700" s="2" t="s">
        <v>38</v>
      </c>
      <c r="F700" s="2" t="s">
        <v>334</v>
      </c>
      <c r="G700" s="2" t="s">
        <v>191</v>
      </c>
      <c r="H700" s="57" t="str">
        <f>Table1[[#This Row],[Tabela]]&amp;Table1[[#This Row],[Campo]]</f>
        <v>modesg_out_sfcs_taxon_europeiacod_regra</v>
      </c>
      <c r="I700" s="2" t="s">
        <v>619</v>
      </c>
      <c r="J700" s="43">
        <f>VLOOKUP(Table1[[#This Row],[Status]],Auxiliar!$B$16:$C$24,2,0)</f>
        <v>7</v>
      </c>
      <c r="K700" s="2" t="s">
        <v>1252</v>
      </c>
      <c r="L700" s="29" t="s">
        <v>1250</v>
      </c>
      <c r="M700" s="21" t="s">
        <v>1259</v>
      </c>
      <c r="N700" s="48">
        <v>45546</v>
      </c>
      <c r="O700" s="21">
        <f>INDEX(Auxiliar!$D$5:$F$13,MATCH(Table1[[#This Row],[Tipologia_Testes]],Auxiliar!$B$5:$B$13,0),MATCH(Table1[[#This Row],[Complexidade]],Auxiliar!$D$4:$F$4,0))</f>
        <v>2</v>
      </c>
      <c r="P700" s="2" t="s">
        <v>1290</v>
      </c>
      <c r="Q700" s="2"/>
      <c r="R700" s="152">
        <v>45563</v>
      </c>
      <c r="S700" s="152"/>
      <c r="T700" s="152">
        <v>45563</v>
      </c>
      <c r="U700" s="152">
        <v>45624</v>
      </c>
      <c r="V700" s="152"/>
      <c r="W700" s="2">
        <f>VLOOKUP(Table1[[#This Row],[Status]],Auxiliar!$B$16:$D$24,3,0)*Table1[[#This Row],[Estimação (horas)]]</f>
        <v>0.5</v>
      </c>
      <c r="X700" s="2"/>
    </row>
    <row r="701" spans="2:24" ht="17.7" customHeight="1" x14ac:dyDescent="0.25">
      <c r="B701" s="2" t="s">
        <v>26</v>
      </c>
      <c r="C701" s="2" t="s">
        <v>311</v>
      </c>
      <c r="D701" s="2" t="s">
        <v>335</v>
      </c>
      <c r="E701" s="2" t="s">
        <v>38</v>
      </c>
      <c r="F701" s="2" t="s">
        <v>334</v>
      </c>
      <c r="G701" s="2" t="s">
        <v>191</v>
      </c>
      <c r="H701" s="57" t="str">
        <f>Table1[[#This Row],[Tabela]]&amp;Table1[[#This Row],[Campo]]</f>
        <v>modesg_out_sfcs_taxon_europeiacod_regra</v>
      </c>
      <c r="I701" s="2" t="s">
        <v>619</v>
      </c>
      <c r="J701" s="43">
        <f>VLOOKUP(Table1[[#This Row],[Status]],Auxiliar!$B$16:$C$24,2,0)</f>
        <v>7</v>
      </c>
      <c r="K701" s="2" t="s">
        <v>1253</v>
      </c>
      <c r="L701" s="29" t="s">
        <v>1250</v>
      </c>
      <c r="M701" s="21" t="s">
        <v>1259</v>
      </c>
      <c r="N701" s="48">
        <v>45546</v>
      </c>
      <c r="O701" s="21">
        <f>INDEX(Auxiliar!$D$5:$F$13,MATCH(Table1[[#This Row],[Tipologia_Testes]],Auxiliar!$B$5:$B$13,0),MATCH(Table1[[#This Row],[Complexidade]],Auxiliar!$D$4:$F$4,0))</f>
        <v>2</v>
      </c>
      <c r="P701" s="2" t="s">
        <v>1290</v>
      </c>
      <c r="Q701" s="2"/>
      <c r="R701" s="152">
        <v>45563</v>
      </c>
      <c r="S701" s="152"/>
      <c r="T701" s="152">
        <v>45563</v>
      </c>
      <c r="U701" s="152">
        <v>45624</v>
      </c>
      <c r="V701" s="152"/>
      <c r="W701" s="2">
        <f>VLOOKUP(Table1[[#This Row],[Status]],Auxiliar!$B$16:$D$24,3,0)*Table1[[#This Row],[Estimação (horas)]]</f>
        <v>0.5</v>
      </c>
      <c r="X701" s="2"/>
    </row>
    <row r="702" spans="2:24" ht="17.7" customHeight="1" x14ac:dyDescent="0.25">
      <c r="B702" s="2" t="s">
        <v>26</v>
      </c>
      <c r="C702" s="2" t="s">
        <v>311</v>
      </c>
      <c r="D702" s="2" t="s">
        <v>335</v>
      </c>
      <c r="E702" s="2" t="s">
        <v>38</v>
      </c>
      <c r="F702" s="2" t="s">
        <v>334</v>
      </c>
      <c r="G702" s="2" t="s">
        <v>191</v>
      </c>
      <c r="H702" s="57" t="str">
        <f>Table1[[#This Row],[Tabela]]&amp;Table1[[#This Row],[Campo]]</f>
        <v>modesg_out_sfcs_taxon_europeiacod_regra</v>
      </c>
      <c r="I702" s="2" t="s">
        <v>619</v>
      </c>
      <c r="J702" s="43">
        <f>VLOOKUP(Table1[[#This Row],[Status]],Auxiliar!$B$16:$C$24,2,0)</f>
        <v>7</v>
      </c>
      <c r="K702" s="2" t="s">
        <v>1255</v>
      </c>
      <c r="L702" s="29" t="s">
        <v>1250</v>
      </c>
      <c r="M702" s="21" t="s">
        <v>1259</v>
      </c>
      <c r="N702" s="48">
        <v>45546</v>
      </c>
      <c r="O702" s="21">
        <f>INDEX(Auxiliar!$D$5:$F$13,MATCH(Table1[[#This Row],[Tipologia_Testes]],Auxiliar!$B$5:$B$13,0),MATCH(Table1[[#This Row],[Complexidade]],Auxiliar!$D$4:$F$4,0))</f>
        <v>0.1</v>
      </c>
      <c r="P702" s="2" t="s">
        <v>1290</v>
      </c>
      <c r="Q702" s="2"/>
      <c r="R702" s="152">
        <v>45563</v>
      </c>
      <c r="S702" s="152"/>
      <c r="T702" s="152">
        <v>45563</v>
      </c>
      <c r="U702" s="152">
        <v>45624</v>
      </c>
      <c r="V702" s="152"/>
      <c r="W702" s="2">
        <f>VLOOKUP(Table1[[#This Row],[Status]],Auxiliar!$B$16:$D$24,3,0)*Table1[[#This Row],[Estimação (horas)]]</f>
        <v>2.5000000000000001E-2</v>
      </c>
      <c r="X702" s="2"/>
    </row>
    <row r="703" spans="2:24" ht="17.7" customHeight="1" x14ac:dyDescent="0.25">
      <c r="B703" s="2" t="s">
        <v>26</v>
      </c>
      <c r="C703" s="2" t="s">
        <v>311</v>
      </c>
      <c r="D703" s="2" t="s">
        <v>335</v>
      </c>
      <c r="E703" s="2" t="s">
        <v>38</v>
      </c>
      <c r="F703" s="2" t="s">
        <v>334</v>
      </c>
      <c r="G703" s="2" t="s">
        <v>211</v>
      </c>
      <c r="H703" s="57" t="str">
        <f>Table1[[#This Row],[Tabela]]&amp;Table1[[#This Row],[Campo]]</f>
        <v>modesg_out_sfcs_taxon_europeiaordem</v>
      </c>
      <c r="I703" s="2" t="s">
        <v>613</v>
      </c>
      <c r="J703" s="43">
        <f>VLOOKUP(Table1[[#This Row],[Status]],Auxiliar!$B$16:$C$24,2,0)</f>
        <v>0</v>
      </c>
      <c r="K703" s="2" t="s">
        <v>1252</v>
      </c>
      <c r="L703" s="29" t="s">
        <v>1291</v>
      </c>
      <c r="M703" s="21" t="s">
        <v>1259</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7" customHeight="1" x14ac:dyDescent="0.25">
      <c r="B704" s="2" t="s">
        <v>26</v>
      </c>
      <c r="C704" s="2" t="s">
        <v>311</v>
      </c>
      <c r="D704" s="2" t="s">
        <v>335</v>
      </c>
      <c r="E704" s="2" t="s">
        <v>38</v>
      </c>
      <c r="F704" s="2" t="s">
        <v>334</v>
      </c>
      <c r="G704" s="2" t="s">
        <v>211</v>
      </c>
      <c r="H704" s="57" t="str">
        <f>Table1[[#This Row],[Tabela]]&amp;Table1[[#This Row],[Campo]]</f>
        <v>modesg_out_sfcs_taxon_europeiaordem</v>
      </c>
      <c r="I704" s="2" t="s">
        <v>613</v>
      </c>
      <c r="J704" s="43">
        <f>VLOOKUP(Table1[[#This Row],[Status]],Auxiliar!$B$16:$C$24,2,0)</f>
        <v>0</v>
      </c>
      <c r="K704" s="2" t="s">
        <v>1253</v>
      </c>
      <c r="L704" s="29" t="s">
        <v>1291</v>
      </c>
      <c r="M704" s="21" t="s">
        <v>1259</v>
      </c>
      <c r="N704" s="48">
        <v>45546</v>
      </c>
      <c r="O704" s="21">
        <f>INDEX(Auxiliar!$D$5:$F$13,MATCH(Table1[[#This Row],[Tipologia_Testes]],Auxiliar!$B$5:$B$13,0),MATCH(Table1[[#This Row],[Complexidade]],Auxiliar!$D$4:$F$4,0))</f>
        <v>2</v>
      </c>
      <c r="P704" s="2"/>
      <c r="Q704" s="2"/>
      <c r="R704" s="152">
        <v>45562</v>
      </c>
      <c r="S704" s="152"/>
      <c r="T704" s="152">
        <v>45562</v>
      </c>
      <c r="U704" s="152"/>
      <c r="V704" s="152"/>
      <c r="W704" s="2">
        <f>VLOOKUP(Table1[[#This Row],[Status]],Auxiliar!$B$16:$D$24,3,0)*Table1[[#This Row],[Estimação (horas)]]</f>
        <v>0</v>
      </c>
      <c r="X704" s="2"/>
    </row>
    <row r="705" spans="2:24" ht="17.7" customHeight="1" x14ac:dyDescent="0.25">
      <c r="B705" s="2" t="s">
        <v>26</v>
      </c>
      <c r="C705" s="2" t="s">
        <v>311</v>
      </c>
      <c r="D705" s="2" t="s">
        <v>335</v>
      </c>
      <c r="E705" s="2" t="s">
        <v>38</v>
      </c>
      <c r="F705" s="2" t="s">
        <v>334</v>
      </c>
      <c r="G705" s="2" t="s">
        <v>211</v>
      </c>
      <c r="H705" s="57" t="str">
        <f>Table1[[#This Row],[Tabela]]&amp;Table1[[#This Row],[Campo]]</f>
        <v>modesg_out_sfcs_taxon_europeiaordem</v>
      </c>
      <c r="I705" s="2" t="s">
        <v>613</v>
      </c>
      <c r="J705" s="43">
        <f>VLOOKUP(Table1[[#This Row],[Status]],Auxiliar!$B$16:$C$24,2,0)</f>
        <v>0</v>
      </c>
      <c r="K705" s="2" t="s">
        <v>1255</v>
      </c>
      <c r="L705" s="29" t="s">
        <v>1291</v>
      </c>
      <c r="M705" s="21" t="s">
        <v>1259</v>
      </c>
      <c r="N705" s="48">
        <v>45546</v>
      </c>
      <c r="O705" s="21">
        <f>INDEX(Auxiliar!$D$5:$F$13,MATCH(Table1[[#This Row],[Tipologia_Testes]],Auxiliar!$B$5:$B$13,0),MATCH(Table1[[#This Row],[Complexidade]],Auxiliar!$D$4:$F$4,0))</f>
        <v>0.1</v>
      </c>
      <c r="P705" s="2"/>
      <c r="Q705" s="2"/>
      <c r="R705" s="152">
        <v>45562</v>
      </c>
      <c r="S705" s="152"/>
      <c r="T705" s="152">
        <v>45562</v>
      </c>
      <c r="U705" s="152"/>
      <c r="V705" s="152"/>
      <c r="W705" s="2">
        <f>VLOOKUP(Table1[[#This Row],[Status]],Auxiliar!$B$16:$D$24,3,0)*Table1[[#This Row],[Estimação (horas)]]</f>
        <v>0</v>
      </c>
      <c r="X705" s="2"/>
    </row>
    <row r="706" spans="2:24" ht="139.19999999999999" customHeight="1" x14ac:dyDescent="0.25">
      <c r="B706" s="2" t="s">
        <v>26</v>
      </c>
      <c r="C706" s="2" t="s">
        <v>311</v>
      </c>
      <c r="D706" s="2" t="s">
        <v>335</v>
      </c>
      <c r="E706" s="2" t="s">
        <v>38</v>
      </c>
      <c r="F706" s="2" t="s">
        <v>334</v>
      </c>
      <c r="G706" s="2" t="s">
        <v>202</v>
      </c>
      <c r="H706" s="57" t="str">
        <f>Table1[[#This Row],[Tabela]]&amp;Table1[[#This Row],[Campo]]</f>
        <v>modesg_out_sfcs_taxon_europeiamontante_pndrc</v>
      </c>
      <c r="I706" s="2" t="s">
        <v>619</v>
      </c>
      <c r="J706" s="43">
        <f>VLOOKUP(Table1[[#This Row],[Status]],Auxiliar!$B$16:$C$24,2,0)</f>
        <v>7</v>
      </c>
      <c r="K706" s="2" t="s">
        <v>1252</v>
      </c>
      <c r="L706" s="29" t="s">
        <v>1250</v>
      </c>
      <c r="M706" s="21" t="s">
        <v>1251</v>
      </c>
      <c r="N706" s="48">
        <v>45546</v>
      </c>
      <c r="O706" s="21">
        <f>INDEX(Auxiliar!$D$5:$F$13,MATCH(Table1[[#This Row],[Tipologia_Testes]],Auxiliar!$B$5:$B$13,0),MATCH(Table1[[#This Row],[Complexidade]],Auxiliar!$D$4:$F$4,0))</f>
        <v>8</v>
      </c>
      <c r="P706" s="23" t="s">
        <v>1292</v>
      </c>
      <c r="Q706" s="2"/>
      <c r="R706" s="152">
        <v>45563</v>
      </c>
      <c r="S706" s="152"/>
      <c r="T706" s="152">
        <v>45563</v>
      </c>
      <c r="U706" s="152">
        <v>45624</v>
      </c>
      <c r="V706" s="152"/>
      <c r="W706" s="2">
        <f>VLOOKUP(Table1[[#This Row],[Status]],Auxiliar!$B$16:$D$24,3,0)*Table1[[#This Row],[Estimação (horas)]]</f>
        <v>2</v>
      </c>
      <c r="X706" s="2"/>
    </row>
    <row r="707" spans="2:24" ht="139.19999999999999" customHeight="1" x14ac:dyDescent="0.25">
      <c r="B707" s="2" t="s">
        <v>26</v>
      </c>
      <c r="C707" s="2" t="s">
        <v>311</v>
      </c>
      <c r="D707" s="2" t="s">
        <v>335</v>
      </c>
      <c r="E707" s="2" t="s">
        <v>38</v>
      </c>
      <c r="F707" s="2" t="s">
        <v>334</v>
      </c>
      <c r="G707" s="2" t="s">
        <v>202</v>
      </c>
      <c r="H707" s="57" t="str">
        <f>Table1[[#This Row],[Tabela]]&amp;Table1[[#This Row],[Campo]]</f>
        <v>modesg_out_sfcs_taxon_europeiamontante_pndrc</v>
      </c>
      <c r="I707" s="2" t="s">
        <v>619</v>
      </c>
      <c r="J707" s="43">
        <f>VLOOKUP(Table1[[#This Row],[Status]],Auxiliar!$B$16:$C$24,2,0)</f>
        <v>7</v>
      </c>
      <c r="K707" s="2" t="s">
        <v>1253</v>
      </c>
      <c r="L707" s="29" t="s">
        <v>1250</v>
      </c>
      <c r="M707" s="21" t="s">
        <v>1251</v>
      </c>
      <c r="N707" s="48">
        <v>45546</v>
      </c>
      <c r="O707" s="21">
        <f>INDEX(Auxiliar!$D$5:$F$13,MATCH(Table1[[#This Row],[Tipologia_Testes]],Auxiliar!$B$5:$B$13,0),MATCH(Table1[[#This Row],[Complexidade]],Auxiliar!$D$4:$F$4,0))</f>
        <v>8</v>
      </c>
      <c r="P707" s="23" t="s">
        <v>1292</v>
      </c>
      <c r="Q707" s="2"/>
      <c r="R707" s="152">
        <v>45563</v>
      </c>
      <c r="S707" s="152"/>
      <c r="T707" s="152">
        <v>45563</v>
      </c>
      <c r="U707" s="152">
        <v>45624</v>
      </c>
      <c r="V707" s="152"/>
      <c r="W707" s="2">
        <f>VLOOKUP(Table1[[#This Row],[Status]],Auxiliar!$B$16:$D$24,3,0)*Table1[[#This Row],[Estimação (horas)]]</f>
        <v>2</v>
      </c>
      <c r="X707" s="2"/>
    </row>
    <row r="708" spans="2:24" ht="139.19999999999999" customHeight="1" x14ac:dyDescent="0.25">
      <c r="B708" s="2" t="s">
        <v>26</v>
      </c>
      <c r="C708" s="2" t="s">
        <v>311</v>
      </c>
      <c r="D708" s="2" t="s">
        <v>335</v>
      </c>
      <c r="E708" s="2" t="s">
        <v>38</v>
      </c>
      <c r="F708" s="2" t="s">
        <v>334</v>
      </c>
      <c r="G708" s="2" t="s">
        <v>202</v>
      </c>
      <c r="H708" s="57" t="str">
        <f>Table1[[#This Row],[Tabela]]&amp;Table1[[#This Row],[Campo]]</f>
        <v>modesg_out_sfcs_taxon_europeiamontante_pndrc</v>
      </c>
      <c r="I708" s="2" t="s">
        <v>619</v>
      </c>
      <c r="J708" s="43">
        <f>VLOOKUP(Table1[[#This Row],[Status]],Auxiliar!$B$16:$C$24,2,0)</f>
        <v>7</v>
      </c>
      <c r="K708" s="2" t="s">
        <v>1255</v>
      </c>
      <c r="L708" s="29" t="s">
        <v>1250</v>
      </c>
      <c r="M708" s="21" t="s">
        <v>1251</v>
      </c>
      <c r="N708" s="48">
        <v>45546</v>
      </c>
      <c r="O708" s="21">
        <f>INDEX(Auxiliar!$D$5:$F$13,MATCH(Table1[[#This Row],[Tipologia_Testes]],Auxiliar!$B$5:$B$13,0),MATCH(Table1[[#This Row],[Complexidade]],Auxiliar!$D$4:$F$4,0))</f>
        <v>0.1</v>
      </c>
      <c r="P708" s="23" t="s">
        <v>1292</v>
      </c>
      <c r="Q708" s="2"/>
      <c r="R708" s="152">
        <v>45563</v>
      </c>
      <c r="S708" s="152"/>
      <c r="T708" s="152">
        <v>45563</v>
      </c>
      <c r="U708" s="152">
        <v>45624</v>
      </c>
      <c r="V708" s="152"/>
      <c r="W708" s="2">
        <f>VLOOKUP(Table1[[#This Row],[Status]],Auxiliar!$B$16:$D$24,3,0)*Table1[[#This Row],[Estimação (horas)]]</f>
        <v>2.5000000000000001E-2</v>
      </c>
      <c r="X708" s="2"/>
    </row>
    <row r="709" spans="2:24" ht="52.2" customHeight="1" x14ac:dyDescent="0.25">
      <c r="B709" s="2" t="s">
        <v>26</v>
      </c>
      <c r="C709" s="2" t="s">
        <v>311</v>
      </c>
      <c r="D709" s="2" t="s">
        <v>335</v>
      </c>
      <c r="E709" s="2" t="s">
        <v>38</v>
      </c>
      <c r="F709" s="2" t="s">
        <v>334</v>
      </c>
      <c r="G709" s="2" t="s">
        <v>203</v>
      </c>
      <c r="H709" s="57" t="str">
        <f>Table1[[#This Row],[Tabela]]&amp;Table1[[#This Row],[Campo]]</f>
        <v>modesg_out_sfcs_taxon_europeianome_ctgr_sfcs</v>
      </c>
      <c r="I709" s="2" t="s">
        <v>619</v>
      </c>
      <c r="J709" s="43">
        <f>VLOOKUP(Table1[[#This Row],[Status]],Auxiliar!$B$16:$C$24,2,0)</f>
        <v>7</v>
      </c>
      <c r="K709" s="2" t="s">
        <v>1252</v>
      </c>
      <c r="L709" s="29" t="s">
        <v>1250</v>
      </c>
      <c r="M709" s="21" t="s">
        <v>1251</v>
      </c>
      <c r="N709" s="48">
        <v>45546</v>
      </c>
      <c r="O709" s="21">
        <f>INDEX(Auxiliar!$D$5:$F$13,MATCH(Table1[[#This Row],[Tipologia_Testes]],Auxiliar!$B$5:$B$13,0),MATCH(Table1[[#This Row],[Complexidade]],Auxiliar!$D$4:$F$4,0))</f>
        <v>8</v>
      </c>
      <c r="P709" s="23" t="s">
        <v>1293</v>
      </c>
      <c r="Q709" s="2"/>
      <c r="R709" s="152">
        <v>45562</v>
      </c>
      <c r="S709" s="152"/>
      <c r="T709" s="152">
        <v>45562</v>
      </c>
      <c r="U709" s="152">
        <v>45624</v>
      </c>
      <c r="V709" s="152"/>
      <c r="W709" s="2">
        <f>VLOOKUP(Table1[[#This Row],[Status]],Auxiliar!$B$16:$D$24,3,0)*Table1[[#This Row],[Estimação (horas)]]</f>
        <v>2</v>
      </c>
      <c r="X709" s="2"/>
    </row>
    <row r="710" spans="2:24" ht="52.2" customHeight="1" x14ac:dyDescent="0.25">
      <c r="B710" s="2" t="s">
        <v>26</v>
      </c>
      <c r="C710" s="2" t="s">
        <v>311</v>
      </c>
      <c r="D710" s="2" t="s">
        <v>335</v>
      </c>
      <c r="E710" s="2" t="s">
        <v>38</v>
      </c>
      <c r="F710" s="2" t="s">
        <v>334</v>
      </c>
      <c r="G710" s="2" t="s">
        <v>203</v>
      </c>
      <c r="H710" s="57" t="str">
        <f>Table1[[#This Row],[Tabela]]&amp;Table1[[#This Row],[Campo]]</f>
        <v>modesg_out_sfcs_taxon_europeianome_ctgr_sfcs</v>
      </c>
      <c r="I710" s="2" t="s">
        <v>619</v>
      </c>
      <c r="J710" s="43">
        <f>VLOOKUP(Table1[[#This Row],[Status]],Auxiliar!$B$16:$C$24,2,0)</f>
        <v>7</v>
      </c>
      <c r="K710" s="2" t="s">
        <v>1253</v>
      </c>
      <c r="L710" s="29" t="s">
        <v>1250</v>
      </c>
      <c r="M710" s="21" t="s">
        <v>1251</v>
      </c>
      <c r="N710" s="48">
        <v>45546</v>
      </c>
      <c r="O710" s="21">
        <f>INDEX(Auxiliar!$D$5:$F$13,MATCH(Table1[[#This Row],[Tipologia_Testes]],Auxiliar!$B$5:$B$13,0),MATCH(Table1[[#This Row],[Complexidade]],Auxiliar!$D$4:$F$4,0))</f>
        <v>8</v>
      </c>
      <c r="P710" s="23" t="s">
        <v>1293</v>
      </c>
      <c r="Q710" s="2"/>
      <c r="R710" s="152">
        <v>45562</v>
      </c>
      <c r="S710" s="152"/>
      <c r="T710" s="152">
        <v>45562</v>
      </c>
      <c r="U710" s="152">
        <v>45624</v>
      </c>
      <c r="V710" s="152"/>
      <c r="W710" s="2">
        <f>VLOOKUP(Table1[[#This Row],[Status]],Auxiliar!$B$16:$D$24,3,0)*Table1[[#This Row],[Estimação (horas)]]</f>
        <v>2</v>
      </c>
      <c r="X710" s="2"/>
    </row>
    <row r="711" spans="2:24" ht="52.2" customHeight="1" x14ac:dyDescent="0.25">
      <c r="B711" s="2" t="s">
        <v>26</v>
      </c>
      <c r="C711" s="2" t="s">
        <v>311</v>
      </c>
      <c r="D711" s="2" t="s">
        <v>335</v>
      </c>
      <c r="E711" s="2" t="s">
        <v>38</v>
      </c>
      <c r="F711" s="2" t="s">
        <v>334</v>
      </c>
      <c r="G711" s="2" t="s">
        <v>203</v>
      </c>
      <c r="H711" s="57" t="str">
        <f>Table1[[#This Row],[Tabela]]&amp;Table1[[#This Row],[Campo]]</f>
        <v>modesg_out_sfcs_taxon_europeianome_ctgr_sfcs</v>
      </c>
      <c r="I711" s="2" t="s">
        <v>619</v>
      </c>
      <c r="J711" s="43">
        <f>VLOOKUP(Table1[[#This Row],[Status]],Auxiliar!$B$16:$C$24,2,0)</f>
        <v>7</v>
      </c>
      <c r="K711" s="2" t="s">
        <v>1255</v>
      </c>
      <c r="L711" s="29" t="s">
        <v>1250</v>
      </c>
      <c r="M711" s="21" t="s">
        <v>1251</v>
      </c>
      <c r="N711" s="48">
        <v>45546</v>
      </c>
      <c r="O711" s="21">
        <f>INDEX(Auxiliar!$D$5:$F$13,MATCH(Table1[[#This Row],[Tipologia_Testes]],Auxiliar!$B$5:$B$13,0),MATCH(Table1[[#This Row],[Complexidade]],Auxiliar!$D$4:$F$4,0))</f>
        <v>0.1</v>
      </c>
      <c r="P711" s="23" t="s">
        <v>1293</v>
      </c>
      <c r="Q711" s="2"/>
      <c r="R711" s="152">
        <v>45562</v>
      </c>
      <c r="S711" s="152"/>
      <c r="T711" s="152">
        <v>45562</v>
      </c>
      <c r="U711" s="152">
        <v>45624</v>
      </c>
      <c r="V711" s="152"/>
      <c r="W711" s="2">
        <f>VLOOKUP(Table1[[#This Row],[Status]],Auxiliar!$B$16:$D$24,3,0)*Table1[[#This Row],[Estimação (horas)]]</f>
        <v>2.5000000000000001E-2</v>
      </c>
      <c r="X711" s="2"/>
    </row>
    <row r="712" spans="2:24" ht="17.7" customHeight="1" x14ac:dyDescent="0.25">
      <c r="B712" s="2" t="s">
        <v>26</v>
      </c>
      <c r="C712" s="2" t="s">
        <v>311</v>
      </c>
      <c r="D712" s="2" t="s">
        <v>335</v>
      </c>
      <c r="E712" s="2" t="s">
        <v>38</v>
      </c>
      <c r="F712" s="2" t="s">
        <v>334</v>
      </c>
      <c r="G712" s="2" t="s">
        <v>204</v>
      </c>
      <c r="H712" s="57" t="str">
        <f>Table1[[#This Row],[Tabela]]&amp;Table1[[#This Row],[Campo]]</f>
        <v>modesg_out_sfcs_taxon_europeianome_general_specific_purpose</v>
      </c>
      <c r="I712" s="2" t="s">
        <v>619</v>
      </c>
      <c r="J712" s="43">
        <f>VLOOKUP(Table1[[#This Row],[Status]],Auxiliar!$B$16:$C$24,2,0)</f>
        <v>7</v>
      </c>
      <c r="K712" s="2" t="s">
        <v>1252</v>
      </c>
      <c r="L712" s="29" t="s">
        <v>1250</v>
      </c>
      <c r="M712" s="21" t="s">
        <v>1260</v>
      </c>
      <c r="N712" s="48">
        <v>45546</v>
      </c>
      <c r="O712" s="21">
        <f>INDEX(Auxiliar!$D$5:$F$13,MATCH(Table1[[#This Row],[Tipologia_Testes]],Auxiliar!$B$5:$B$13,0),MATCH(Table1[[#This Row],[Complexidade]],Auxiliar!$D$4:$F$4,0))</f>
        <v>4</v>
      </c>
      <c r="P712" s="2" t="s">
        <v>1294</v>
      </c>
      <c r="Q712" s="2"/>
      <c r="R712" s="152">
        <v>45563</v>
      </c>
      <c r="S712" s="152"/>
      <c r="T712" s="152">
        <v>45563</v>
      </c>
      <c r="U712" s="152">
        <v>45624</v>
      </c>
      <c r="V712" s="152"/>
      <c r="W712" s="2">
        <f>VLOOKUP(Table1[[#This Row],[Status]],Auxiliar!$B$16:$D$24,3,0)*Table1[[#This Row],[Estimação (horas)]]</f>
        <v>1</v>
      </c>
      <c r="X712" s="2"/>
    </row>
    <row r="713" spans="2:24" ht="17.7" customHeight="1" x14ac:dyDescent="0.25">
      <c r="B713" s="2" t="s">
        <v>26</v>
      </c>
      <c r="C713" s="2" t="s">
        <v>311</v>
      </c>
      <c r="D713" s="2" t="s">
        <v>335</v>
      </c>
      <c r="E713" s="2" t="s">
        <v>38</v>
      </c>
      <c r="F713" s="2" t="s">
        <v>334</v>
      </c>
      <c r="G713" s="2" t="s">
        <v>204</v>
      </c>
      <c r="H713" s="57" t="str">
        <f>Table1[[#This Row],[Tabela]]&amp;Table1[[#This Row],[Campo]]</f>
        <v>modesg_out_sfcs_taxon_europeianome_general_specific_purpose</v>
      </c>
      <c r="I713" s="2" t="s">
        <v>619</v>
      </c>
      <c r="J713" s="43">
        <f>VLOOKUP(Table1[[#This Row],[Status]],Auxiliar!$B$16:$C$24,2,0)</f>
        <v>7</v>
      </c>
      <c r="K713" s="2" t="s">
        <v>1253</v>
      </c>
      <c r="L713" s="29" t="s">
        <v>1250</v>
      </c>
      <c r="M713" s="21" t="s">
        <v>1260</v>
      </c>
      <c r="N713" s="48">
        <v>45546</v>
      </c>
      <c r="O713" s="21">
        <f>INDEX(Auxiliar!$D$5:$F$13,MATCH(Table1[[#This Row],[Tipologia_Testes]],Auxiliar!$B$5:$B$13,0),MATCH(Table1[[#This Row],[Complexidade]],Auxiliar!$D$4:$F$4,0))</f>
        <v>4</v>
      </c>
      <c r="P713" s="2" t="s">
        <v>1294</v>
      </c>
      <c r="Q713" s="2"/>
      <c r="R713" s="152">
        <v>45563</v>
      </c>
      <c r="S713" s="152"/>
      <c r="T713" s="152">
        <v>45563</v>
      </c>
      <c r="U713" s="152">
        <v>45624</v>
      </c>
      <c r="V713" s="152"/>
      <c r="W713" s="2">
        <f>VLOOKUP(Table1[[#This Row],[Status]],Auxiliar!$B$16:$D$24,3,0)*Table1[[#This Row],[Estimação (horas)]]</f>
        <v>1</v>
      </c>
      <c r="X713" s="2"/>
    </row>
    <row r="714" spans="2:24" ht="17.7" customHeight="1" x14ac:dyDescent="0.25">
      <c r="B714" s="2" t="s">
        <v>26</v>
      </c>
      <c r="C714" s="2" t="s">
        <v>311</v>
      </c>
      <c r="D714" s="2" t="s">
        <v>335</v>
      </c>
      <c r="E714" s="2" t="s">
        <v>38</v>
      </c>
      <c r="F714" s="2" t="s">
        <v>334</v>
      </c>
      <c r="G714" s="2" t="s">
        <v>204</v>
      </c>
      <c r="H714" s="57" t="str">
        <f>Table1[[#This Row],[Tabela]]&amp;Table1[[#This Row],[Campo]]</f>
        <v>modesg_out_sfcs_taxon_europeianome_general_specific_purpose</v>
      </c>
      <c r="I714" s="2" t="s">
        <v>619</v>
      </c>
      <c r="J714" s="43">
        <f>VLOOKUP(Table1[[#This Row],[Status]],Auxiliar!$B$16:$C$24,2,0)</f>
        <v>7</v>
      </c>
      <c r="K714" s="2" t="s">
        <v>1255</v>
      </c>
      <c r="L714" s="29" t="s">
        <v>1250</v>
      </c>
      <c r="M714" s="21" t="s">
        <v>1260</v>
      </c>
      <c r="N714" s="48">
        <v>45546</v>
      </c>
      <c r="O714" s="21">
        <f>INDEX(Auxiliar!$D$5:$F$13,MATCH(Table1[[#This Row],[Tipologia_Testes]],Auxiliar!$B$5:$B$13,0),MATCH(Table1[[#This Row],[Complexidade]],Auxiliar!$D$4:$F$4,0))</f>
        <v>0.1</v>
      </c>
      <c r="P714" s="2" t="s">
        <v>1294</v>
      </c>
      <c r="Q714" s="2"/>
      <c r="R714" s="152">
        <v>45563</v>
      </c>
      <c r="S714" s="152"/>
      <c r="T714" s="152">
        <v>45563</v>
      </c>
      <c r="U714" s="152">
        <v>45624</v>
      </c>
      <c r="V714" s="152"/>
      <c r="W714" s="2">
        <f>VLOOKUP(Table1[[#This Row],[Status]],Auxiliar!$B$16:$D$24,3,0)*Table1[[#This Row],[Estimação (horas)]]</f>
        <v>2.5000000000000001E-2</v>
      </c>
      <c r="X714" s="2"/>
    </row>
    <row r="715" spans="2:24" ht="17.7" customHeight="1" x14ac:dyDescent="0.25">
      <c r="B715" s="2" t="s">
        <v>26</v>
      </c>
      <c r="C715" s="2" t="s">
        <v>311</v>
      </c>
      <c r="D715" s="2" t="s">
        <v>335</v>
      </c>
      <c r="E715" s="2" t="s">
        <v>38</v>
      </c>
      <c r="F715" s="2" t="s">
        <v>334</v>
      </c>
      <c r="G715" s="2" t="s">
        <v>205</v>
      </c>
      <c r="H715" s="57" t="str">
        <f>Table1[[#This Row],[Tabela]]&amp;Table1[[#This Row],[Campo]]</f>
        <v>modesg_out_sfcs_taxon_europeianome_purpose_esg</v>
      </c>
      <c r="I715" s="2" t="s">
        <v>619</v>
      </c>
      <c r="J715" s="43">
        <f>VLOOKUP(Table1[[#This Row],[Status]],Auxiliar!$B$16:$C$24,2,0)</f>
        <v>7</v>
      </c>
      <c r="K715" s="2" t="s">
        <v>1252</v>
      </c>
      <c r="L715" s="29" t="s">
        <v>1258</v>
      </c>
      <c r="M715" s="21" t="s">
        <v>1260</v>
      </c>
      <c r="N715" s="48">
        <v>45546</v>
      </c>
      <c r="O715" s="21">
        <f>INDEX(Auxiliar!$D$5:$F$13,MATCH(Table1[[#This Row],[Tipologia_Testes]],Auxiliar!$B$5:$B$13,0),MATCH(Table1[[#This Row],[Complexidade]],Auxiliar!$D$4:$F$4,0))</f>
        <v>4</v>
      </c>
      <c r="P715" s="2"/>
      <c r="Q715" s="2"/>
      <c r="R715" s="152">
        <v>45563</v>
      </c>
      <c r="S715" s="152"/>
      <c r="T715" s="152">
        <v>45563</v>
      </c>
      <c r="U715" s="152">
        <v>45624</v>
      </c>
      <c r="V715" s="152"/>
      <c r="W715" s="2">
        <f>VLOOKUP(Table1[[#This Row],[Status]],Auxiliar!$B$16:$D$24,3,0)*Table1[[#This Row],[Estimação (horas)]]</f>
        <v>1</v>
      </c>
      <c r="X715" s="2"/>
    </row>
    <row r="716" spans="2:24" ht="17.7" customHeight="1" x14ac:dyDescent="0.25">
      <c r="B716" s="2" t="s">
        <v>26</v>
      </c>
      <c r="C716" s="2" t="s">
        <v>311</v>
      </c>
      <c r="D716" s="2" t="s">
        <v>335</v>
      </c>
      <c r="E716" s="2" t="s">
        <v>38</v>
      </c>
      <c r="F716" s="2" t="s">
        <v>334</v>
      </c>
      <c r="G716" s="2" t="s">
        <v>205</v>
      </c>
      <c r="H716" s="57" t="str">
        <f>Table1[[#This Row],[Tabela]]&amp;Table1[[#This Row],[Campo]]</f>
        <v>modesg_out_sfcs_taxon_europeianome_purpose_esg</v>
      </c>
      <c r="I716" s="2" t="s">
        <v>619</v>
      </c>
      <c r="J716" s="43">
        <f>VLOOKUP(Table1[[#This Row],[Status]],Auxiliar!$B$16:$C$24,2,0)</f>
        <v>7</v>
      </c>
      <c r="K716" s="2" t="s">
        <v>1253</v>
      </c>
      <c r="L716" s="29" t="s">
        <v>1258</v>
      </c>
      <c r="M716" s="21" t="s">
        <v>1260</v>
      </c>
      <c r="N716" s="48">
        <v>45546</v>
      </c>
      <c r="O716" s="21">
        <f>INDEX(Auxiliar!$D$5:$F$13,MATCH(Table1[[#This Row],[Tipologia_Testes]],Auxiliar!$B$5:$B$13,0),MATCH(Table1[[#This Row],[Complexidade]],Auxiliar!$D$4:$F$4,0))</f>
        <v>4</v>
      </c>
      <c r="P716" s="2"/>
      <c r="Q716" s="2"/>
      <c r="R716" s="152">
        <v>45563</v>
      </c>
      <c r="S716" s="152"/>
      <c r="T716" s="152">
        <v>45563</v>
      </c>
      <c r="U716" s="152">
        <v>45624</v>
      </c>
      <c r="V716" s="152"/>
      <c r="W716" s="2">
        <f>VLOOKUP(Table1[[#This Row],[Status]],Auxiliar!$B$16:$D$24,3,0)*Table1[[#This Row],[Estimação (horas)]]</f>
        <v>1</v>
      </c>
      <c r="X716" s="2"/>
    </row>
    <row r="717" spans="2:24" ht="17.7" customHeight="1" x14ac:dyDescent="0.25">
      <c r="B717" s="2" t="s">
        <v>26</v>
      </c>
      <c r="C717" s="2" t="s">
        <v>311</v>
      </c>
      <c r="D717" s="2" t="s">
        <v>335</v>
      </c>
      <c r="E717" s="2" t="s">
        <v>38</v>
      </c>
      <c r="F717" s="2" t="s">
        <v>334</v>
      </c>
      <c r="G717" s="2" t="s">
        <v>205</v>
      </c>
      <c r="H717" s="57" t="str">
        <f>Table1[[#This Row],[Tabela]]&amp;Table1[[#This Row],[Campo]]</f>
        <v>modesg_out_sfcs_taxon_europeianome_purpose_esg</v>
      </c>
      <c r="I717" s="2" t="s">
        <v>619</v>
      </c>
      <c r="J717" s="43">
        <f>VLOOKUP(Table1[[#This Row],[Status]],Auxiliar!$B$16:$C$24,2,0)</f>
        <v>7</v>
      </c>
      <c r="K717" s="2" t="s">
        <v>1255</v>
      </c>
      <c r="L717" s="29" t="s">
        <v>1258</v>
      </c>
      <c r="M717" s="21" t="s">
        <v>1260</v>
      </c>
      <c r="N717" s="48">
        <v>45546</v>
      </c>
      <c r="O717" s="21">
        <f>INDEX(Auxiliar!$D$5:$F$13,MATCH(Table1[[#This Row],[Tipologia_Testes]],Auxiliar!$B$5:$B$13,0),MATCH(Table1[[#This Row],[Complexidade]],Auxiliar!$D$4:$F$4,0))</f>
        <v>0.1</v>
      </c>
      <c r="P717" s="2"/>
      <c r="Q717" s="2"/>
      <c r="R717" s="152">
        <v>45563</v>
      </c>
      <c r="S717" s="152"/>
      <c r="T717" s="152">
        <v>45563</v>
      </c>
      <c r="U717" s="152">
        <v>45624</v>
      </c>
      <c r="V717" s="152"/>
      <c r="W717" s="2">
        <f>VLOOKUP(Table1[[#This Row],[Status]],Auxiliar!$B$16:$D$24,3,0)*Table1[[#This Row],[Estimação (horas)]]</f>
        <v>2.5000000000000001E-2</v>
      </c>
      <c r="X717" s="2"/>
    </row>
    <row r="718" spans="2:24" ht="17.7" customHeight="1" x14ac:dyDescent="0.25">
      <c r="B718" s="2" t="s">
        <v>26</v>
      </c>
      <c r="C718" s="2" t="s">
        <v>311</v>
      </c>
      <c r="D718" s="2" t="s">
        <v>335</v>
      </c>
      <c r="E718" s="2" t="s">
        <v>38</v>
      </c>
      <c r="F718" s="2" t="s">
        <v>334</v>
      </c>
      <c r="G718" s="2" t="s">
        <v>206</v>
      </c>
      <c r="H718" s="57" t="str">
        <f>Table1[[#This Row],[Tabela]]&amp;Table1[[#This Row],[Campo]]</f>
        <v>modesg_out_sfcs_taxon_europeianome_specific_eligible</v>
      </c>
      <c r="I718" s="2" t="s">
        <v>619</v>
      </c>
      <c r="J718" s="43">
        <f>VLOOKUP(Table1[[#This Row],[Status]],Auxiliar!$B$16:$C$24,2,0)</f>
        <v>7</v>
      </c>
      <c r="K718" s="2" t="s">
        <v>1252</v>
      </c>
      <c r="L718" s="29" t="s">
        <v>1250</v>
      </c>
      <c r="M718" s="21" t="s">
        <v>1260</v>
      </c>
      <c r="N718" s="48">
        <v>45546</v>
      </c>
      <c r="O718" s="21">
        <f>INDEX(Auxiliar!$D$5:$F$13,MATCH(Table1[[#This Row],[Tipologia_Testes]],Auxiliar!$B$5:$B$13,0),MATCH(Table1[[#This Row],[Complexidade]],Auxiliar!$D$4:$F$4,0))</f>
        <v>4</v>
      </c>
      <c r="P718" s="2" t="s">
        <v>1294</v>
      </c>
      <c r="Q718" s="2"/>
      <c r="R718" s="152">
        <v>45563</v>
      </c>
      <c r="S718" s="152"/>
      <c r="T718" s="152">
        <v>45563</v>
      </c>
      <c r="U718" s="152">
        <v>45624</v>
      </c>
      <c r="V718" s="152"/>
      <c r="W718" s="2">
        <f>VLOOKUP(Table1[[#This Row],[Status]],Auxiliar!$B$16:$D$24,3,0)*Table1[[#This Row],[Estimação (horas)]]</f>
        <v>1</v>
      </c>
      <c r="X718" s="2"/>
    </row>
    <row r="719" spans="2:24" ht="17.7" customHeight="1" x14ac:dyDescent="0.25">
      <c r="B719" s="2" t="s">
        <v>26</v>
      </c>
      <c r="C719" s="2" t="s">
        <v>311</v>
      </c>
      <c r="D719" s="2" t="s">
        <v>335</v>
      </c>
      <c r="E719" s="2" t="s">
        <v>38</v>
      </c>
      <c r="F719" s="2" t="s">
        <v>334</v>
      </c>
      <c r="G719" s="2" t="s">
        <v>206</v>
      </c>
      <c r="H719" s="57" t="str">
        <f>Table1[[#This Row],[Tabela]]&amp;Table1[[#This Row],[Campo]]</f>
        <v>modesg_out_sfcs_taxon_europeianome_specific_eligible</v>
      </c>
      <c r="I719" s="2" t="s">
        <v>619</v>
      </c>
      <c r="J719" s="43">
        <f>VLOOKUP(Table1[[#This Row],[Status]],Auxiliar!$B$16:$C$24,2,0)</f>
        <v>7</v>
      </c>
      <c r="K719" s="2" t="s">
        <v>1253</v>
      </c>
      <c r="L719" s="29" t="s">
        <v>1250</v>
      </c>
      <c r="M719" s="21" t="s">
        <v>1260</v>
      </c>
      <c r="N719" s="48">
        <v>45546</v>
      </c>
      <c r="O719" s="21">
        <f>INDEX(Auxiliar!$D$5:$F$13,MATCH(Table1[[#This Row],[Tipologia_Testes]],Auxiliar!$B$5:$B$13,0),MATCH(Table1[[#This Row],[Complexidade]],Auxiliar!$D$4:$F$4,0))</f>
        <v>4</v>
      </c>
      <c r="P719" s="2" t="s">
        <v>1294</v>
      </c>
      <c r="Q719" s="2"/>
      <c r="R719" s="152">
        <v>45563</v>
      </c>
      <c r="S719" s="152"/>
      <c r="T719" s="152">
        <v>45563</v>
      </c>
      <c r="U719" s="152">
        <v>45624</v>
      </c>
      <c r="V719" s="152"/>
      <c r="W719" s="2">
        <f>VLOOKUP(Table1[[#This Row],[Status]],Auxiliar!$B$16:$D$24,3,0)*Table1[[#This Row],[Estimação (horas)]]</f>
        <v>1</v>
      </c>
      <c r="X719" s="2"/>
    </row>
    <row r="720" spans="2:24" ht="17.7" customHeight="1" x14ac:dyDescent="0.25">
      <c r="B720" s="2" t="s">
        <v>26</v>
      </c>
      <c r="C720" s="2" t="s">
        <v>311</v>
      </c>
      <c r="D720" s="2" t="s">
        <v>335</v>
      </c>
      <c r="E720" s="2" t="s">
        <v>38</v>
      </c>
      <c r="F720" s="2" t="s">
        <v>334</v>
      </c>
      <c r="G720" s="2" t="s">
        <v>206</v>
      </c>
      <c r="H720" s="57" t="str">
        <f>Table1[[#This Row],[Tabela]]&amp;Table1[[#This Row],[Campo]]</f>
        <v>modesg_out_sfcs_taxon_europeianome_specific_eligible</v>
      </c>
      <c r="I720" s="2" t="s">
        <v>619</v>
      </c>
      <c r="J720" s="43">
        <f>VLOOKUP(Table1[[#This Row],[Status]],Auxiliar!$B$16:$C$24,2,0)</f>
        <v>7</v>
      </c>
      <c r="K720" s="2" t="s">
        <v>1255</v>
      </c>
      <c r="L720" s="29" t="s">
        <v>1250</v>
      </c>
      <c r="M720" s="21" t="s">
        <v>1260</v>
      </c>
      <c r="N720" s="48">
        <v>45546</v>
      </c>
      <c r="O720" s="21">
        <f>INDEX(Auxiliar!$D$5:$F$13,MATCH(Table1[[#This Row],[Tipologia_Testes]],Auxiliar!$B$5:$B$13,0),MATCH(Table1[[#This Row],[Complexidade]],Auxiliar!$D$4:$F$4,0))</f>
        <v>0.1</v>
      </c>
      <c r="P720" s="2" t="s">
        <v>1294</v>
      </c>
      <c r="Q720" s="2"/>
      <c r="R720" s="152">
        <v>45563</v>
      </c>
      <c r="S720" s="152"/>
      <c r="T720" s="152">
        <v>45563</v>
      </c>
      <c r="U720" s="152">
        <v>45624</v>
      </c>
      <c r="V720" s="152"/>
      <c r="W720" s="2">
        <f>VLOOKUP(Table1[[#This Row],[Status]],Auxiliar!$B$16:$D$24,3,0)*Table1[[#This Row],[Estimação (horas)]]</f>
        <v>2.5000000000000001E-2</v>
      </c>
      <c r="X720" s="2"/>
    </row>
    <row r="721" spans="2:24" ht="17.7" customHeight="1" x14ac:dyDescent="0.25">
      <c r="B721" s="2" t="s">
        <v>26</v>
      </c>
      <c r="C721" s="2" t="s">
        <v>311</v>
      </c>
      <c r="D721" s="2" t="s">
        <v>335</v>
      </c>
      <c r="E721" s="2" t="s">
        <v>38</v>
      </c>
      <c r="F721" s="2" t="s">
        <v>334</v>
      </c>
      <c r="G721" s="2" t="s">
        <v>207</v>
      </c>
      <c r="H721" s="57" t="str">
        <f>Table1[[#This Row],[Tabela]]&amp;Table1[[#This Row],[Campo]]</f>
        <v>modesg_out_sfcs_taxon_europeianome_specific_sustainable</v>
      </c>
      <c r="I721" s="2" t="s">
        <v>619</v>
      </c>
      <c r="J721" s="43">
        <f>VLOOKUP(Table1[[#This Row],[Status]],Auxiliar!$B$16:$C$24,2,0)</f>
        <v>7</v>
      </c>
      <c r="K721" s="2" t="s">
        <v>1252</v>
      </c>
      <c r="L721" s="29" t="s">
        <v>1250</v>
      </c>
      <c r="M721" s="21" t="s">
        <v>1260</v>
      </c>
      <c r="N721" s="48">
        <v>45546</v>
      </c>
      <c r="O721" s="21">
        <f>INDEX(Auxiliar!$D$5:$F$13,MATCH(Table1[[#This Row],[Tipologia_Testes]],Auxiliar!$B$5:$B$13,0),MATCH(Table1[[#This Row],[Complexidade]],Auxiliar!$D$4:$F$4,0))</f>
        <v>4</v>
      </c>
      <c r="P721" s="2" t="s">
        <v>1294</v>
      </c>
      <c r="Q721" s="2"/>
      <c r="R721" s="152">
        <v>45563</v>
      </c>
      <c r="S721" s="152"/>
      <c r="T721" s="152">
        <v>45563</v>
      </c>
      <c r="U721" s="152">
        <v>45624</v>
      </c>
      <c r="V721" s="152"/>
      <c r="W721" s="2">
        <f>VLOOKUP(Table1[[#This Row],[Status]],Auxiliar!$B$16:$D$24,3,0)*Table1[[#This Row],[Estimação (horas)]]</f>
        <v>1</v>
      </c>
      <c r="X721" s="2"/>
    </row>
    <row r="722" spans="2:24" ht="17.7" customHeight="1" x14ac:dyDescent="0.25">
      <c r="B722" s="2" t="s">
        <v>26</v>
      </c>
      <c r="C722" s="2" t="s">
        <v>311</v>
      </c>
      <c r="D722" s="2" t="s">
        <v>335</v>
      </c>
      <c r="E722" s="2" t="s">
        <v>38</v>
      </c>
      <c r="F722" s="2" t="s">
        <v>334</v>
      </c>
      <c r="G722" s="2" t="s">
        <v>207</v>
      </c>
      <c r="H722" s="57" t="str">
        <f>Table1[[#This Row],[Tabela]]&amp;Table1[[#This Row],[Campo]]</f>
        <v>modesg_out_sfcs_taxon_europeianome_specific_sustainable</v>
      </c>
      <c r="I722" s="2" t="s">
        <v>619</v>
      </c>
      <c r="J722" s="43">
        <f>VLOOKUP(Table1[[#This Row],[Status]],Auxiliar!$B$16:$C$24,2,0)</f>
        <v>7</v>
      </c>
      <c r="K722" s="2" t="s">
        <v>1253</v>
      </c>
      <c r="L722" s="29" t="s">
        <v>1250</v>
      </c>
      <c r="M722" s="21" t="s">
        <v>1260</v>
      </c>
      <c r="N722" s="48">
        <v>45546</v>
      </c>
      <c r="O722" s="21">
        <f>INDEX(Auxiliar!$D$5:$F$13,MATCH(Table1[[#This Row],[Tipologia_Testes]],Auxiliar!$B$5:$B$13,0),MATCH(Table1[[#This Row],[Complexidade]],Auxiliar!$D$4:$F$4,0))</f>
        <v>4</v>
      </c>
      <c r="P722" s="2" t="s">
        <v>1294</v>
      </c>
      <c r="Q722" s="2"/>
      <c r="R722" s="152">
        <v>45563</v>
      </c>
      <c r="S722" s="152"/>
      <c r="T722" s="152">
        <v>45563</v>
      </c>
      <c r="U722" s="152">
        <v>45624</v>
      </c>
      <c r="V722" s="152"/>
      <c r="W722" s="2">
        <f>VLOOKUP(Table1[[#This Row],[Status]],Auxiliar!$B$16:$D$24,3,0)*Table1[[#This Row],[Estimação (horas)]]</f>
        <v>1</v>
      </c>
      <c r="X722" s="2"/>
    </row>
    <row r="723" spans="2:24" ht="17.7" customHeight="1" x14ac:dyDescent="0.25">
      <c r="B723" s="2" t="s">
        <v>26</v>
      </c>
      <c r="C723" s="2" t="s">
        <v>311</v>
      </c>
      <c r="D723" s="2" t="s">
        <v>335</v>
      </c>
      <c r="E723" s="2" t="s">
        <v>38</v>
      </c>
      <c r="F723" s="2" t="s">
        <v>334</v>
      </c>
      <c r="G723" s="2" t="s">
        <v>207</v>
      </c>
      <c r="H723" s="57" t="str">
        <f>Table1[[#This Row],[Tabela]]&amp;Table1[[#This Row],[Campo]]</f>
        <v>modesg_out_sfcs_taxon_europeianome_specific_sustainable</v>
      </c>
      <c r="I723" s="2" t="s">
        <v>619</v>
      </c>
      <c r="J723" s="43">
        <f>VLOOKUP(Table1[[#This Row],[Status]],Auxiliar!$B$16:$C$24,2,0)</f>
        <v>7</v>
      </c>
      <c r="K723" s="2" t="s">
        <v>1255</v>
      </c>
      <c r="L723" s="29" t="s">
        <v>1250</v>
      </c>
      <c r="M723" s="21" t="s">
        <v>1260</v>
      </c>
      <c r="N723" s="48">
        <v>45546</v>
      </c>
      <c r="O723" s="21">
        <f>INDEX(Auxiliar!$D$5:$F$13,MATCH(Table1[[#This Row],[Tipologia_Testes]],Auxiliar!$B$5:$B$13,0),MATCH(Table1[[#This Row],[Complexidade]],Auxiliar!$D$4:$F$4,0))</f>
        <v>0.1</v>
      </c>
      <c r="P723" s="2" t="s">
        <v>1294</v>
      </c>
      <c r="Q723" s="2"/>
      <c r="R723" s="152">
        <v>45563</v>
      </c>
      <c r="S723" s="152"/>
      <c r="T723" s="152">
        <v>45563</v>
      </c>
      <c r="U723" s="152">
        <v>45624</v>
      </c>
      <c r="V723" s="152"/>
      <c r="W723" s="2">
        <f>VLOOKUP(Table1[[#This Row],[Status]],Auxiliar!$B$16:$D$24,3,0)*Table1[[#This Row],[Estimação (horas)]]</f>
        <v>2.5000000000000001E-2</v>
      </c>
      <c r="X723" s="2"/>
    </row>
    <row r="724" spans="2:24" ht="17.7" customHeight="1" x14ac:dyDescent="0.25">
      <c r="B724" s="2" t="s">
        <v>26</v>
      </c>
      <c r="C724" s="2" t="s">
        <v>311</v>
      </c>
      <c r="D724" s="2" t="s">
        <v>335</v>
      </c>
      <c r="E724" s="2" t="s">
        <v>38</v>
      </c>
      <c r="F724" s="2" t="s">
        <v>334</v>
      </c>
      <c r="G724" s="2" t="s">
        <v>72</v>
      </c>
      <c r="H724" s="57" t="str">
        <f>Table1[[#This Row],[Tabela]]&amp;Table1[[#This Row],[Campo]]</f>
        <v>modesg_out_sfcs_taxon_europeiaorigem</v>
      </c>
      <c r="I724" s="3" t="s">
        <v>614</v>
      </c>
      <c r="J724" s="55">
        <f>VLOOKUP(Table1[[#This Row],[Status]],Auxiliar!$B$16:$C$24,2,0)</f>
        <v>1</v>
      </c>
      <c r="K724" s="2" t="s">
        <v>1252</v>
      </c>
      <c r="L724" s="29" t="s">
        <v>1258</v>
      </c>
      <c r="M724" s="21" t="s">
        <v>1259</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7" customHeight="1" x14ac:dyDescent="0.25">
      <c r="B725" s="2" t="s">
        <v>26</v>
      </c>
      <c r="C725" s="2" t="s">
        <v>311</v>
      </c>
      <c r="D725" s="2" t="s">
        <v>335</v>
      </c>
      <c r="E725" s="2" t="s">
        <v>38</v>
      </c>
      <c r="F725" s="2" t="s">
        <v>334</v>
      </c>
      <c r="G725" s="2" t="s">
        <v>72</v>
      </c>
      <c r="H725" s="57" t="str">
        <f>Table1[[#This Row],[Tabela]]&amp;Table1[[#This Row],[Campo]]</f>
        <v>modesg_out_sfcs_taxon_europeiaorigem</v>
      </c>
      <c r="I725" s="3" t="s">
        <v>614</v>
      </c>
      <c r="J725" s="55">
        <f>VLOOKUP(Table1[[#This Row],[Status]],Auxiliar!$B$16:$C$24,2,0)</f>
        <v>1</v>
      </c>
      <c r="K725" s="2" t="s">
        <v>1253</v>
      </c>
      <c r="L725" s="29" t="s">
        <v>1258</v>
      </c>
      <c r="M725" s="21" t="s">
        <v>1259</v>
      </c>
      <c r="N725" s="48">
        <v>45546</v>
      </c>
      <c r="O725" s="21">
        <f>INDEX(Auxiliar!$D$5:$F$13,MATCH(Table1[[#This Row],[Tipologia_Testes]],Auxiliar!$B$5:$B$13,0),MATCH(Table1[[#This Row],[Complexidade]],Auxiliar!$D$4:$F$4,0))</f>
        <v>2</v>
      </c>
      <c r="P725" s="2"/>
      <c r="Q725" s="2"/>
      <c r="R725" s="152">
        <v>45562</v>
      </c>
      <c r="S725" s="152"/>
      <c r="T725" s="152"/>
      <c r="U725" s="152"/>
      <c r="V725" s="152"/>
      <c r="W725" s="2">
        <f>VLOOKUP(Table1[[#This Row],[Status]],Auxiliar!$B$16:$D$24,3,0)*Table1[[#This Row],[Estimação (horas)]]</f>
        <v>2</v>
      </c>
      <c r="X725" s="2"/>
    </row>
    <row r="726" spans="2:24" ht="17.7" customHeight="1" x14ac:dyDescent="0.25">
      <c r="B726" s="2" t="s">
        <v>26</v>
      </c>
      <c r="C726" s="2" t="s">
        <v>311</v>
      </c>
      <c r="D726" s="2" t="s">
        <v>335</v>
      </c>
      <c r="E726" s="2" t="s">
        <v>38</v>
      </c>
      <c r="F726" s="2" t="s">
        <v>334</v>
      </c>
      <c r="G726" s="2" t="s">
        <v>72</v>
      </c>
      <c r="H726" s="57" t="str">
        <f>Table1[[#This Row],[Tabela]]&amp;Table1[[#This Row],[Campo]]</f>
        <v>modesg_out_sfcs_taxon_europeiaorigem</v>
      </c>
      <c r="I726" s="3" t="s">
        <v>614</v>
      </c>
      <c r="J726" s="55">
        <f>VLOOKUP(Table1[[#This Row],[Status]],Auxiliar!$B$16:$C$24,2,0)</f>
        <v>1</v>
      </c>
      <c r="K726" s="2" t="s">
        <v>1255</v>
      </c>
      <c r="L726" s="29" t="s">
        <v>1258</v>
      </c>
      <c r="M726" s="21" t="s">
        <v>1259</v>
      </c>
      <c r="N726" s="48">
        <v>45546</v>
      </c>
      <c r="O726" s="21">
        <f>INDEX(Auxiliar!$D$5:$F$13,MATCH(Table1[[#This Row],[Tipologia_Testes]],Auxiliar!$B$5:$B$13,0),MATCH(Table1[[#This Row],[Complexidade]],Auxiliar!$D$4:$F$4,0))</f>
        <v>0.1</v>
      </c>
      <c r="P726" s="2"/>
      <c r="Q726" s="2"/>
      <c r="R726" s="152">
        <v>45562</v>
      </c>
      <c r="S726" s="152"/>
      <c r="T726" s="152"/>
      <c r="U726" s="152"/>
      <c r="V726" s="152"/>
      <c r="W726" s="2">
        <f>VLOOKUP(Table1[[#This Row],[Status]],Auxiliar!$B$16:$D$24,3,0)*Table1[[#This Row],[Estimação (horas)]]</f>
        <v>0.1</v>
      </c>
      <c r="X726" s="2"/>
    </row>
    <row r="727" spans="2:24" ht="17.7" customHeight="1" x14ac:dyDescent="0.25">
      <c r="B727" s="2" t="s">
        <v>26</v>
      </c>
      <c r="C727" s="2" t="s">
        <v>311</v>
      </c>
      <c r="D727" s="2" t="s">
        <v>335</v>
      </c>
      <c r="E727" s="2" t="s">
        <v>38</v>
      </c>
      <c r="F727" s="2" t="s">
        <v>334</v>
      </c>
      <c r="G727" s="2" t="s">
        <v>208</v>
      </c>
      <c r="H727" s="57" t="str">
        <f>Table1[[#This Row],[Tabela]]&amp;Table1[[#This Row],[Campo]]</f>
        <v>modesg_out_sfcs_taxon_europeiaref_date</v>
      </c>
      <c r="I727" s="2" t="s">
        <v>619</v>
      </c>
      <c r="J727" s="43">
        <f>VLOOKUP(Table1[[#This Row],[Status]],Auxiliar!$B$16:$C$24,2,0)</f>
        <v>7</v>
      </c>
      <c r="K727" s="2" t="s">
        <v>1252</v>
      </c>
      <c r="L727" s="29" t="s">
        <v>1258</v>
      </c>
      <c r="M727" s="21" t="s">
        <v>1259</v>
      </c>
      <c r="N727" s="48">
        <v>45546</v>
      </c>
      <c r="O727" s="21">
        <f>INDEX(Auxiliar!$D$5:$F$13,MATCH(Table1[[#This Row],[Tipologia_Testes]],Auxiliar!$B$5:$B$13,0),MATCH(Table1[[#This Row],[Complexidade]],Auxiliar!$D$4:$F$4,0))</f>
        <v>2</v>
      </c>
      <c r="P727" s="2"/>
      <c r="Q727" s="2"/>
      <c r="R727" s="152">
        <v>45563</v>
      </c>
      <c r="S727" s="152"/>
      <c r="T727" s="152">
        <v>45561</v>
      </c>
      <c r="U727" s="152">
        <v>45624</v>
      </c>
      <c r="V727" s="152"/>
      <c r="W727" s="2">
        <f>VLOOKUP(Table1[[#This Row],[Status]],Auxiliar!$B$16:$D$24,3,0)*Table1[[#This Row],[Estimação (horas)]]</f>
        <v>0.5</v>
      </c>
      <c r="X727" s="2"/>
    </row>
    <row r="728" spans="2:24" ht="17.7" customHeight="1" x14ac:dyDescent="0.25">
      <c r="B728" s="2" t="s">
        <v>26</v>
      </c>
      <c r="C728" s="2" t="s">
        <v>311</v>
      </c>
      <c r="D728" s="2" t="s">
        <v>335</v>
      </c>
      <c r="E728" s="2" t="s">
        <v>38</v>
      </c>
      <c r="F728" s="2" t="s">
        <v>334</v>
      </c>
      <c r="G728" s="2" t="s">
        <v>208</v>
      </c>
      <c r="H728" s="57" t="str">
        <f>Table1[[#This Row],[Tabela]]&amp;Table1[[#This Row],[Campo]]</f>
        <v>modesg_out_sfcs_taxon_europeiaref_date</v>
      </c>
      <c r="I728" s="2" t="s">
        <v>619</v>
      </c>
      <c r="J728" s="43">
        <f>VLOOKUP(Table1[[#This Row],[Status]],Auxiliar!$B$16:$C$24,2,0)</f>
        <v>7</v>
      </c>
      <c r="K728" s="2" t="s">
        <v>1253</v>
      </c>
      <c r="L728" s="29" t="s">
        <v>1258</v>
      </c>
      <c r="M728" s="21" t="s">
        <v>1259</v>
      </c>
      <c r="N728" s="48">
        <v>45546</v>
      </c>
      <c r="O728" s="21">
        <f>INDEX(Auxiliar!$D$5:$F$13,MATCH(Table1[[#This Row],[Tipologia_Testes]],Auxiliar!$B$5:$B$13,0),MATCH(Table1[[#This Row],[Complexidade]],Auxiliar!$D$4:$F$4,0))</f>
        <v>2</v>
      </c>
      <c r="P728" s="2"/>
      <c r="Q728" s="2"/>
      <c r="R728" s="152">
        <v>45563</v>
      </c>
      <c r="S728" s="152"/>
      <c r="T728" s="152">
        <v>45561</v>
      </c>
      <c r="U728" s="152">
        <v>45624</v>
      </c>
      <c r="V728" s="152"/>
      <c r="W728" s="2">
        <f>VLOOKUP(Table1[[#This Row],[Status]],Auxiliar!$B$16:$D$24,3,0)*Table1[[#This Row],[Estimação (horas)]]</f>
        <v>0.5</v>
      </c>
      <c r="X728" s="2"/>
    </row>
    <row r="729" spans="2:24" ht="17.7" customHeight="1" x14ac:dyDescent="0.25">
      <c r="B729" s="2" t="s">
        <v>26</v>
      </c>
      <c r="C729" s="2" t="s">
        <v>311</v>
      </c>
      <c r="D729" s="2" t="s">
        <v>335</v>
      </c>
      <c r="E729" s="2" t="s">
        <v>38</v>
      </c>
      <c r="F729" s="2" t="s">
        <v>334</v>
      </c>
      <c r="G729" s="2" t="s">
        <v>208</v>
      </c>
      <c r="H729" s="57" t="str">
        <f>Table1[[#This Row],[Tabela]]&amp;Table1[[#This Row],[Campo]]</f>
        <v>modesg_out_sfcs_taxon_europeiaref_date</v>
      </c>
      <c r="I729" s="2" t="s">
        <v>619</v>
      </c>
      <c r="J729" s="43">
        <f>VLOOKUP(Table1[[#This Row],[Status]],Auxiliar!$B$16:$C$24,2,0)</f>
        <v>7</v>
      </c>
      <c r="K729" s="2" t="s">
        <v>1255</v>
      </c>
      <c r="L729" s="29" t="s">
        <v>1258</v>
      </c>
      <c r="M729" s="21" t="s">
        <v>1259</v>
      </c>
      <c r="N729" s="48">
        <v>45546</v>
      </c>
      <c r="O729" s="21">
        <f>INDEX(Auxiliar!$D$5:$F$13,MATCH(Table1[[#This Row],[Tipologia_Testes]],Auxiliar!$B$5:$B$13,0),MATCH(Table1[[#This Row],[Complexidade]],Auxiliar!$D$4:$F$4,0))</f>
        <v>0.1</v>
      </c>
      <c r="P729" s="2"/>
      <c r="Q729" s="2"/>
      <c r="R729" s="152">
        <v>45563</v>
      </c>
      <c r="S729" s="152"/>
      <c r="T729" s="152">
        <v>45561</v>
      </c>
      <c r="U729" s="152">
        <v>45624</v>
      </c>
      <c r="V729" s="152"/>
      <c r="W729" s="2">
        <f>VLOOKUP(Table1[[#This Row],[Status]],Auxiliar!$B$16:$D$24,3,0)*Table1[[#This Row],[Estimação (horas)]]</f>
        <v>2.5000000000000001E-2</v>
      </c>
      <c r="X729" s="2"/>
    </row>
    <row r="730" spans="2:24" ht="17.7" customHeight="1" x14ac:dyDescent="0.25">
      <c r="B730" s="2" t="s">
        <v>26</v>
      </c>
      <c r="C730" s="2" t="s">
        <v>311</v>
      </c>
      <c r="D730" s="2" t="s">
        <v>335</v>
      </c>
      <c r="E730" s="2" t="s">
        <v>38</v>
      </c>
      <c r="F730" s="2" t="s">
        <v>334</v>
      </c>
      <c r="G730" s="2" t="s">
        <v>210</v>
      </c>
      <c r="H730" s="57" t="str">
        <f>Table1[[#This Row],[Tabela]]&amp;Table1[[#This Row],[Campo]]</f>
        <v>modesg_out_sfcs_taxon_europeiazdeposit</v>
      </c>
      <c r="I730" s="2" t="s">
        <v>619</v>
      </c>
      <c r="J730" s="43">
        <f>VLOOKUP(Table1[[#This Row],[Status]],Auxiliar!$B$16:$C$24,2,0)</f>
        <v>7</v>
      </c>
      <c r="K730" s="2" t="s">
        <v>1252</v>
      </c>
      <c r="L730" s="29" t="s">
        <v>1258</v>
      </c>
      <c r="M730" s="21" t="s">
        <v>1260</v>
      </c>
      <c r="N730" s="48">
        <v>45546</v>
      </c>
      <c r="O730" s="21">
        <f>INDEX(Auxiliar!$D$5:$F$13,MATCH(Table1[[#This Row],[Tipologia_Testes]],Auxiliar!$B$5:$B$13,0),MATCH(Table1[[#This Row],[Complexidade]],Auxiliar!$D$4:$F$4,0))</f>
        <v>4</v>
      </c>
      <c r="P730" s="2"/>
      <c r="Q730" s="2"/>
      <c r="R730" s="152">
        <v>45563</v>
      </c>
      <c r="S730" s="152"/>
      <c r="T730" s="152">
        <v>45561</v>
      </c>
      <c r="U730" s="152">
        <v>45624</v>
      </c>
      <c r="V730" s="152"/>
      <c r="W730" s="2">
        <f>VLOOKUP(Table1[[#This Row],[Status]],Auxiliar!$B$16:$D$24,3,0)*Table1[[#This Row],[Estimação (horas)]]</f>
        <v>1</v>
      </c>
      <c r="X730" s="2"/>
    </row>
    <row r="731" spans="2:24" ht="17.7" customHeight="1" x14ac:dyDescent="0.25">
      <c r="B731" s="2" t="s">
        <v>26</v>
      </c>
      <c r="C731" s="2" t="s">
        <v>311</v>
      </c>
      <c r="D731" s="2" t="s">
        <v>335</v>
      </c>
      <c r="E731" s="2" t="s">
        <v>38</v>
      </c>
      <c r="F731" s="2" t="s">
        <v>334</v>
      </c>
      <c r="G731" s="2" t="s">
        <v>210</v>
      </c>
      <c r="H731" s="57" t="str">
        <f>Table1[[#This Row],[Tabela]]&amp;Table1[[#This Row],[Campo]]</f>
        <v>modesg_out_sfcs_taxon_europeiazdeposit</v>
      </c>
      <c r="I731" s="2" t="s">
        <v>619</v>
      </c>
      <c r="J731" s="43">
        <f>VLOOKUP(Table1[[#This Row],[Status]],Auxiliar!$B$16:$C$24,2,0)</f>
        <v>7</v>
      </c>
      <c r="K731" s="2" t="s">
        <v>1253</v>
      </c>
      <c r="L731" s="29" t="s">
        <v>1258</v>
      </c>
      <c r="M731" s="21" t="s">
        <v>1260</v>
      </c>
      <c r="N731" s="48">
        <v>45546</v>
      </c>
      <c r="O731" s="21">
        <f>INDEX(Auxiliar!$D$5:$F$13,MATCH(Table1[[#This Row],[Tipologia_Testes]],Auxiliar!$B$5:$B$13,0),MATCH(Table1[[#This Row],[Complexidade]],Auxiliar!$D$4:$F$4,0))</f>
        <v>4</v>
      </c>
      <c r="P731" s="2"/>
      <c r="Q731" s="2"/>
      <c r="R731" s="152">
        <v>45563</v>
      </c>
      <c r="S731" s="152"/>
      <c r="T731" s="152">
        <v>45561</v>
      </c>
      <c r="U731" s="152">
        <v>45624</v>
      </c>
      <c r="V731" s="152"/>
      <c r="W731" s="2">
        <f>VLOOKUP(Table1[[#This Row],[Status]],Auxiliar!$B$16:$D$24,3,0)*Table1[[#This Row],[Estimação (horas)]]</f>
        <v>1</v>
      </c>
      <c r="X731" s="2"/>
    </row>
    <row r="732" spans="2:24" ht="17.7" customHeight="1" x14ac:dyDescent="0.25">
      <c r="B732" s="2" t="s">
        <v>26</v>
      </c>
      <c r="C732" s="2" t="s">
        <v>311</v>
      </c>
      <c r="D732" s="2" t="s">
        <v>335</v>
      </c>
      <c r="E732" s="2" t="s">
        <v>38</v>
      </c>
      <c r="F732" s="2" t="s">
        <v>334</v>
      </c>
      <c r="G732" s="2" t="s">
        <v>210</v>
      </c>
      <c r="H732" s="57" t="str">
        <f>Table1[[#This Row],[Tabela]]&amp;Table1[[#This Row],[Campo]]</f>
        <v>modesg_out_sfcs_taxon_europeiazdeposit</v>
      </c>
      <c r="I732" s="2" t="s">
        <v>619</v>
      </c>
      <c r="J732" s="43">
        <f>VLOOKUP(Table1[[#This Row],[Status]],Auxiliar!$B$16:$C$24,2,0)</f>
        <v>7</v>
      </c>
      <c r="K732" s="2" t="s">
        <v>1255</v>
      </c>
      <c r="L732" s="29" t="s">
        <v>1258</v>
      </c>
      <c r="M732" s="21" t="s">
        <v>1260</v>
      </c>
      <c r="N732" s="48">
        <v>45546</v>
      </c>
      <c r="O732" s="21">
        <f>INDEX(Auxiliar!$D$5:$F$13,MATCH(Table1[[#This Row],[Tipologia_Testes]],Auxiliar!$B$5:$B$13,0),MATCH(Table1[[#This Row],[Complexidade]],Auxiliar!$D$4:$F$4,0))</f>
        <v>0.1</v>
      </c>
      <c r="P732" s="2"/>
      <c r="Q732" s="2"/>
      <c r="R732" s="152">
        <v>45563</v>
      </c>
      <c r="S732" s="152"/>
      <c r="T732" s="152">
        <v>45561</v>
      </c>
      <c r="U732" s="152">
        <v>45624</v>
      </c>
      <c r="V732" s="152"/>
      <c r="W732" s="2">
        <f>VLOOKUP(Table1[[#This Row],[Status]],Auxiliar!$B$16:$D$24,3,0)*Table1[[#This Row],[Estimação (horas)]]</f>
        <v>2.5000000000000001E-2</v>
      </c>
      <c r="X732" s="2"/>
    </row>
    <row r="733" spans="2:24" ht="17.7" customHeight="1" x14ac:dyDescent="0.25">
      <c r="B733" s="2" t="s">
        <v>26</v>
      </c>
      <c r="C733" s="2" t="s">
        <v>181</v>
      </c>
      <c r="D733" s="2" t="s">
        <v>1295</v>
      </c>
      <c r="E733" s="2" t="s">
        <v>38</v>
      </c>
      <c r="F733" s="2" t="s">
        <v>182</v>
      </c>
      <c r="G733" s="2" t="s">
        <v>38</v>
      </c>
      <c r="H733" s="57" t="str">
        <f>Table1[[#This Row],[Tabela]]&amp;Table1[[#This Row],[Campo]]</f>
        <v>modesg_param_sfcs_taxon_europeian.a.</v>
      </c>
      <c r="I733" s="2" t="s">
        <v>614</v>
      </c>
      <c r="J733" s="43">
        <f>VLOOKUP(Table1[[#This Row],[Status]],Auxiliar!$B$16:$C$24,2,0)</f>
        <v>1</v>
      </c>
      <c r="K733" s="2" t="s">
        <v>1249</v>
      </c>
      <c r="L733" s="29" t="s">
        <v>1258</v>
      </c>
      <c r="M733" s="21" t="s">
        <v>1251</v>
      </c>
      <c r="N733" s="48">
        <v>45611</v>
      </c>
      <c r="O733" s="21">
        <f>INDEX(Auxiliar!$D$5:$F$13,MATCH(Table1[[#This Row],[Tipologia_Testes]],Auxiliar!$B$5:$B$13,0),MATCH(Table1[[#This Row],[Complexidade]],Auxiliar!$D$4:$F$4,0))</f>
        <v>8</v>
      </c>
      <c r="P733" s="23"/>
      <c r="Q733" s="2"/>
      <c r="R733" s="152">
        <v>45563</v>
      </c>
      <c r="S733" s="152"/>
      <c r="T733" s="152">
        <v>45563</v>
      </c>
      <c r="U733" s="152">
        <v>45603</v>
      </c>
      <c r="V733" s="152">
        <v>45604</v>
      </c>
      <c r="W733" s="2">
        <f>VLOOKUP(Table1[[#This Row],[Status]],Auxiliar!$B$16:$D$24,3,0)*Table1[[#This Row],[Estimação (horas)]]</f>
        <v>8</v>
      </c>
      <c r="X733" s="2"/>
    </row>
    <row r="734" spans="2:24" ht="87" customHeight="1" x14ac:dyDescent="0.25">
      <c r="B734" s="2" t="s">
        <v>26</v>
      </c>
      <c r="C734" s="2" t="s">
        <v>181</v>
      </c>
      <c r="D734" s="2" t="s">
        <v>1295</v>
      </c>
      <c r="E734" s="2" t="s">
        <v>38</v>
      </c>
      <c r="F734" s="2" t="s">
        <v>182</v>
      </c>
      <c r="G734" s="2" t="s">
        <v>38</v>
      </c>
      <c r="H734" s="57" t="str">
        <f>Table1[[#This Row],[Tabela]]&amp;Table1[[#This Row],[Campo]]</f>
        <v>modesg_param_sfcs_taxon_europeian.a.</v>
      </c>
      <c r="I734" s="2" t="s">
        <v>614</v>
      </c>
      <c r="J734" s="43">
        <f>VLOOKUP(Table1[[#This Row],[Status]],Auxiliar!$B$16:$C$24,2,0)</f>
        <v>1</v>
      </c>
      <c r="K734" s="2" t="s">
        <v>1296</v>
      </c>
      <c r="L734" s="29" t="s">
        <v>1258</v>
      </c>
      <c r="M734" s="21" t="s">
        <v>1259</v>
      </c>
      <c r="N734" s="48">
        <v>45611</v>
      </c>
      <c r="O734" s="21">
        <f>INDEX(Auxiliar!$D$5:$F$13,MATCH(Table1[[#This Row],[Tipologia_Testes]],Auxiliar!$B$5:$B$13,0),MATCH(Table1[[#This Row],[Complexidade]],Auxiliar!$D$4:$F$4,0))</f>
        <v>0.5</v>
      </c>
      <c r="P734" s="23" t="s">
        <v>1297</v>
      </c>
      <c r="Q734" s="2"/>
      <c r="R734" s="152">
        <v>45563</v>
      </c>
      <c r="S734" s="152"/>
      <c r="T734" s="152">
        <v>45563</v>
      </c>
      <c r="U734" s="152">
        <v>45603</v>
      </c>
      <c r="V734" s="152">
        <v>45604</v>
      </c>
      <c r="W734" s="2">
        <f>VLOOKUP(Table1[[#This Row],[Status]],Auxiliar!$B$16:$D$24,3,0)*Table1[[#This Row],[Estimação (horas)]]</f>
        <v>0.5</v>
      </c>
      <c r="X734" s="2"/>
    </row>
    <row r="735" spans="2:24" ht="17.7" customHeight="1" x14ac:dyDescent="0.25">
      <c r="B735" s="2" t="s">
        <v>26</v>
      </c>
      <c r="C735" s="2" t="s">
        <v>181</v>
      </c>
      <c r="D735" s="2" t="s">
        <v>1295</v>
      </c>
      <c r="E735" s="2" t="s">
        <v>38</v>
      </c>
      <c r="F735" s="2" t="s">
        <v>182</v>
      </c>
      <c r="G735" s="2" t="s">
        <v>183</v>
      </c>
      <c r="H735" s="57" t="str">
        <f>Table1[[#This Row],[Tabela]]&amp;Table1[[#This Row],[Campo]]</f>
        <v>modesg_param_sfcs_taxon_europeiacbalcao</v>
      </c>
      <c r="I735" s="3" t="s">
        <v>614</v>
      </c>
      <c r="J735" s="55">
        <f>VLOOKUP(Table1[[#This Row],[Status]],Auxiliar!$B$16:$C$24,2,0)</f>
        <v>1</v>
      </c>
      <c r="K735" s="2" t="s">
        <v>1263</v>
      </c>
      <c r="L735" s="29" t="s">
        <v>1258</v>
      </c>
      <c r="M735" s="21" t="s">
        <v>1259</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7" customHeight="1" x14ac:dyDescent="0.25">
      <c r="B736" s="2" t="s">
        <v>26</v>
      </c>
      <c r="C736" s="2" t="s">
        <v>181</v>
      </c>
      <c r="D736" s="2" t="s">
        <v>1295</v>
      </c>
      <c r="E736" s="2" t="s">
        <v>38</v>
      </c>
      <c r="F736" s="2" t="s">
        <v>182</v>
      </c>
      <c r="G736" s="2" t="s">
        <v>183</v>
      </c>
      <c r="H736" s="57" t="str">
        <f>Table1[[#This Row],[Tabela]]&amp;Table1[[#This Row],[Campo]]</f>
        <v>modesg_param_sfcs_taxon_europeiacbalcao</v>
      </c>
      <c r="I736" s="3" t="s">
        <v>614</v>
      </c>
      <c r="J736" s="55">
        <f>VLOOKUP(Table1[[#This Row],[Status]],Auxiliar!$B$16:$C$24,2,0)</f>
        <v>1</v>
      </c>
      <c r="K736" s="2" t="s">
        <v>1255</v>
      </c>
      <c r="L736" s="29" t="s">
        <v>1258</v>
      </c>
      <c r="M736" s="21" t="s">
        <v>1259</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7" customHeight="1" x14ac:dyDescent="0.25">
      <c r="B737" s="2" t="s">
        <v>26</v>
      </c>
      <c r="C737" s="2" t="s">
        <v>181</v>
      </c>
      <c r="D737" s="2" t="s">
        <v>1295</v>
      </c>
      <c r="E737" s="2" t="s">
        <v>38</v>
      </c>
      <c r="F737" s="2" t="s">
        <v>182</v>
      </c>
      <c r="G737" s="2" t="s">
        <v>184</v>
      </c>
      <c r="H737" s="57" t="str">
        <f>Table1[[#This Row],[Tabela]]&amp;Table1[[#This Row],[Campo]]</f>
        <v>modesg_param_sfcs_taxon_europeiacempresa</v>
      </c>
      <c r="I737" s="3" t="s">
        <v>614</v>
      </c>
      <c r="J737" s="55">
        <f>VLOOKUP(Table1[[#This Row],[Status]],Auxiliar!$B$16:$C$24,2,0)</f>
        <v>1</v>
      </c>
      <c r="K737" s="2" t="s">
        <v>1263</v>
      </c>
      <c r="L737" s="29" t="s">
        <v>1258</v>
      </c>
      <c r="M737" s="21" t="s">
        <v>1259</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7" customHeight="1" x14ac:dyDescent="0.25">
      <c r="B738" s="2" t="s">
        <v>26</v>
      </c>
      <c r="C738" s="2" t="s">
        <v>181</v>
      </c>
      <c r="D738" s="2" t="s">
        <v>1295</v>
      </c>
      <c r="E738" s="2" t="s">
        <v>38</v>
      </c>
      <c r="F738" s="2" t="s">
        <v>182</v>
      </c>
      <c r="G738" s="2" t="s">
        <v>184</v>
      </c>
      <c r="H738" s="57" t="str">
        <f>Table1[[#This Row],[Tabela]]&amp;Table1[[#This Row],[Campo]]</f>
        <v>modesg_param_sfcs_taxon_europeiacempresa</v>
      </c>
      <c r="I738" s="3" t="s">
        <v>614</v>
      </c>
      <c r="J738" s="55">
        <f>VLOOKUP(Table1[[#This Row],[Status]],Auxiliar!$B$16:$C$24,2,0)</f>
        <v>1</v>
      </c>
      <c r="K738" s="2" t="s">
        <v>1255</v>
      </c>
      <c r="L738" s="29" t="s">
        <v>1258</v>
      </c>
      <c r="M738" s="21" t="s">
        <v>1259</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7" customHeight="1" x14ac:dyDescent="0.25">
      <c r="B739" s="2" t="s">
        <v>26</v>
      </c>
      <c r="C739" s="2" t="s">
        <v>181</v>
      </c>
      <c r="D739" s="2" t="s">
        <v>1295</v>
      </c>
      <c r="E739" s="2" t="s">
        <v>38</v>
      </c>
      <c r="F739" s="2" t="s">
        <v>182</v>
      </c>
      <c r="G739" s="2" t="s">
        <v>185</v>
      </c>
      <c r="H739" s="57" t="str">
        <f>Table1[[#This Row],[Tabela]]&amp;Table1[[#This Row],[Campo]]</f>
        <v>modesg_param_sfcs_taxon_europeiackmetamis</v>
      </c>
      <c r="I739" s="3" t="s">
        <v>614</v>
      </c>
      <c r="J739" s="55">
        <f>VLOOKUP(Table1[[#This Row],[Status]],Auxiliar!$B$16:$C$24,2,0)</f>
        <v>1</v>
      </c>
      <c r="K739" s="2" t="s">
        <v>1263</v>
      </c>
      <c r="L739" s="29" t="s">
        <v>1258</v>
      </c>
      <c r="M739" s="21" t="s">
        <v>1259</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7" customHeight="1" x14ac:dyDescent="0.25">
      <c r="B740" s="2" t="s">
        <v>26</v>
      </c>
      <c r="C740" s="2" t="s">
        <v>181</v>
      </c>
      <c r="D740" s="2" t="s">
        <v>1295</v>
      </c>
      <c r="E740" s="2" t="s">
        <v>38</v>
      </c>
      <c r="F740" s="2" t="s">
        <v>182</v>
      </c>
      <c r="G740" s="2" t="s">
        <v>185</v>
      </c>
      <c r="H740" s="57" t="str">
        <f>Table1[[#This Row],[Tabela]]&amp;Table1[[#This Row],[Campo]]</f>
        <v>modesg_param_sfcs_taxon_europeiackmetamis</v>
      </c>
      <c r="I740" s="3" t="s">
        <v>614</v>
      </c>
      <c r="J740" s="55">
        <f>VLOOKUP(Table1[[#This Row],[Status]],Auxiliar!$B$16:$C$24,2,0)</f>
        <v>1</v>
      </c>
      <c r="K740" s="2" t="s">
        <v>1255</v>
      </c>
      <c r="L740" s="29" t="s">
        <v>1258</v>
      </c>
      <c r="M740" s="21" t="s">
        <v>1259</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7" customHeight="1" x14ac:dyDescent="0.25">
      <c r="B741" s="2" t="s">
        <v>26</v>
      </c>
      <c r="C741" s="2" t="s">
        <v>181</v>
      </c>
      <c r="D741" s="2" t="s">
        <v>1295</v>
      </c>
      <c r="E741" s="2" t="s">
        <v>38</v>
      </c>
      <c r="F741" s="2" t="s">
        <v>182</v>
      </c>
      <c r="G741" s="2" t="s">
        <v>186</v>
      </c>
      <c r="H741" s="57" t="str">
        <f>Table1[[#This Row],[Tabela]]&amp;Table1[[#This Row],[Campo]]</f>
        <v>modesg_param_sfcs_taxon_europeiackprodmi</v>
      </c>
      <c r="I741" s="3" t="s">
        <v>614</v>
      </c>
      <c r="J741" s="55">
        <f>VLOOKUP(Table1[[#This Row],[Status]],Auxiliar!$B$16:$C$24,2,0)</f>
        <v>1</v>
      </c>
      <c r="K741" s="2" t="s">
        <v>1263</v>
      </c>
      <c r="L741" s="29" t="s">
        <v>1258</v>
      </c>
      <c r="M741" s="21" t="s">
        <v>1259</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7" customHeight="1" x14ac:dyDescent="0.25">
      <c r="B742" s="2" t="s">
        <v>26</v>
      </c>
      <c r="C742" s="2" t="s">
        <v>181</v>
      </c>
      <c r="D742" s="2" t="s">
        <v>1295</v>
      </c>
      <c r="E742" s="2" t="s">
        <v>38</v>
      </c>
      <c r="F742" s="2" t="s">
        <v>182</v>
      </c>
      <c r="G742" s="2" t="s">
        <v>186</v>
      </c>
      <c r="H742" s="57" t="str">
        <f>Table1[[#This Row],[Tabela]]&amp;Table1[[#This Row],[Campo]]</f>
        <v>modesg_param_sfcs_taxon_europeiackprodmi</v>
      </c>
      <c r="I742" s="3" t="s">
        <v>614</v>
      </c>
      <c r="J742" s="55">
        <f>VLOOKUP(Table1[[#This Row],[Status]],Auxiliar!$B$16:$C$24,2,0)</f>
        <v>1</v>
      </c>
      <c r="K742" s="2" t="s">
        <v>1255</v>
      </c>
      <c r="L742" s="29" t="s">
        <v>1258</v>
      </c>
      <c r="M742" s="21" t="s">
        <v>1259</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7" customHeight="1" x14ac:dyDescent="0.25">
      <c r="B743" s="2" t="s">
        <v>26</v>
      </c>
      <c r="C743" s="2" t="s">
        <v>181</v>
      </c>
      <c r="D743" s="2" t="s">
        <v>1295</v>
      </c>
      <c r="E743" s="2" t="s">
        <v>38</v>
      </c>
      <c r="F743" s="2" t="s">
        <v>182</v>
      </c>
      <c r="G743" s="2" t="s">
        <v>187</v>
      </c>
      <c r="H743" s="57" t="str">
        <f>Table1[[#This Row],[Tabela]]&amp;Table1[[#This Row],[Campo]]</f>
        <v>modesg_param_sfcs_taxon_europeiacmetanseg</v>
      </c>
      <c r="I743" s="3" t="s">
        <v>614</v>
      </c>
      <c r="J743" s="55">
        <f>VLOOKUP(Table1[[#This Row],[Status]],Auxiliar!$B$16:$C$24,2,0)</f>
        <v>1</v>
      </c>
      <c r="K743" s="2" t="s">
        <v>1263</v>
      </c>
      <c r="L743" s="29" t="s">
        <v>1258</v>
      </c>
      <c r="M743" s="21" t="s">
        <v>1259</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7" customHeight="1" x14ac:dyDescent="0.25">
      <c r="B744" s="2" t="s">
        <v>26</v>
      </c>
      <c r="C744" s="2" t="s">
        <v>181</v>
      </c>
      <c r="D744" s="2" t="s">
        <v>1295</v>
      </c>
      <c r="E744" s="2" t="s">
        <v>38</v>
      </c>
      <c r="F744" s="2" t="s">
        <v>182</v>
      </c>
      <c r="G744" s="2" t="s">
        <v>187</v>
      </c>
      <c r="H744" s="57" t="str">
        <f>Table1[[#This Row],[Tabela]]&amp;Table1[[#This Row],[Campo]]</f>
        <v>modesg_param_sfcs_taxon_europeiacmetanseg</v>
      </c>
      <c r="I744" s="3" t="s">
        <v>614</v>
      </c>
      <c r="J744" s="55">
        <f>VLOOKUP(Table1[[#This Row],[Status]],Auxiliar!$B$16:$C$24,2,0)</f>
        <v>1</v>
      </c>
      <c r="K744" s="2" t="s">
        <v>1255</v>
      </c>
      <c r="L744" s="29" t="s">
        <v>1258</v>
      </c>
      <c r="M744" s="21" t="s">
        <v>1259</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7" customHeight="1" x14ac:dyDescent="0.25">
      <c r="B745" s="2" t="s">
        <v>26</v>
      </c>
      <c r="C745" s="2" t="s">
        <v>181</v>
      </c>
      <c r="D745" s="2" t="s">
        <v>1295</v>
      </c>
      <c r="E745" s="2" t="s">
        <v>38</v>
      </c>
      <c r="F745" s="2" t="s">
        <v>182</v>
      </c>
      <c r="G745" s="2" t="s">
        <v>188</v>
      </c>
      <c r="H745" s="57" t="str">
        <f>Table1[[#This Row],[Tabela]]&amp;Table1[[#This Row],[Campo]]</f>
        <v>modesg_param_sfcs_taxon_europeiacnsm_co2</v>
      </c>
      <c r="I745" s="3" t="s">
        <v>614</v>
      </c>
      <c r="J745" s="55">
        <f>VLOOKUP(Table1[[#This Row],[Status]],Auxiliar!$B$16:$C$24,2,0)</f>
        <v>1</v>
      </c>
      <c r="K745" s="2" t="s">
        <v>1263</v>
      </c>
      <c r="L745" s="29" t="s">
        <v>1258</v>
      </c>
      <c r="M745" s="21" t="s">
        <v>1259</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7" customHeight="1" x14ac:dyDescent="0.25">
      <c r="B746" s="2" t="s">
        <v>26</v>
      </c>
      <c r="C746" s="2" t="s">
        <v>181</v>
      </c>
      <c r="D746" s="2" t="s">
        <v>1295</v>
      </c>
      <c r="E746" s="2" t="s">
        <v>38</v>
      </c>
      <c r="F746" s="2" t="s">
        <v>182</v>
      </c>
      <c r="G746" s="2" t="s">
        <v>188</v>
      </c>
      <c r="H746" s="57" t="str">
        <f>Table1[[#This Row],[Tabela]]&amp;Table1[[#This Row],[Campo]]</f>
        <v>modesg_param_sfcs_taxon_europeiacnsm_co2</v>
      </c>
      <c r="I746" s="3" t="s">
        <v>614</v>
      </c>
      <c r="J746" s="55">
        <f>VLOOKUP(Table1[[#This Row],[Status]],Auxiliar!$B$16:$C$24,2,0)</f>
        <v>1</v>
      </c>
      <c r="K746" s="2" t="s">
        <v>1255</v>
      </c>
      <c r="L746" s="29" t="s">
        <v>1258</v>
      </c>
      <c r="M746" s="21" t="s">
        <v>1259</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7" customHeight="1" x14ac:dyDescent="0.25">
      <c r="B747" s="2" t="s">
        <v>26</v>
      </c>
      <c r="C747" s="2" t="s">
        <v>181</v>
      </c>
      <c r="D747" s="2" t="s">
        <v>1295</v>
      </c>
      <c r="E747" s="2" t="s">
        <v>38</v>
      </c>
      <c r="F747" s="2" t="s">
        <v>182</v>
      </c>
      <c r="G747" s="2" t="s">
        <v>189</v>
      </c>
      <c r="H747" s="57" t="str">
        <f>Table1[[#This Row],[Tabela]]&amp;Table1[[#This Row],[Campo]]</f>
        <v>modesg_param_sfcs_taxon_europeiacnumecta</v>
      </c>
      <c r="I747" s="3" t="s">
        <v>614</v>
      </c>
      <c r="J747" s="55">
        <f>VLOOKUP(Table1[[#This Row],[Status]],Auxiliar!$B$16:$C$24,2,0)</f>
        <v>1</v>
      </c>
      <c r="K747" s="2" t="s">
        <v>1263</v>
      </c>
      <c r="L747" s="29" t="s">
        <v>1258</v>
      </c>
      <c r="M747" s="21" t="s">
        <v>1259</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7" customHeight="1" x14ac:dyDescent="0.25">
      <c r="B748" s="2" t="s">
        <v>26</v>
      </c>
      <c r="C748" s="2" t="s">
        <v>181</v>
      </c>
      <c r="D748" s="2" t="s">
        <v>1295</v>
      </c>
      <c r="E748" s="2" t="s">
        <v>38</v>
      </c>
      <c r="F748" s="2" t="s">
        <v>182</v>
      </c>
      <c r="G748" s="2" t="s">
        <v>189</v>
      </c>
      <c r="H748" s="57" t="str">
        <f>Table1[[#This Row],[Tabela]]&amp;Table1[[#This Row],[Campo]]</f>
        <v>modesg_param_sfcs_taxon_europeiacnumecta</v>
      </c>
      <c r="I748" s="3" t="s">
        <v>614</v>
      </c>
      <c r="J748" s="55">
        <f>VLOOKUP(Table1[[#This Row],[Status]],Auxiliar!$B$16:$C$24,2,0)</f>
        <v>1</v>
      </c>
      <c r="K748" s="2" t="s">
        <v>1255</v>
      </c>
      <c r="L748" s="29" t="s">
        <v>1258</v>
      </c>
      <c r="M748" s="21" t="s">
        <v>1259</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7" customHeight="1" x14ac:dyDescent="0.25">
      <c r="B749" s="2" t="s">
        <v>26</v>
      </c>
      <c r="C749" s="2" t="s">
        <v>181</v>
      </c>
      <c r="D749" s="2" t="s">
        <v>1295</v>
      </c>
      <c r="E749" s="2" t="s">
        <v>38</v>
      </c>
      <c r="F749" s="2" t="s">
        <v>182</v>
      </c>
      <c r="G749" s="2" t="s">
        <v>190</v>
      </c>
      <c r="H749" s="57" t="str">
        <f>Table1[[#This Row],[Tabela]]&amp;Table1[[#This Row],[Campo]]</f>
        <v>modesg_param_sfcs_taxon_europeiacod_lease</v>
      </c>
      <c r="I749" s="3" t="s">
        <v>614</v>
      </c>
      <c r="J749" s="55">
        <f>VLOOKUP(Table1[[#This Row],[Status]],Auxiliar!$B$16:$C$24,2,0)</f>
        <v>1</v>
      </c>
      <c r="K749" s="2" t="s">
        <v>1263</v>
      </c>
      <c r="L749" s="29" t="s">
        <v>1258</v>
      </c>
      <c r="M749" s="21" t="s">
        <v>1259</v>
      </c>
      <c r="N749" s="48">
        <v>45485</v>
      </c>
      <c r="O749" s="21">
        <f>INDEX(Auxiliar!$D$5:$F$13,MATCH(Table1[[#This Row],[Tipologia_Testes]],Auxiliar!$B$5:$B$13,0),MATCH(Table1[[#This Row],[Complexidade]],Auxiliar!$D$4:$F$4,0))</f>
        <v>0.5</v>
      </c>
      <c r="P749" s="2"/>
      <c r="Q749" s="2"/>
      <c r="R749" s="152">
        <v>45261</v>
      </c>
      <c r="S749" s="152"/>
      <c r="T749" s="152"/>
      <c r="U749" s="152">
        <v>45603</v>
      </c>
      <c r="V749" s="152"/>
      <c r="W749" s="2">
        <f>VLOOKUP(Table1[[#This Row],[Status]],Auxiliar!$B$16:$D$24,3,0)*Table1[[#This Row],[Estimação (horas)]]</f>
        <v>0.5</v>
      </c>
      <c r="X749" s="2"/>
    </row>
    <row r="750" spans="2:24" ht="17.7" customHeight="1" x14ac:dyDescent="0.25">
      <c r="B750" s="2" t="s">
        <v>26</v>
      </c>
      <c r="C750" s="2" t="s">
        <v>181</v>
      </c>
      <c r="D750" s="2" t="s">
        <v>1295</v>
      </c>
      <c r="E750" s="2" t="s">
        <v>38</v>
      </c>
      <c r="F750" s="2" t="s">
        <v>182</v>
      </c>
      <c r="G750" s="2" t="s">
        <v>190</v>
      </c>
      <c r="H750" s="57" t="str">
        <f>Table1[[#This Row],[Tabela]]&amp;Table1[[#This Row],[Campo]]</f>
        <v>modesg_param_sfcs_taxon_europeiacod_lease</v>
      </c>
      <c r="I750" s="3" t="s">
        <v>614</v>
      </c>
      <c r="J750" s="55">
        <f>VLOOKUP(Table1[[#This Row],[Status]],Auxiliar!$B$16:$C$24,2,0)</f>
        <v>1</v>
      </c>
      <c r="K750" s="2" t="s">
        <v>1255</v>
      </c>
      <c r="L750" s="29" t="s">
        <v>1258</v>
      </c>
      <c r="M750" s="21" t="s">
        <v>1259</v>
      </c>
      <c r="N750" s="48">
        <v>45485</v>
      </c>
      <c r="O750" s="21">
        <f>INDEX(Auxiliar!$D$5:$F$13,MATCH(Table1[[#This Row],[Tipologia_Testes]],Auxiliar!$B$5:$B$13,0),MATCH(Table1[[#This Row],[Complexidade]],Auxiliar!$D$4:$F$4,0))</f>
        <v>0.1</v>
      </c>
      <c r="P750" s="2"/>
      <c r="Q750" s="2"/>
      <c r="R750" s="152">
        <v>45261</v>
      </c>
      <c r="S750" s="152"/>
      <c r="T750" s="152"/>
      <c r="U750" s="152">
        <v>45603</v>
      </c>
      <c r="V750" s="152"/>
      <c r="W750" s="2">
        <f>VLOOKUP(Table1[[#This Row],[Status]],Auxiliar!$B$16:$D$24,3,0)*Table1[[#This Row],[Estimação (horas)]]</f>
        <v>0.1</v>
      </c>
      <c r="X750" s="2"/>
    </row>
    <row r="751" spans="2:24" ht="17.7" customHeight="1" x14ac:dyDescent="0.25">
      <c r="B751" s="2" t="s">
        <v>26</v>
      </c>
      <c r="C751" s="2" t="s">
        <v>181</v>
      </c>
      <c r="D751" s="2" t="s">
        <v>1295</v>
      </c>
      <c r="E751" s="2" t="s">
        <v>38</v>
      </c>
      <c r="F751" s="2" t="s">
        <v>182</v>
      </c>
      <c r="G751" s="2" t="s">
        <v>191</v>
      </c>
      <c r="H751" s="57" t="str">
        <f>Table1[[#This Row],[Tabela]]&amp;Table1[[#This Row],[Campo]]</f>
        <v>modesg_param_sfcs_taxon_europeiacod_regra</v>
      </c>
      <c r="I751" s="2" t="s">
        <v>614</v>
      </c>
      <c r="J751" s="43">
        <f>VLOOKUP(Table1[[#This Row],[Status]],Auxiliar!$B$16:$C$24,2,0)</f>
        <v>1</v>
      </c>
      <c r="K751" s="2" t="s">
        <v>1263</v>
      </c>
      <c r="L751" s="29" t="s">
        <v>1250</v>
      </c>
      <c r="M751" s="21" t="s">
        <v>1259</v>
      </c>
      <c r="N751" s="48">
        <v>45611</v>
      </c>
      <c r="O751" s="21">
        <f>INDEX(Auxiliar!$D$5:$F$13,MATCH(Table1[[#This Row],[Tipologia_Testes]],Auxiliar!$B$5:$B$13,0),MATCH(Table1[[#This Row],[Complexidade]],Auxiliar!$D$4:$F$4,0))</f>
        <v>0.5</v>
      </c>
      <c r="P751" s="2" t="s">
        <v>1298</v>
      </c>
      <c r="Q751" s="2"/>
      <c r="R751" s="152">
        <v>45563</v>
      </c>
      <c r="S751" s="152"/>
      <c r="T751" s="152">
        <v>45563</v>
      </c>
      <c r="U751" s="152">
        <v>45603</v>
      </c>
      <c r="V751" s="152">
        <v>45604</v>
      </c>
      <c r="W751" s="2">
        <f>VLOOKUP(Table1[[#This Row],[Status]],Auxiliar!$B$16:$D$24,3,0)*Table1[[#This Row],[Estimação (horas)]]</f>
        <v>0.5</v>
      </c>
      <c r="X751" s="2"/>
    </row>
    <row r="752" spans="2:24" ht="17.7" customHeight="1" x14ac:dyDescent="0.25">
      <c r="B752" s="2" t="s">
        <v>26</v>
      </c>
      <c r="C752" s="2" t="s">
        <v>181</v>
      </c>
      <c r="D752" s="2" t="s">
        <v>1295</v>
      </c>
      <c r="E752" s="2" t="s">
        <v>38</v>
      </c>
      <c r="F752" s="2" t="s">
        <v>182</v>
      </c>
      <c r="G752" s="2" t="s">
        <v>191</v>
      </c>
      <c r="H752" s="57" t="str">
        <f>Table1[[#This Row],[Tabela]]&amp;Table1[[#This Row],[Campo]]</f>
        <v>modesg_param_sfcs_taxon_europeiacod_regra</v>
      </c>
      <c r="I752" s="2" t="s">
        <v>614</v>
      </c>
      <c r="J752" s="43">
        <f>VLOOKUP(Table1[[#This Row],[Status]],Auxiliar!$B$16:$C$24,2,0)</f>
        <v>1</v>
      </c>
      <c r="K752" s="2" t="s">
        <v>1255</v>
      </c>
      <c r="L752" s="29" t="s">
        <v>1250</v>
      </c>
      <c r="M752" s="21" t="s">
        <v>1259</v>
      </c>
      <c r="N752" s="48">
        <v>45611</v>
      </c>
      <c r="O752" s="21">
        <f>INDEX(Auxiliar!$D$5:$F$13,MATCH(Table1[[#This Row],[Tipologia_Testes]],Auxiliar!$B$5:$B$13,0),MATCH(Table1[[#This Row],[Complexidade]],Auxiliar!$D$4:$F$4,0))</f>
        <v>0.1</v>
      </c>
      <c r="P752" s="2"/>
      <c r="Q752" s="2"/>
      <c r="R752" s="152">
        <v>45563</v>
      </c>
      <c r="S752" s="152"/>
      <c r="T752" s="152">
        <v>45563</v>
      </c>
      <c r="U752" s="152">
        <v>45603</v>
      </c>
      <c r="V752" s="152">
        <v>45604</v>
      </c>
      <c r="W752" s="2">
        <f>VLOOKUP(Table1[[#This Row],[Status]],Auxiliar!$B$16:$D$24,3,0)*Table1[[#This Row],[Estimação (horas)]]</f>
        <v>0.1</v>
      </c>
      <c r="X752" s="2"/>
    </row>
    <row r="753" spans="2:24" ht="17.7" customHeight="1" x14ac:dyDescent="0.25">
      <c r="B753" s="2" t="s">
        <v>26</v>
      </c>
      <c r="C753" s="2" t="s">
        <v>181</v>
      </c>
      <c r="D753" s="2" t="s">
        <v>1295</v>
      </c>
      <c r="E753" s="2" t="s">
        <v>38</v>
      </c>
      <c r="F753" s="2" t="s">
        <v>182</v>
      </c>
      <c r="G753" s="2" t="s">
        <v>192</v>
      </c>
      <c r="H753" s="57" t="str">
        <f>Table1[[#This Row],[Tabela]]&amp;Table1[[#This Row],[Campo]]</f>
        <v>modesg_param_sfcs_taxon_europeiacomite</v>
      </c>
      <c r="I753" s="2" t="s">
        <v>614</v>
      </c>
      <c r="J753" s="43">
        <f>VLOOKUP(Table1[[#This Row],[Status]],Auxiliar!$B$16:$C$24,2,0)</f>
        <v>1</v>
      </c>
      <c r="K753" s="2" t="s">
        <v>1263</v>
      </c>
      <c r="L753" s="29" t="s">
        <v>1258</v>
      </c>
      <c r="M753" s="21" t="s">
        <v>1259</v>
      </c>
      <c r="N753" s="48">
        <v>45611</v>
      </c>
      <c r="O753" s="21">
        <f>INDEX(Auxiliar!$D$5:$F$13,MATCH(Table1[[#This Row],[Tipologia_Testes]],Auxiliar!$B$5:$B$13,0),MATCH(Table1[[#This Row],[Complexidade]],Auxiliar!$D$4:$F$4,0))</f>
        <v>0.5</v>
      </c>
      <c r="P753" s="2"/>
      <c r="Q753" s="2"/>
      <c r="R753" s="152">
        <v>45563</v>
      </c>
      <c r="S753" s="152"/>
      <c r="T753" s="152">
        <v>45563</v>
      </c>
      <c r="U753" s="152">
        <v>45603</v>
      </c>
      <c r="V753" s="152">
        <v>45604</v>
      </c>
      <c r="W753" s="2">
        <f>VLOOKUP(Table1[[#This Row],[Status]],Auxiliar!$B$16:$D$24,3,0)*Table1[[#This Row],[Estimação (horas)]]</f>
        <v>0.5</v>
      </c>
      <c r="X753" s="2"/>
    </row>
    <row r="754" spans="2:24" ht="17.7" customHeight="1" x14ac:dyDescent="0.25">
      <c r="B754" s="2" t="s">
        <v>26</v>
      </c>
      <c r="C754" s="2" t="s">
        <v>181</v>
      </c>
      <c r="D754" s="2" t="s">
        <v>1295</v>
      </c>
      <c r="E754" s="2" t="s">
        <v>38</v>
      </c>
      <c r="F754" s="2" t="s">
        <v>182</v>
      </c>
      <c r="G754" s="2" t="s">
        <v>192</v>
      </c>
      <c r="H754" s="57" t="str">
        <f>Table1[[#This Row],[Tabela]]&amp;Table1[[#This Row],[Campo]]</f>
        <v>modesg_param_sfcs_taxon_europeiacomite</v>
      </c>
      <c r="I754" s="2" t="s">
        <v>614</v>
      </c>
      <c r="J754" s="43">
        <f>VLOOKUP(Table1[[#This Row],[Status]],Auxiliar!$B$16:$C$24,2,0)</f>
        <v>1</v>
      </c>
      <c r="K754" s="2" t="s">
        <v>1255</v>
      </c>
      <c r="L754" s="29" t="s">
        <v>1258</v>
      </c>
      <c r="M754" s="21" t="s">
        <v>1259</v>
      </c>
      <c r="N754" s="48">
        <v>45611</v>
      </c>
      <c r="O754" s="21">
        <f>INDEX(Auxiliar!$D$5:$F$13,MATCH(Table1[[#This Row],[Tipologia_Testes]],Auxiliar!$B$5:$B$13,0),MATCH(Table1[[#This Row],[Complexidade]],Auxiliar!$D$4:$F$4,0))</f>
        <v>0.1</v>
      </c>
      <c r="P754" s="2"/>
      <c r="Q754" s="2"/>
      <c r="R754" s="152">
        <v>45563</v>
      </c>
      <c r="S754" s="152"/>
      <c r="T754" s="152">
        <v>45563</v>
      </c>
      <c r="U754" s="152">
        <v>45603</v>
      </c>
      <c r="V754" s="152">
        <v>45604</v>
      </c>
      <c r="W754" s="2">
        <f>VLOOKUP(Table1[[#This Row],[Status]],Auxiliar!$B$16:$D$24,3,0)*Table1[[#This Row],[Estimação (horas)]]</f>
        <v>0.1</v>
      </c>
      <c r="X754" s="2"/>
    </row>
    <row r="755" spans="2:24" ht="17.7" customHeight="1" x14ac:dyDescent="0.25">
      <c r="B755" s="2" t="s">
        <v>26</v>
      </c>
      <c r="C755" s="2" t="s">
        <v>181</v>
      </c>
      <c r="D755" s="2" t="s">
        <v>1295</v>
      </c>
      <c r="E755" s="2" t="s">
        <v>38</v>
      </c>
      <c r="F755" s="2" t="s">
        <v>182</v>
      </c>
      <c r="G755" s="2" t="s">
        <v>193</v>
      </c>
      <c r="H755" s="57" t="str">
        <f>Table1[[#This Row],[Tabela]]&amp;Table1[[#This Row],[Campo]]</f>
        <v>modesg_param_sfcs_taxon_europeiadata_aprvc</v>
      </c>
      <c r="I755" s="2" t="s">
        <v>614</v>
      </c>
      <c r="J755" s="43">
        <f>VLOOKUP(Table1[[#This Row],[Status]],Auxiliar!$B$16:$C$24,2,0)</f>
        <v>1</v>
      </c>
      <c r="K755" s="2" t="s">
        <v>1263</v>
      </c>
      <c r="L755" s="29" t="s">
        <v>1258</v>
      </c>
      <c r="M755" s="21" t="s">
        <v>1259</v>
      </c>
      <c r="N755" s="48">
        <v>45611</v>
      </c>
      <c r="O755" s="21">
        <f>INDEX(Auxiliar!$D$5:$F$13,MATCH(Table1[[#This Row],[Tipologia_Testes]],Auxiliar!$B$5:$B$13,0),MATCH(Table1[[#This Row],[Complexidade]],Auxiliar!$D$4:$F$4,0))</f>
        <v>0.5</v>
      </c>
      <c r="P755" s="2"/>
      <c r="Q755" s="2"/>
      <c r="R755" s="152">
        <v>45563</v>
      </c>
      <c r="S755" s="152"/>
      <c r="T755" s="152">
        <v>45563</v>
      </c>
      <c r="U755" s="152">
        <v>45603</v>
      </c>
      <c r="V755" s="152">
        <v>45604</v>
      </c>
      <c r="W755" s="2">
        <f>VLOOKUP(Table1[[#This Row],[Status]],Auxiliar!$B$16:$D$24,3,0)*Table1[[#This Row],[Estimação (horas)]]</f>
        <v>0.5</v>
      </c>
      <c r="X755" s="2"/>
    </row>
    <row r="756" spans="2:24" ht="17.7" customHeight="1" x14ac:dyDescent="0.25">
      <c r="B756" s="2" t="s">
        <v>26</v>
      </c>
      <c r="C756" s="2" t="s">
        <v>181</v>
      </c>
      <c r="D756" s="2" t="s">
        <v>1295</v>
      </c>
      <c r="E756" s="2" t="s">
        <v>38</v>
      </c>
      <c r="F756" s="2" t="s">
        <v>182</v>
      </c>
      <c r="G756" s="2" t="s">
        <v>193</v>
      </c>
      <c r="H756" s="57" t="str">
        <f>Table1[[#This Row],[Tabela]]&amp;Table1[[#This Row],[Campo]]</f>
        <v>modesg_param_sfcs_taxon_europeiadata_aprvc</v>
      </c>
      <c r="I756" s="2" t="s">
        <v>614</v>
      </c>
      <c r="J756" s="43">
        <f>VLOOKUP(Table1[[#This Row],[Status]],Auxiliar!$B$16:$C$24,2,0)</f>
        <v>1</v>
      </c>
      <c r="K756" s="2" t="s">
        <v>1255</v>
      </c>
      <c r="L756" s="29" t="s">
        <v>1258</v>
      </c>
      <c r="M756" s="21" t="s">
        <v>1259</v>
      </c>
      <c r="N756" s="48">
        <v>45611</v>
      </c>
      <c r="O756" s="21">
        <f>INDEX(Auxiliar!$D$5:$F$13,MATCH(Table1[[#This Row],[Tipologia_Testes]],Auxiliar!$B$5:$B$13,0),MATCH(Table1[[#This Row],[Complexidade]],Auxiliar!$D$4:$F$4,0))</f>
        <v>0.1</v>
      </c>
      <c r="P756" s="2"/>
      <c r="Q756" s="2"/>
      <c r="R756" s="152">
        <v>45563</v>
      </c>
      <c r="S756" s="152"/>
      <c r="T756" s="152">
        <v>45563</v>
      </c>
      <c r="U756" s="152">
        <v>45603</v>
      </c>
      <c r="V756" s="152">
        <v>45604</v>
      </c>
      <c r="W756" s="2">
        <f>VLOOKUP(Table1[[#This Row],[Status]],Auxiliar!$B$16:$D$24,3,0)*Table1[[#This Row],[Estimação (horas)]]</f>
        <v>0.1</v>
      </c>
      <c r="X756" s="2"/>
    </row>
    <row r="757" spans="2:24" ht="17.7" customHeight="1" x14ac:dyDescent="0.25">
      <c r="B757" s="2" t="s">
        <v>26</v>
      </c>
      <c r="C757" s="2" t="s">
        <v>181</v>
      </c>
      <c r="D757" s="2" t="s">
        <v>1295</v>
      </c>
      <c r="E757" s="2" t="s">
        <v>38</v>
      </c>
      <c r="F757" s="2" t="s">
        <v>182</v>
      </c>
      <c r="G757" s="2" t="s">
        <v>194</v>
      </c>
      <c r="H757" s="57" t="str">
        <f>Table1[[#This Row],[Tabela]]&amp;Table1[[#This Row],[Campo]]</f>
        <v>modesg_param_sfcs_taxon_europeiadata_final</v>
      </c>
      <c r="I757" s="2" t="s">
        <v>614</v>
      </c>
      <c r="J757" s="43">
        <f>VLOOKUP(Table1[[#This Row],[Status]],Auxiliar!$B$16:$C$24,2,0)</f>
        <v>1</v>
      </c>
      <c r="K757" s="2" t="s">
        <v>1263</v>
      </c>
      <c r="L757" s="29" t="s">
        <v>1258</v>
      </c>
      <c r="M757" s="21" t="s">
        <v>1259</v>
      </c>
      <c r="N757" s="48">
        <v>45611</v>
      </c>
      <c r="O757" s="21">
        <f>INDEX(Auxiliar!$D$5:$F$13,MATCH(Table1[[#This Row],[Tipologia_Testes]],Auxiliar!$B$5:$B$13,0),MATCH(Table1[[#This Row],[Complexidade]],Auxiliar!$D$4:$F$4,0))</f>
        <v>0.5</v>
      </c>
      <c r="P757" s="2"/>
      <c r="Q757" s="2"/>
      <c r="R757" s="152">
        <v>45561</v>
      </c>
      <c r="S757" s="152"/>
      <c r="T757" s="152">
        <v>45561</v>
      </c>
      <c r="U757" s="152">
        <v>45603</v>
      </c>
      <c r="V757" s="152">
        <v>45604</v>
      </c>
      <c r="W757" s="2">
        <f>VLOOKUP(Table1[[#This Row],[Status]],Auxiliar!$B$16:$D$24,3,0)*Table1[[#This Row],[Estimação (horas)]]</f>
        <v>0.5</v>
      </c>
      <c r="X757" s="2"/>
    </row>
    <row r="758" spans="2:24" ht="17.7" customHeight="1" x14ac:dyDescent="0.25">
      <c r="B758" s="2" t="s">
        <v>26</v>
      </c>
      <c r="C758" s="2" t="s">
        <v>181</v>
      </c>
      <c r="D758" s="2" t="s">
        <v>1295</v>
      </c>
      <c r="E758" s="2" t="s">
        <v>38</v>
      </c>
      <c r="F758" s="2" t="s">
        <v>182</v>
      </c>
      <c r="G758" s="2" t="s">
        <v>194</v>
      </c>
      <c r="H758" s="57" t="str">
        <f>Table1[[#This Row],[Tabela]]&amp;Table1[[#This Row],[Campo]]</f>
        <v>modesg_param_sfcs_taxon_europeiadata_final</v>
      </c>
      <c r="I758" s="2" t="s">
        <v>614</v>
      </c>
      <c r="J758" s="43">
        <f>VLOOKUP(Table1[[#This Row],[Status]],Auxiliar!$B$16:$C$24,2,0)</f>
        <v>1</v>
      </c>
      <c r="K758" s="2" t="s">
        <v>1255</v>
      </c>
      <c r="L758" s="29" t="s">
        <v>1258</v>
      </c>
      <c r="M758" s="21" t="s">
        <v>1259</v>
      </c>
      <c r="N758" s="48">
        <v>45611</v>
      </c>
      <c r="O758" s="21">
        <f>INDEX(Auxiliar!$D$5:$F$13,MATCH(Table1[[#This Row],[Tipologia_Testes]],Auxiliar!$B$5:$B$13,0),MATCH(Table1[[#This Row],[Complexidade]],Auxiliar!$D$4:$F$4,0))</f>
        <v>0.1</v>
      </c>
      <c r="P758" s="2"/>
      <c r="Q758" s="2"/>
      <c r="R758" s="152">
        <v>45561</v>
      </c>
      <c r="S758" s="152"/>
      <c r="T758" s="152">
        <v>45561</v>
      </c>
      <c r="U758" s="152">
        <v>45603</v>
      </c>
      <c r="V758" s="152">
        <v>45604</v>
      </c>
      <c r="W758" s="2">
        <f>VLOOKUP(Table1[[#This Row],[Status]],Auxiliar!$B$16:$D$24,3,0)*Table1[[#This Row],[Estimação (horas)]]</f>
        <v>0.1</v>
      </c>
      <c r="X758" s="2"/>
    </row>
    <row r="759" spans="2:24" ht="17.7" customHeight="1" x14ac:dyDescent="0.25">
      <c r="B759" s="2" t="s">
        <v>26</v>
      </c>
      <c r="C759" s="2" t="s">
        <v>181</v>
      </c>
      <c r="D759" s="2" t="s">
        <v>1295</v>
      </c>
      <c r="E759" s="2" t="s">
        <v>38</v>
      </c>
      <c r="F759" s="2" t="s">
        <v>182</v>
      </c>
      <c r="G759" s="2" t="s">
        <v>195</v>
      </c>
      <c r="H759" s="57" t="str">
        <f>Table1[[#This Row],[Tabela]]&amp;Table1[[#This Row],[Campo]]</f>
        <v>modesg_param_sfcs_taxon_europeiadata_inicial</v>
      </c>
      <c r="I759" s="2" t="s">
        <v>614</v>
      </c>
      <c r="J759" s="43">
        <f>VLOOKUP(Table1[[#This Row],[Status]],Auxiliar!$B$16:$C$24,2,0)</f>
        <v>1</v>
      </c>
      <c r="K759" s="2" t="s">
        <v>1263</v>
      </c>
      <c r="L759" s="29" t="s">
        <v>1258</v>
      </c>
      <c r="M759" s="21" t="s">
        <v>1259</v>
      </c>
      <c r="N759" s="48">
        <v>45611</v>
      </c>
      <c r="O759" s="21">
        <f>INDEX(Auxiliar!$D$5:$F$13,MATCH(Table1[[#This Row],[Tipologia_Testes]],Auxiliar!$B$5:$B$13,0),MATCH(Table1[[#This Row],[Complexidade]],Auxiliar!$D$4:$F$4,0))</f>
        <v>0.5</v>
      </c>
      <c r="P759" s="2"/>
      <c r="Q759" s="2"/>
      <c r="R759" s="152">
        <v>45561</v>
      </c>
      <c r="S759" s="152"/>
      <c r="T759" s="152">
        <v>45561</v>
      </c>
      <c r="U759" s="152">
        <v>45603</v>
      </c>
      <c r="V759" s="152">
        <v>45604</v>
      </c>
      <c r="W759" s="2">
        <f>VLOOKUP(Table1[[#This Row],[Status]],Auxiliar!$B$16:$D$24,3,0)*Table1[[#This Row],[Estimação (horas)]]</f>
        <v>0.5</v>
      </c>
      <c r="X759" s="2"/>
    </row>
    <row r="760" spans="2:24" ht="17.7" customHeight="1" x14ac:dyDescent="0.25">
      <c r="B760" s="2" t="s">
        <v>26</v>
      </c>
      <c r="C760" s="2" t="s">
        <v>181</v>
      </c>
      <c r="D760" s="2" t="s">
        <v>1295</v>
      </c>
      <c r="E760" s="2" t="s">
        <v>38</v>
      </c>
      <c r="F760" s="2" t="s">
        <v>182</v>
      </c>
      <c r="G760" s="2" t="s">
        <v>195</v>
      </c>
      <c r="H760" s="57" t="str">
        <f>Table1[[#This Row],[Tabela]]&amp;Table1[[#This Row],[Campo]]</f>
        <v>modesg_param_sfcs_taxon_europeiadata_inicial</v>
      </c>
      <c r="I760" s="2" t="s">
        <v>614</v>
      </c>
      <c r="J760" s="43">
        <f>VLOOKUP(Table1[[#This Row],[Status]],Auxiliar!$B$16:$C$24,2,0)</f>
        <v>1</v>
      </c>
      <c r="K760" s="2" t="s">
        <v>1255</v>
      </c>
      <c r="L760" s="29" t="s">
        <v>1258</v>
      </c>
      <c r="M760" s="21" t="s">
        <v>1259</v>
      </c>
      <c r="N760" s="48">
        <v>45611</v>
      </c>
      <c r="O760" s="21">
        <f>INDEX(Auxiliar!$D$5:$F$13,MATCH(Table1[[#This Row],[Tipologia_Testes]],Auxiliar!$B$5:$B$13,0),MATCH(Table1[[#This Row],[Complexidade]],Auxiliar!$D$4:$F$4,0))</f>
        <v>0.1</v>
      </c>
      <c r="P760" s="2"/>
      <c r="Q760" s="2"/>
      <c r="R760" s="152">
        <v>45561</v>
      </c>
      <c r="S760" s="152"/>
      <c r="T760" s="152">
        <v>45561</v>
      </c>
      <c r="U760" s="152">
        <v>45603</v>
      </c>
      <c r="V760" s="152">
        <v>45604</v>
      </c>
      <c r="W760" s="2">
        <f>VLOOKUP(Table1[[#This Row],[Status]],Auxiliar!$B$16:$D$24,3,0)*Table1[[#This Row],[Estimação (horas)]]</f>
        <v>0.1</v>
      </c>
      <c r="X760" s="2"/>
    </row>
    <row r="761" spans="2:24" ht="17.7" customHeight="1" x14ac:dyDescent="0.25">
      <c r="B761" s="2" t="s">
        <v>26</v>
      </c>
      <c r="C761" s="2" t="s">
        <v>181</v>
      </c>
      <c r="D761" s="2" t="s">
        <v>1295</v>
      </c>
      <c r="E761" s="2" t="s">
        <v>38</v>
      </c>
      <c r="F761" s="2" t="s">
        <v>182</v>
      </c>
      <c r="G761" s="2" t="s">
        <v>196</v>
      </c>
      <c r="H761" s="57" t="str">
        <f>Table1[[#This Row],[Tabela]]&amp;Table1[[#This Row],[Campo]]</f>
        <v>modesg_param_sfcs_taxon_europeiadominio</v>
      </c>
      <c r="I761" s="3" t="s">
        <v>614</v>
      </c>
      <c r="J761" s="55">
        <f>VLOOKUP(Table1[[#This Row],[Status]],Auxiliar!$B$16:$C$24,2,0)</f>
        <v>1</v>
      </c>
      <c r="K761" s="2" t="s">
        <v>1263</v>
      </c>
      <c r="L761" s="29" t="s">
        <v>1258</v>
      </c>
      <c r="M761" s="21" t="s">
        <v>1259</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7" customHeight="1" x14ac:dyDescent="0.25">
      <c r="B762" s="2" t="s">
        <v>26</v>
      </c>
      <c r="C762" s="2" t="s">
        <v>181</v>
      </c>
      <c r="D762" s="2" t="s">
        <v>1295</v>
      </c>
      <c r="E762" s="2" t="s">
        <v>38</v>
      </c>
      <c r="F762" s="2" t="s">
        <v>182</v>
      </c>
      <c r="G762" s="2" t="s">
        <v>196</v>
      </c>
      <c r="H762" s="57" t="str">
        <f>Table1[[#This Row],[Tabela]]&amp;Table1[[#This Row],[Campo]]</f>
        <v>modesg_param_sfcs_taxon_europeiadominio</v>
      </c>
      <c r="I762" s="3" t="s">
        <v>614</v>
      </c>
      <c r="J762" s="55">
        <f>VLOOKUP(Table1[[#This Row],[Status]],Auxiliar!$B$16:$C$24,2,0)</f>
        <v>1</v>
      </c>
      <c r="K762" s="2" t="s">
        <v>1255</v>
      </c>
      <c r="L762" s="29" t="s">
        <v>1258</v>
      </c>
      <c r="M762" s="21" t="s">
        <v>1259</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7" customHeight="1" x14ac:dyDescent="0.25">
      <c r="B763" s="2" t="s">
        <v>26</v>
      </c>
      <c r="C763" s="2" t="s">
        <v>181</v>
      </c>
      <c r="D763" s="2" t="s">
        <v>1295</v>
      </c>
      <c r="E763" s="2" t="s">
        <v>38</v>
      </c>
      <c r="F763" s="2" t="s">
        <v>182</v>
      </c>
      <c r="G763" s="2" t="s">
        <v>197</v>
      </c>
      <c r="H763" s="57" t="str">
        <f>Table1[[#This Row],[Tabela]]&amp;Table1[[#This Row],[Campo]]</f>
        <v>modesg_param_sfcs_taxon_europeiadscrc</v>
      </c>
      <c r="I763" s="3" t="s">
        <v>614</v>
      </c>
      <c r="J763" s="55">
        <f>VLOOKUP(Table1[[#This Row],[Status]],Auxiliar!$B$16:$C$24,2,0)</f>
        <v>1</v>
      </c>
      <c r="K763" s="2" t="s">
        <v>1263</v>
      </c>
      <c r="L763" s="29" t="s">
        <v>1258</v>
      </c>
      <c r="M763" s="21" t="s">
        <v>1259</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7" customHeight="1" x14ac:dyDescent="0.25">
      <c r="B764" s="2" t="s">
        <v>26</v>
      </c>
      <c r="C764" s="2" t="s">
        <v>181</v>
      </c>
      <c r="D764" s="2" t="s">
        <v>1295</v>
      </c>
      <c r="E764" s="2" t="s">
        <v>38</v>
      </c>
      <c r="F764" s="2" t="s">
        <v>182</v>
      </c>
      <c r="G764" s="2" t="s">
        <v>197</v>
      </c>
      <c r="H764" s="57" t="str">
        <f>Table1[[#This Row],[Tabela]]&amp;Table1[[#This Row],[Campo]]</f>
        <v>modesg_param_sfcs_taxon_europeiadscrc</v>
      </c>
      <c r="I764" s="3" t="s">
        <v>614</v>
      </c>
      <c r="J764" s="55">
        <f>VLOOKUP(Table1[[#This Row],[Status]],Auxiliar!$B$16:$C$24,2,0)</f>
        <v>1</v>
      </c>
      <c r="K764" s="2" t="s">
        <v>1255</v>
      </c>
      <c r="L764" s="29" t="s">
        <v>1258</v>
      </c>
      <c r="M764" s="21" t="s">
        <v>1259</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7" customHeight="1" x14ac:dyDescent="0.25">
      <c r="B765" s="2" t="s">
        <v>26</v>
      </c>
      <c r="C765" s="2" t="s">
        <v>181</v>
      </c>
      <c r="D765" s="2" t="s">
        <v>1295</v>
      </c>
      <c r="E765" s="2" t="s">
        <v>38</v>
      </c>
      <c r="F765" s="2" t="s">
        <v>182</v>
      </c>
      <c r="G765" s="2" t="s">
        <v>198</v>
      </c>
      <c r="H765" s="57" t="str">
        <f>Table1[[#This Row],[Tabela]]&amp;Table1[[#This Row],[Campo]]</f>
        <v>modesg_param_sfcs_taxon_europeiaepc</v>
      </c>
      <c r="I765" s="3" t="s">
        <v>614</v>
      </c>
      <c r="J765" s="55">
        <f>VLOOKUP(Table1[[#This Row],[Status]],Auxiliar!$B$16:$C$24,2,0)</f>
        <v>1</v>
      </c>
      <c r="K765" s="2" t="s">
        <v>1263</v>
      </c>
      <c r="L765" s="29" t="s">
        <v>1258</v>
      </c>
      <c r="M765" s="21" t="s">
        <v>1259</v>
      </c>
      <c r="N765" s="48">
        <v>45485</v>
      </c>
      <c r="O765" s="21">
        <f>INDEX(Auxiliar!$D$5:$F$13,MATCH(Table1[[#This Row],[Tipologia_Testes]],Auxiliar!$B$5:$B$13,0),MATCH(Table1[[#This Row],[Complexidade]],Auxiliar!$D$4:$F$4,0))</f>
        <v>0.5</v>
      </c>
      <c r="P765" s="2"/>
      <c r="Q765" s="2"/>
      <c r="R765" s="152">
        <v>45261</v>
      </c>
      <c r="S765" s="152"/>
      <c r="T765" s="152"/>
      <c r="U765" s="152">
        <v>45603</v>
      </c>
      <c r="V765" s="152"/>
      <c r="W765" s="2">
        <f>VLOOKUP(Table1[[#This Row],[Status]],Auxiliar!$B$16:$D$24,3,0)*Table1[[#This Row],[Estimação (horas)]]</f>
        <v>0.5</v>
      </c>
      <c r="X765" s="2"/>
    </row>
    <row r="766" spans="2:24" ht="17.7" customHeight="1" x14ac:dyDescent="0.25">
      <c r="B766" s="2" t="s">
        <v>26</v>
      </c>
      <c r="C766" s="2" t="s">
        <v>181</v>
      </c>
      <c r="D766" s="2" t="s">
        <v>1295</v>
      </c>
      <c r="E766" s="2" t="s">
        <v>38</v>
      </c>
      <c r="F766" s="2" t="s">
        <v>182</v>
      </c>
      <c r="G766" s="2" t="s">
        <v>198</v>
      </c>
      <c r="H766" s="57" t="str">
        <f>Table1[[#This Row],[Tabela]]&amp;Table1[[#This Row],[Campo]]</f>
        <v>modesg_param_sfcs_taxon_europeiaepc</v>
      </c>
      <c r="I766" s="3" t="s">
        <v>614</v>
      </c>
      <c r="J766" s="55">
        <f>VLOOKUP(Table1[[#This Row],[Status]],Auxiliar!$B$16:$C$24,2,0)</f>
        <v>1</v>
      </c>
      <c r="K766" s="2" t="s">
        <v>1255</v>
      </c>
      <c r="L766" s="29" t="s">
        <v>1258</v>
      </c>
      <c r="M766" s="21" t="s">
        <v>1259</v>
      </c>
      <c r="N766" s="48">
        <v>45485</v>
      </c>
      <c r="O766" s="21">
        <f>INDEX(Auxiliar!$D$5:$F$13,MATCH(Table1[[#This Row],[Tipologia_Testes]],Auxiliar!$B$5:$B$13,0),MATCH(Table1[[#This Row],[Complexidade]],Auxiliar!$D$4:$F$4,0))</f>
        <v>0.1</v>
      </c>
      <c r="P766" s="2"/>
      <c r="Q766" s="2"/>
      <c r="R766" s="152">
        <v>45261</v>
      </c>
      <c r="S766" s="152"/>
      <c r="T766" s="152"/>
      <c r="U766" s="152">
        <v>45603</v>
      </c>
      <c r="V766" s="152"/>
      <c r="W766" s="2">
        <f>VLOOKUP(Table1[[#This Row],[Status]],Auxiliar!$B$16:$D$24,3,0)*Table1[[#This Row],[Estimação (horas)]]</f>
        <v>0.1</v>
      </c>
      <c r="X766" s="2"/>
    </row>
    <row r="767" spans="2:24" ht="17.7" customHeight="1" x14ac:dyDescent="0.25">
      <c r="B767" s="2" t="s">
        <v>26</v>
      </c>
      <c r="C767" s="2" t="s">
        <v>181</v>
      </c>
      <c r="D767" s="2" t="s">
        <v>1295</v>
      </c>
      <c r="E767" s="2" t="s">
        <v>38</v>
      </c>
      <c r="F767" s="2" t="s">
        <v>182</v>
      </c>
      <c r="G767" s="2" t="s">
        <v>199</v>
      </c>
      <c r="H767" s="57" t="str">
        <f>Table1[[#This Row],[Tabela]]&amp;Table1[[#This Row],[Campo]]</f>
        <v>modesg_param_sfcs_taxon_europeiaflag_project_finance</v>
      </c>
      <c r="I767" s="2" t="s">
        <v>614</v>
      </c>
      <c r="J767" s="43">
        <f>VLOOKUP(Table1[[#This Row],[Status]],Auxiliar!$B$16:$C$24,2,0)</f>
        <v>1</v>
      </c>
      <c r="K767" s="2" t="s">
        <v>1255</v>
      </c>
      <c r="L767" s="29" t="s">
        <v>655</v>
      </c>
      <c r="M767" s="21" t="s">
        <v>1259</v>
      </c>
      <c r="N767" s="48">
        <v>45611</v>
      </c>
      <c r="O767" s="21">
        <f>INDEX(Auxiliar!$D$5:$F$13,MATCH(Table1[[#This Row],[Tipologia_Testes]],Auxiliar!$B$5:$B$13,0),MATCH(Table1[[#This Row],[Complexidade]],Auxiliar!$D$4:$F$4,0))</f>
        <v>0.1</v>
      </c>
      <c r="P767" s="2" t="s">
        <v>1299</v>
      </c>
      <c r="Q767" s="2"/>
      <c r="R767" s="152">
        <v>45563</v>
      </c>
      <c r="S767" s="152"/>
      <c r="T767" s="152">
        <v>45563</v>
      </c>
      <c r="U767" s="152">
        <v>45603</v>
      </c>
      <c r="V767" s="152">
        <v>45604</v>
      </c>
      <c r="W767" s="2">
        <f>VLOOKUP(Table1[[#This Row],[Status]],Auxiliar!$B$16:$D$24,3,0)*Table1[[#This Row],[Estimação (horas)]]</f>
        <v>0.1</v>
      </c>
      <c r="X767" s="2"/>
    </row>
    <row r="768" spans="2:24" ht="17.7" customHeight="1" x14ac:dyDescent="0.25">
      <c r="B768" s="2" t="s">
        <v>26</v>
      </c>
      <c r="C768" s="2" t="s">
        <v>181</v>
      </c>
      <c r="D768" s="2" t="s">
        <v>1295</v>
      </c>
      <c r="E768" s="2" t="s">
        <v>38</v>
      </c>
      <c r="F768" s="2" t="s">
        <v>182</v>
      </c>
      <c r="G768" s="2" t="s">
        <v>199</v>
      </c>
      <c r="H768" s="57" t="str">
        <f>Table1[[#This Row],[Tabela]]&amp;Table1[[#This Row],[Campo]]</f>
        <v>modesg_param_sfcs_taxon_europeiaflag_project_finance</v>
      </c>
      <c r="I768" s="2" t="s">
        <v>614</v>
      </c>
      <c r="J768" s="43">
        <f>VLOOKUP(Table1[[#This Row],[Status]],Auxiliar!$B$16:$C$24,2,0)</f>
        <v>1</v>
      </c>
      <c r="K768" s="2" t="s">
        <v>1263</v>
      </c>
      <c r="L768" s="29" t="s">
        <v>655</v>
      </c>
      <c r="M768" s="21" t="s">
        <v>1259</v>
      </c>
      <c r="N768" s="48">
        <v>45611</v>
      </c>
      <c r="O768" s="21">
        <f>INDEX(Auxiliar!$D$5:$F$13,MATCH(Table1[[#This Row],[Tipologia_Testes]],Auxiliar!$B$5:$B$13,0),MATCH(Table1[[#This Row],[Complexidade]],Auxiliar!$D$4:$F$4,0))</f>
        <v>0.5</v>
      </c>
      <c r="P768" s="2" t="s">
        <v>1299</v>
      </c>
      <c r="Q768" s="2"/>
      <c r="R768" s="152">
        <v>45563</v>
      </c>
      <c r="S768" s="152"/>
      <c r="T768" s="152">
        <v>45563</v>
      </c>
      <c r="U768" s="152">
        <v>45603</v>
      </c>
      <c r="V768" s="152">
        <v>45604</v>
      </c>
      <c r="W768" s="2">
        <f>VLOOKUP(Table1[[#This Row],[Status]],Auxiliar!$B$16:$D$24,3,0)*Table1[[#This Row],[Estimação (horas)]]</f>
        <v>0.5</v>
      </c>
      <c r="X768" s="2"/>
    </row>
    <row r="769" spans="2:24" ht="17.7" customHeight="1" x14ac:dyDescent="0.25">
      <c r="B769" s="2" t="s">
        <v>26</v>
      </c>
      <c r="C769" s="2" t="s">
        <v>181</v>
      </c>
      <c r="D769" s="2" t="s">
        <v>1295</v>
      </c>
      <c r="E769" s="2" t="s">
        <v>38</v>
      </c>
      <c r="F769" s="2" t="s">
        <v>182</v>
      </c>
      <c r="G769" s="2" t="s">
        <v>200</v>
      </c>
      <c r="H769" s="57" t="str">
        <f>Table1[[#This Row],[Tabela]]&amp;Table1[[#This Row],[Campo]]</f>
        <v>modesg_param_sfcs_taxon_europeiacfinalidad</v>
      </c>
      <c r="I769" s="2" t="s">
        <v>614</v>
      </c>
      <c r="J769" s="43">
        <f>VLOOKUP(Table1[[#This Row],[Status]],Auxiliar!$B$16:$C$24,2,0)</f>
        <v>1</v>
      </c>
      <c r="K769" s="2" t="s">
        <v>1255</v>
      </c>
      <c r="L769" s="29" t="s">
        <v>655</v>
      </c>
      <c r="M769" s="21" t="s">
        <v>1260</v>
      </c>
      <c r="N769" s="48">
        <v>45611</v>
      </c>
      <c r="O769" s="21">
        <f>INDEX(Auxiliar!$D$5:$F$13,MATCH(Table1[[#This Row],[Tipologia_Testes]],Auxiliar!$B$5:$B$13,0),MATCH(Table1[[#This Row],[Complexidade]],Auxiliar!$D$4:$F$4,0))</f>
        <v>0.1</v>
      </c>
      <c r="P769" s="2" t="s">
        <v>1300</v>
      </c>
      <c r="Q769" s="2"/>
      <c r="R769" s="152">
        <v>45563</v>
      </c>
      <c r="S769" s="152"/>
      <c r="T769" s="152">
        <v>45563</v>
      </c>
      <c r="U769" s="152">
        <v>45603</v>
      </c>
      <c r="V769" s="152">
        <v>45604</v>
      </c>
      <c r="W769" s="2">
        <f>VLOOKUP(Table1[[#This Row],[Status]],Auxiliar!$B$16:$D$24,3,0)*Table1[[#This Row],[Estimação (horas)]]</f>
        <v>0.1</v>
      </c>
      <c r="X769" s="2"/>
    </row>
    <row r="770" spans="2:24" ht="17.7" customHeight="1" x14ac:dyDescent="0.25">
      <c r="B770" s="2" t="s">
        <v>26</v>
      </c>
      <c r="C770" s="2" t="s">
        <v>181</v>
      </c>
      <c r="D770" s="2" t="s">
        <v>1295</v>
      </c>
      <c r="E770" s="2" t="s">
        <v>38</v>
      </c>
      <c r="F770" s="2" t="s">
        <v>182</v>
      </c>
      <c r="G770" s="2" t="s">
        <v>200</v>
      </c>
      <c r="H770" s="57" t="str">
        <f>Table1[[#This Row],[Tabela]]&amp;Table1[[#This Row],[Campo]]</f>
        <v>modesg_param_sfcs_taxon_europeiacfinalidad</v>
      </c>
      <c r="I770" s="2" t="s">
        <v>614</v>
      </c>
      <c r="J770" s="43">
        <f>VLOOKUP(Table1[[#This Row],[Status]],Auxiliar!$B$16:$C$24,2,0)</f>
        <v>1</v>
      </c>
      <c r="K770" s="2" t="s">
        <v>1263</v>
      </c>
      <c r="L770" s="29" t="s">
        <v>655</v>
      </c>
      <c r="M770" s="21" t="s">
        <v>1260</v>
      </c>
      <c r="N770" s="48">
        <v>45611</v>
      </c>
      <c r="O770" s="21">
        <f>INDEX(Auxiliar!$D$5:$F$13,MATCH(Table1[[#This Row],[Tipologia_Testes]],Auxiliar!$B$5:$B$13,0),MATCH(Table1[[#This Row],[Complexidade]],Auxiliar!$D$4:$F$4,0))</f>
        <v>0.5</v>
      </c>
      <c r="P770" s="2" t="s">
        <v>1300</v>
      </c>
      <c r="Q770" s="2"/>
      <c r="R770" s="152">
        <v>45563</v>
      </c>
      <c r="S770" s="152"/>
      <c r="T770" s="152">
        <v>45563</v>
      </c>
      <c r="U770" s="152">
        <v>45603</v>
      </c>
      <c r="V770" s="152">
        <v>45604</v>
      </c>
      <c r="W770" s="2">
        <f>VLOOKUP(Table1[[#This Row],[Status]],Auxiliar!$B$16:$D$24,3,0)*Table1[[#This Row],[Estimação (horas)]]</f>
        <v>0.5</v>
      </c>
      <c r="X770" s="2"/>
    </row>
    <row r="771" spans="2:24" ht="17.7" customHeight="1" x14ac:dyDescent="0.25">
      <c r="B771" s="2" t="s">
        <v>26</v>
      </c>
      <c r="C771" s="2" t="s">
        <v>181</v>
      </c>
      <c r="D771" s="2" t="s">
        <v>1295</v>
      </c>
      <c r="E771" s="2" t="s">
        <v>38</v>
      </c>
      <c r="F771" s="2" t="s">
        <v>182</v>
      </c>
      <c r="G771" s="2" t="s">
        <v>201</v>
      </c>
      <c r="H771" s="57" t="str">
        <f>Table1[[#This Row],[Tabela]]&amp;Table1[[#This Row],[Campo]]</f>
        <v>modesg_param_sfcs_taxon_europeiatipo_combust</v>
      </c>
      <c r="I771" s="2" t="s">
        <v>614</v>
      </c>
      <c r="J771" s="43">
        <f>VLOOKUP(Table1[[#This Row],[Status]],Auxiliar!$B$16:$C$24,2,0)</f>
        <v>1</v>
      </c>
      <c r="K771" s="2" t="s">
        <v>1263</v>
      </c>
      <c r="L771" s="29" t="s">
        <v>655</v>
      </c>
      <c r="M771" s="21" t="s">
        <v>1259</v>
      </c>
      <c r="N771" s="48">
        <v>45611</v>
      </c>
      <c r="O771" s="21">
        <f>INDEX(Auxiliar!$D$5:$F$13,MATCH(Table1[[#This Row],[Tipologia_Testes]],Auxiliar!$B$5:$B$13,0),MATCH(Table1[[#This Row],[Complexidade]],Auxiliar!$D$4:$F$4,0))</f>
        <v>0.5</v>
      </c>
      <c r="P771" s="2"/>
      <c r="Q771" s="2"/>
      <c r="R771" s="152">
        <v>45563</v>
      </c>
      <c r="S771" s="152"/>
      <c r="T771" s="152">
        <v>45563</v>
      </c>
      <c r="U771" s="152">
        <v>45603</v>
      </c>
      <c r="V771" s="152">
        <v>45604</v>
      </c>
      <c r="W771" s="2">
        <f>VLOOKUP(Table1[[#This Row],[Status]],Auxiliar!$B$16:$D$24,3,0)*Table1[[#This Row],[Estimação (horas)]]</f>
        <v>0.5</v>
      </c>
      <c r="X771" s="2"/>
    </row>
    <row r="772" spans="2:24" ht="17.7" customHeight="1" x14ac:dyDescent="0.25">
      <c r="B772" s="2" t="s">
        <v>26</v>
      </c>
      <c r="C772" s="2" t="s">
        <v>181</v>
      </c>
      <c r="D772" s="2" t="s">
        <v>1295</v>
      </c>
      <c r="E772" s="2" t="s">
        <v>38</v>
      </c>
      <c r="F772" s="2" t="s">
        <v>182</v>
      </c>
      <c r="G772" s="2" t="s">
        <v>201</v>
      </c>
      <c r="H772" s="57" t="str">
        <f>Table1[[#This Row],[Tabela]]&amp;Table1[[#This Row],[Campo]]</f>
        <v>modesg_param_sfcs_taxon_europeiatipo_combust</v>
      </c>
      <c r="I772" s="2" t="s">
        <v>614</v>
      </c>
      <c r="J772" s="43">
        <f>VLOOKUP(Table1[[#This Row],[Status]],Auxiliar!$B$16:$C$24,2,0)</f>
        <v>1</v>
      </c>
      <c r="K772" s="2" t="s">
        <v>1255</v>
      </c>
      <c r="L772" s="29" t="s">
        <v>655</v>
      </c>
      <c r="M772" s="21" t="s">
        <v>1259</v>
      </c>
      <c r="N772" s="48">
        <v>45611</v>
      </c>
      <c r="O772" s="21">
        <f>INDEX(Auxiliar!$D$5:$F$13,MATCH(Table1[[#This Row],[Tipologia_Testes]],Auxiliar!$B$5:$B$13,0),MATCH(Table1[[#This Row],[Complexidade]],Auxiliar!$D$4:$F$4,0))</f>
        <v>0.1</v>
      </c>
      <c r="P772" s="2"/>
      <c r="Q772" s="2"/>
      <c r="R772" s="152">
        <v>45563</v>
      </c>
      <c r="S772" s="152"/>
      <c r="T772" s="152">
        <v>45563</v>
      </c>
      <c r="U772" s="152">
        <v>45603</v>
      </c>
      <c r="V772" s="152">
        <v>45604</v>
      </c>
      <c r="W772" s="2">
        <f>VLOOKUP(Table1[[#This Row],[Status]],Auxiliar!$B$16:$D$24,3,0)*Table1[[#This Row],[Estimação (horas)]]</f>
        <v>0.1</v>
      </c>
      <c r="X772" s="2"/>
    </row>
    <row r="773" spans="2:24" ht="17.7" customHeight="1" x14ac:dyDescent="0.25">
      <c r="B773" s="2" t="s">
        <v>26</v>
      </c>
      <c r="C773" s="2" t="s">
        <v>181</v>
      </c>
      <c r="D773" s="2" t="s">
        <v>1295</v>
      </c>
      <c r="E773" s="2" t="s">
        <v>38</v>
      </c>
      <c r="F773" s="2" t="s">
        <v>182</v>
      </c>
      <c r="G773" s="2" t="s">
        <v>202</v>
      </c>
      <c r="H773" s="57" t="str">
        <f>Table1[[#This Row],[Tabela]]&amp;Table1[[#This Row],[Campo]]</f>
        <v>modesg_param_sfcs_taxon_europeiamontante_pndrc</v>
      </c>
      <c r="I773" s="2" t="s">
        <v>614</v>
      </c>
      <c r="J773" s="43">
        <f>VLOOKUP(Table1[[#This Row],[Status]],Auxiliar!$B$16:$C$24,2,0)</f>
        <v>1</v>
      </c>
      <c r="K773" s="2" t="s">
        <v>1263</v>
      </c>
      <c r="L773" s="29" t="s">
        <v>1258</v>
      </c>
      <c r="M773" s="21" t="s">
        <v>1259</v>
      </c>
      <c r="N773" s="48">
        <v>45611</v>
      </c>
      <c r="O773" s="21">
        <f>INDEX(Auxiliar!$D$5:$F$13,MATCH(Table1[[#This Row],[Tipologia_Testes]],Auxiliar!$B$5:$B$13,0),MATCH(Table1[[#This Row],[Complexidade]],Auxiliar!$D$4:$F$4,0))</f>
        <v>0.5</v>
      </c>
      <c r="P773" s="2"/>
      <c r="Q773" s="2"/>
      <c r="R773" s="152">
        <v>45563</v>
      </c>
      <c r="S773" s="152"/>
      <c r="T773" s="152">
        <v>45563</v>
      </c>
      <c r="U773" s="152">
        <v>45603</v>
      </c>
      <c r="V773" s="152">
        <v>45604</v>
      </c>
      <c r="W773" s="2">
        <f>VLOOKUP(Table1[[#This Row],[Status]],Auxiliar!$B$16:$D$24,3,0)*Table1[[#This Row],[Estimação (horas)]]</f>
        <v>0.5</v>
      </c>
      <c r="X773" s="2"/>
    </row>
    <row r="774" spans="2:24" ht="17.7" customHeight="1" x14ac:dyDescent="0.25">
      <c r="B774" s="2" t="s">
        <v>26</v>
      </c>
      <c r="C774" s="2" t="s">
        <v>181</v>
      </c>
      <c r="D774" s="2" t="s">
        <v>1295</v>
      </c>
      <c r="E774" s="2" t="s">
        <v>38</v>
      </c>
      <c r="F774" s="2" t="s">
        <v>182</v>
      </c>
      <c r="G774" s="2" t="s">
        <v>202</v>
      </c>
      <c r="H774" s="57" t="str">
        <f>Table1[[#This Row],[Tabela]]&amp;Table1[[#This Row],[Campo]]</f>
        <v>modesg_param_sfcs_taxon_europeiamontante_pndrc</v>
      </c>
      <c r="I774" s="2" t="s">
        <v>614</v>
      </c>
      <c r="J774" s="43">
        <f>VLOOKUP(Table1[[#This Row],[Status]],Auxiliar!$B$16:$C$24,2,0)</f>
        <v>1</v>
      </c>
      <c r="K774" s="2" t="s">
        <v>1255</v>
      </c>
      <c r="L774" s="29" t="s">
        <v>1258</v>
      </c>
      <c r="M774" s="21" t="s">
        <v>1259</v>
      </c>
      <c r="N774" s="48">
        <v>45611</v>
      </c>
      <c r="O774" s="21">
        <f>INDEX(Auxiliar!$D$5:$F$13,MATCH(Table1[[#This Row],[Tipologia_Testes]],Auxiliar!$B$5:$B$13,0),MATCH(Table1[[#This Row],[Complexidade]],Auxiliar!$D$4:$F$4,0))</f>
        <v>0.1</v>
      </c>
      <c r="P774" s="2"/>
      <c r="Q774" s="2"/>
      <c r="R774" s="152">
        <v>45563</v>
      </c>
      <c r="S774" s="152"/>
      <c r="T774" s="152">
        <v>45563</v>
      </c>
      <c r="U774" s="152">
        <v>45603</v>
      </c>
      <c r="V774" s="152">
        <v>45604</v>
      </c>
      <c r="W774" s="2">
        <f>VLOOKUP(Table1[[#This Row],[Status]],Auxiliar!$B$16:$D$24,3,0)*Table1[[#This Row],[Estimação (horas)]]</f>
        <v>0.1</v>
      </c>
      <c r="X774" s="2"/>
    </row>
    <row r="775" spans="2:24" ht="69.599999999999994" customHeight="1" x14ac:dyDescent="0.25">
      <c r="B775" s="2" t="s">
        <v>26</v>
      </c>
      <c r="C775" s="2" t="s">
        <v>181</v>
      </c>
      <c r="D775" s="2" t="s">
        <v>1295</v>
      </c>
      <c r="E775" s="2" t="s">
        <v>38</v>
      </c>
      <c r="F775" s="2" t="s">
        <v>182</v>
      </c>
      <c r="G775" s="2" t="s">
        <v>203</v>
      </c>
      <c r="H775" s="57" t="str">
        <f>Table1[[#This Row],[Tabela]]&amp;Table1[[#This Row],[Campo]]</f>
        <v>modesg_param_sfcs_taxon_europeianome_ctgr_sfcs</v>
      </c>
      <c r="I775" s="2" t="s">
        <v>616</v>
      </c>
      <c r="J775" s="43">
        <f>VLOOKUP(Table1[[#This Row],[Status]],Auxiliar!$B$16:$C$24,2,0)</f>
        <v>5</v>
      </c>
      <c r="K775" s="2" t="s">
        <v>1263</v>
      </c>
      <c r="L775" s="29" t="s">
        <v>1258</v>
      </c>
      <c r="M775" s="21" t="s">
        <v>1259</v>
      </c>
      <c r="N775" s="48">
        <v>45611</v>
      </c>
      <c r="O775" s="21">
        <f>INDEX(Auxiliar!$D$5:$F$13,MATCH(Table1[[#This Row],[Tipologia_Testes]],Auxiliar!$B$5:$B$13,0),MATCH(Table1[[#This Row],[Complexidade]],Auxiliar!$D$4:$F$4,0))</f>
        <v>0.5</v>
      </c>
      <c r="P775" s="23" t="s">
        <v>1301</v>
      </c>
      <c r="Q775" s="2"/>
      <c r="R775" s="152">
        <v>45261</v>
      </c>
      <c r="S775" s="152"/>
      <c r="T775" s="152">
        <v>45563</v>
      </c>
      <c r="U775" s="152">
        <v>45603</v>
      </c>
      <c r="V775" s="152">
        <v>45604</v>
      </c>
      <c r="W775" s="2">
        <f>VLOOKUP(Table1[[#This Row],[Status]],Auxiliar!$B$16:$D$24,3,0)*Table1[[#This Row],[Estimação (horas)]]</f>
        <v>0.125</v>
      </c>
      <c r="X775" s="2"/>
    </row>
    <row r="776" spans="2:24" ht="69.599999999999994" customHeight="1" x14ac:dyDescent="0.25">
      <c r="B776" s="2" t="s">
        <v>26</v>
      </c>
      <c r="C776" s="2" t="s">
        <v>181</v>
      </c>
      <c r="D776" s="2" t="s">
        <v>1295</v>
      </c>
      <c r="E776" s="2" t="s">
        <v>38</v>
      </c>
      <c r="F776" s="2" t="s">
        <v>182</v>
      </c>
      <c r="G776" s="2" t="s">
        <v>203</v>
      </c>
      <c r="H776" s="57" t="str">
        <f>Table1[[#This Row],[Tabela]]&amp;Table1[[#This Row],[Campo]]</f>
        <v>modesg_param_sfcs_taxon_europeianome_ctgr_sfcs</v>
      </c>
      <c r="I776" s="2" t="s">
        <v>616</v>
      </c>
      <c r="J776" s="43">
        <f>VLOOKUP(Table1[[#This Row],[Status]],Auxiliar!$B$16:$C$24,2,0)</f>
        <v>5</v>
      </c>
      <c r="K776" s="2" t="s">
        <v>1255</v>
      </c>
      <c r="L776" s="29" t="s">
        <v>1258</v>
      </c>
      <c r="M776" s="21" t="s">
        <v>1259</v>
      </c>
      <c r="N776" s="48">
        <v>45611</v>
      </c>
      <c r="O776" s="21">
        <f>INDEX(Auxiliar!$D$5:$F$13,MATCH(Table1[[#This Row],[Tipologia_Testes]],Auxiliar!$B$5:$B$13,0),MATCH(Table1[[#This Row],[Complexidade]],Auxiliar!$D$4:$F$4,0))</f>
        <v>0.1</v>
      </c>
      <c r="P776" s="23" t="s">
        <v>1301</v>
      </c>
      <c r="Q776" s="2"/>
      <c r="R776" s="152">
        <v>45261</v>
      </c>
      <c r="S776" s="152"/>
      <c r="T776" s="152">
        <v>45563</v>
      </c>
      <c r="U776" s="152">
        <v>45603</v>
      </c>
      <c r="V776" s="152">
        <v>45604</v>
      </c>
      <c r="W776" s="2">
        <f>VLOOKUP(Table1[[#This Row],[Status]],Auxiliar!$B$16:$D$24,3,0)*Table1[[#This Row],[Estimação (horas)]]</f>
        <v>2.5000000000000001E-2</v>
      </c>
      <c r="X776" s="2"/>
    </row>
    <row r="777" spans="2:24" ht="17.7" customHeight="1" x14ac:dyDescent="0.25">
      <c r="B777" s="2" t="s">
        <v>26</v>
      </c>
      <c r="C777" s="2" t="s">
        <v>181</v>
      </c>
      <c r="D777" s="2" t="s">
        <v>1295</v>
      </c>
      <c r="E777" s="2" t="s">
        <v>38</v>
      </c>
      <c r="F777" s="2" t="s">
        <v>182</v>
      </c>
      <c r="G777" s="2" t="s">
        <v>204</v>
      </c>
      <c r="H777" s="57" t="str">
        <f>Table1[[#This Row],[Tabela]]&amp;Table1[[#This Row],[Campo]]</f>
        <v>modesg_param_sfcs_taxon_europeianome_general_specific_purpose</v>
      </c>
      <c r="I777" s="2" t="s">
        <v>614</v>
      </c>
      <c r="J777" s="55">
        <f>VLOOKUP(Table1[[#This Row],[Status]],Auxiliar!$B$16:$C$24,2,0)</f>
        <v>1</v>
      </c>
      <c r="K777" s="2" t="s">
        <v>1263</v>
      </c>
      <c r="L777" s="29" t="s">
        <v>1258</v>
      </c>
      <c r="M777" s="21" t="s">
        <v>1259</v>
      </c>
      <c r="N777" s="48">
        <v>45611</v>
      </c>
      <c r="O777" s="21">
        <f>INDEX(Auxiliar!$D$5:$F$13,MATCH(Table1[[#This Row],[Tipologia_Testes]],Auxiliar!$B$5:$B$13,0),MATCH(Table1[[#This Row],[Complexidade]],Auxiliar!$D$4:$F$4,0))</f>
        <v>0.5</v>
      </c>
      <c r="P777" s="2"/>
      <c r="Q777" s="2"/>
      <c r="R777" s="152">
        <v>45563</v>
      </c>
      <c r="S777" s="152"/>
      <c r="T777" s="152">
        <v>45563</v>
      </c>
      <c r="U777" s="152">
        <v>45603</v>
      </c>
      <c r="V777" s="152">
        <v>45604</v>
      </c>
      <c r="W777" s="2">
        <f>VLOOKUP(Table1[[#This Row],[Status]],Auxiliar!$B$16:$D$24,3,0)*Table1[[#This Row],[Estimação (horas)]]</f>
        <v>0.5</v>
      </c>
      <c r="X777" s="2"/>
    </row>
    <row r="778" spans="2:24" ht="17.7" customHeight="1" x14ac:dyDescent="0.25">
      <c r="B778" s="2" t="s">
        <v>26</v>
      </c>
      <c r="C778" s="2" t="s">
        <v>181</v>
      </c>
      <c r="D778" s="2" t="s">
        <v>1295</v>
      </c>
      <c r="E778" s="2" t="s">
        <v>38</v>
      </c>
      <c r="F778" s="2" t="s">
        <v>182</v>
      </c>
      <c r="G778" s="2" t="s">
        <v>204</v>
      </c>
      <c r="H778" s="57" t="str">
        <f>Table1[[#This Row],[Tabela]]&amp;Table1[[#This Row],[Campo]]</f>
        <v>modesg_param_sfcs_taxon_europeianome_general_specific_purpose</v>
      </c>
      <c r="I778" s="2" t="s">
        <v>614</v>
      </c>
      <c r="J778" s="55">
        <f>VLOOKUP(Table1[[#This Row],[Status]],Auxiliar!$B$16:$C$24,2,0)</f>
        <v>1</v>
      </c>
      <c r="K778" s="2" t="s">
        <v>1255</v>
      </c>
      <c r="L778" s="29" t="s">
        <v>1258</v>
      </c>
      <c r="M778" s="21" t="s">
        <v>1259</v>
      </c>
      <c r="N778" s="48">
        <v>45611</v>
      </c>
      <c r="O778" s="21">
        <f>INDEX(Auxiliar!$D$5:$F$13,MATCH(Table1[[#This Row],[Tipologia_Testes]],Auxiliar!$B$5:$B$13,0),MATCH(Table1[[#This Row],[Complexidade]],Auxiliar!$D$4:$F$4,0))</f>
        <v>0.1</v>
      </c>
      <c r="P778" s="2"/>
      <c r="Q778" s="2"/>
      <c r="R778" s="152">
        <v>45563</v>
      </c>
      <c r="S778" s="152"/>
      <c r="T778" s="152">
        <v>45563</v>
      </c>
      <c r="U778" s="152">
        <v>45603</v>
      </c>
      <c r="V778" s="152">
        <v>45604</v>
      </c>
      <c r="W778" s="2">
        <f>VLOOKUP(Table1[[#This Row],[Status]],Auxiliar!$B$16:$D$24,3,0)*Table1[[#This Row],[Estimação (horas)]]</f>
        <v>0.1</v>
      </c>
      <c r="X778" s="2"/>
    </row>
    <row r="779" spans="2:24" ht="17.7" customHeight="1" x14ac:dyDescent="0.25">
      <c r="B779" s="2" t="s">
        <v>26</v>
      </c>
      <c r="C779" s="2" t="s">
        <v>181</v>
      </c>
      <c r="D779" s="2" t="s">
        <v>1295</v>
      </c>
      <c r="E779" s="2" t="s">
        <v>38</v>
      </c>
      <c r="F779" s="2" t="s">
        <v>182</v>
      </c>
      <c r="G779" s="2" t="s">
        <v>205</v>
      </c>
      <c r="H779" s="57" t="str">
        <f>Table1[[#This Row],[Tabela]]&amp;Table1[[#This Row],[Campo]]</f>
        <v>modesg_param_sfcs_taxon_europeianome_purpose_esg</v>
      </c>
      <c r="I779" s="2" t="s">
        <v>614</v>
      </c>
      <c r="J779" s="55">
        <f>VLOOKUP(Table1[[#This Row],[Status]],Auxiliar!$B$16:$C$24,2,0)</f>
        <v>1</v>
      </c>
      <c r="K779" s="2" t="s">
        <v>1263</v>
      </c>
      <c r="L779" s="29" t="s">
        <v>1258</v>
      </c>
      <c r="M779" s="21" t="s">
        <v>1259</v>
      </c>
      <c r="N779" s="48">
        <v>45611</v>
      </c>
      <c r="O779" s="21">
        <f>INDEX(Auxiliar!$D$5:$F$13,MATCH(Table1[[#This Row],[Tipologia_Testes]],Auxiliar!$B$5:$B$13,0),MATCH(Table1[[#This Row],[Complexidade]],Auxiliar!$D$4:$F$4,0))</f>
        <v>0.5</v>
      </c>
      <c r="P779" s="2"/>
      <c r="Q779" s="2"/>
      <c r="R779" s="152">
        <v>45563</v>
      </c>
      <c r="S779" s="152"/>
      <c r="T779" s="152">
        <v>45563</v>
      </c>
      <c r="U779" s="152">
        <v>45603</v>
      </c>
      <c r="V779" s="152">
        <v>45604</v>
      </c>
      <c r="W779" s="2">
        <f>VLOOKUP(Table1[[#This Row],[Status]],Auxiliar!$B$16:$D$24,3,0)*Table1[[#This Row],[Estimação (horas)]]</f>
        <v>0.5</v>
      </c>
      <c r="X779" s="2"/>
    </row>
    <row r="780" spans="2:24" ht="17.7" customHeight="1" x14ac:dyDescent="0.25">
      <c r="B780" s="2" t="s">
        <v>26</v>
      </c>
      <c r="C780" s="2" t="s">
        <v>181</v>
      </c>
      <c r="D780" s="2" t="s">
        <v>1295</v>
      </c>
      <c r="E780" s="2" t="s">
        <v>38</v>
      </c>
      <c r="F780" s="2" t="s">
        <v>182</v>
      </c>
      <c r="G780" s="2" t="s">
        <v>205</v>
      </c>
      <c r="H780" s="57" t="str">
        <f>Table1[[#This Row],[Tabela]]&amp;Table1[[#This Row],[Campo]]</f>
        <v>modesg_param_sfcs_taxon_europeianome_purpose_esg</v>
      </c>
      <c r="I780" s="2" t="s">
        <v>614</v>
      </c>
      <c r="J780" s="55">
        <f>VLOOKUP(Table1[[#This Row],[Status]],Auxiliar!$B$16:$C$24,2,0)</f>
        <v>1</v>
      </c>
      <c r="K780" s="2" t="s">
        <v>1255</v>
      </c>
      <c r="L780" s="29" t="s">
        <v>1258</v>
      </c>
      <c r="M780" s="21" t="s">
        <v>1259</v>
      </c>
      <c r="N780" s="48">
        <v>45611</v>
      </c>
      <c r="O780" s="21">
        <f>INDEX(Auxiliar!$D$5:$F$13,MATCH(Table1[[#This Row],[Tipologia_Testes]],Auxiliar!$B$5:$B$13,0),MATCH(Table1[[#This Row],[Complexidade]],Auxiliar!$D$4:$F$4,0))</f>
        <v>0.1</v>
      </c>
      <c r="P780" s="2"/>
      <c r="Q780" s="2"/>
      <c r="R780" s="152">
        <v>45563</v>
      </c>
      <c r="S780" s="152"/>
      <c r="T780" s="152">
        <v>45563</v>
      </c>
      <c r="U780" s="152">
        <v>45603</v>
      </c>
      <c r="V780" s="152">
        <v>45604</v>
      </c>
      <c r="W780" s="2">
        <f>VLOOKUP(Table1[[#This Row],[Status]],Auxiliar!$B$16:$D$24,3,0)*Table1[[#This Row],[Estimação (horas)]]</f>
        <v>0.1</v>
      </c>
      <c r="X780" s="2"/>
    </row>
    <row r="781" spans="2:24" ht="17.7" customHeight="1" x14ac:dyDescent="0.25">
      <c r="B781" s="2" t="s">
        <v>26</v>
      </c>
      <c r="C781" s="2" t="s">
        <v>181</v>
      </c>
      <c r="D781" s="2" t="s">
        <v>1295</v>
      </c>
      <c r="E781" s="2" t="s">
        <v>38</v>
      </c>
      <c r="F781" s="2" t="s">
        <v>182</v>
      </c>
      <c r="G781" s="2" t="s">
        <v>206</v>
      </c>
      <c r="H781" s="57" t="str">
        <f>Table1[[#This Row],[Tabela]]&amp;Table1[[#This Row],[Campo]]</f>
        <v>modesg_param_sfcs_taxon_europeianome_specific_eligible</v>
      </c>
      <c r="I781" s="2" t="s">
        <v>614</v>
      </c>
      <c r="J781" s="55">
        <f>VLOOKUP(Table1[[#This Row],[Status]],Auxiliar!$B$16:$C$24,2,0)</f>
        <v>1</v>
      </c>
      <c r="K781" s="2" t="s">
        <v>1263</v>
      </c>
      <c r="L781" s="29" t="s">
        <v>1258</v>
      </c>
      <c r="M781" s="21" t="s">
        <v>1259</v>
      </c>
      <c r="N781" s="48">
        <v>45611</v>
      </c>
      <c r="O781" s="21">
        <f>INDEX(Auxiliar!$D$5:$F$13,MATCH(Table1[[#This Row],[Tipologia_Testes]],Auxiliar!$B$5:$B$13,0),MATCH(Table1[[#This Row],[Complexidade]],Auxiliar!$D$4:$F$4,0))</f>
        <v>0.5</v>
      </c>
      <c r="P781" s="2"/>
      <c r="Q781" s="2"/>
      <c r="R781" s="152">
        <v>45563</v>
      </c>
      <c r="S781" s="152"/>
      <c r="T781" s="152">
        <v>45563</v>
      </c>
      <c r="U781" s="152">
        <v>45603</v>
      </c>
      <c r="V781" s="152">
        <v>45604</v>
      </c>
      <c r="W781" s="2">
        <f>VLOOKUP(Table1[[#This Row],[Status]],Auxiliar!$B$16:$D$24,3,0)*Table1[[#This Row],[Estimação (horas)]]</f>
        <v>0.5</v>
      </c>
      <c r="X781" s="2"/>
    </row>
    <row r="782" spans="2:24" ht="17.7" customHeight="1" x14ac:dyDescent="0.25">
      <c r="B782" s="2" t="s">
        <v>26</v>
      </c>
      <c r="C782" s="2" t="s">
        <v>181</v>
      </c>
      <c r="D782" s="2" t="s">
        <v>1295</v>
      </c>
      <c r="E782" s="2" t="s">
        <v>38</v>
      </c>
      <c r="F782" s="2" t="s">
        <v>182</v>
      </c>
      <c r="G782" s="2" t="s">
        <v>206</v>
      </c>
      <c r="H782" s="57" t="str">
        <f>Table1[[#This Row],[Tabela]]&amp;Table1[[#This Row],[Campo]]</f>
        <v>modesg_param_sfcs_taxon_europeianome_specific_eligible</v>
      </c>
      <c r="I782" s="2" t="s">
        <v>614</v>
      </c>
      <c r="J782" s="55">
        <f>VLOOKUP(Table1[[#This Row],[Status]],Auxiliar!$B$16:$C$24,2,0)</f>
        <v>1</v>
      </c>
      <c r="K782" s="2" t="s">
        <v>1255</v>
      </c>
      <c r="L782" s="29" t="s">
        <v>1258</v>
      </c>
      <c r="M782" s="21" t="s">
        <v>1259</v>
      </c>
      <c r="N782" s="48">
        <v>45611</v>
      </c>
      <c r="O782" s="21">
        <f>INDEX(Auxiliar!$D$5:$F$13,MATCH(Table1[[#This Row],[Tipologia_Testes]],Auxiliar!$B$5:$B$13,0),MATCH(Table1[[#This Row],[Complexidade]],Auxiliar!$D$4:$F$4,0))</f>
        <v>0.1</v>
      </c>
      <c r="P782" s="2"/>
      <c r="Q782" s="2"/>
      <c r="R782" s="152">
        <v>45563</v>
      </c>
      <c r="S782" s="152"/>
      <c r="T782" s="152">
        <v>45563</v>
      </c>
      <c r="U782" s="152">
        <v>45603</v>
      </c>
      <c r="V782" s="152">
        <v>45604</v>
      </c>
      <c r="W782" s="2">
        <f>VLOOKUP(Table1[[#This Row],[Status]],Auxiliar!$B$16:$D$24,3,0)*Table1[[#This Row],[Estimação (horas)]]</f>
        <v>0.1</v>
      </c>
      <c r="X782" s="2"/>
    </row>
    <row r="783" spans="2:24" ht="17.7" customHeight="1" x14ac:dyDescent="0.25">
      <c r="B783" s="2" t="s">
        <v>26</v>
      </c>
      <c r="C783" s="2" t="s">
        <v>181</v>
      </c>
      <c r="D783" s="2" t="s">
        <v>1295</v>
      </c>
      <c r="E783" s="2" t="s">
        <v>38</v>
      </c>
      <c r="F783" s="2" t="s">
        <v>182</v>
      </c>
      <c r="G783" s="2" t="s">
        <v>207</v>
      </c>
      <c r="H783" s="57" t="str">
        <f>Table1[[#This Row],[Tabela]]&amp;Table1[[#This Row],[Campo]]</f>
        <v>modesg_param_sfcs_taxon_europeianome_specific_sustainable</v>
      </c>
      <c r="I783" s="2" t="s">
        <v>614</v>
      </c>
      <c r="J783" s="55">
        <f>VLOOKUP(Table1[[#This Row],[Status]],Auxiliar!$B$16:$C$24,2,0)</f>
        <v>1</v>
      </c>
      <c r="K783" s="2" t="s">
        <v>1263</v>
      </c>
      <c r="L783" s="29" t="s">
        <v>1258</v>
      </c>
      <c r="M783" s="21" t="s">
        <v>1259</v>
      </c>
      <c r="N783" s="48">
        <v>45611</v>
      </c>
      <c r="O783" s="21">
        <f>INDEX(Auxiliar!$D$5:$F$13,MATCH(Table1[[#This Row],[Tipologia_Testes]],Auxiliar!$B$5:$B$13,0),MATCH(Table1[[#This Row],[Complexidade]],Auxiliar!$D$4:$F$4,0))</f>
        <v>0.5</v>
      </c>
      <c r="P783" s="2"/>
      <c r="Q783" s="2"/>
      <c r="R783" s="152">
        <v>45563</v>
      </c>
      <c r="S783" s="152"/>
      <c r="T783" s="152">
        <v>45563</v>
      </c>
      <c r="U783" s="152">
        <v>45603</v>
      </c>
      <c r="V783" s="152">
        <v>45604</v>
      </c>
      <c r="W783" s="2">
        <f>VLOOKUP(Table1[[#This Row],[Status]],Auxiliar!$B$16:$D$24,3,0)*Table1[[#This Row],[Estimação (horas)]]</f>
        <v>0.5</v>
      </c>
      <c r="X783" s="2"/>
    </row>
    <row r="784" spans="2:24" ht="17.7" customHeight="1" x14ac:dyDescent="0.25">
      <c r="B784" s="2" t="s">
        <v>26</v>
      </c>
      <c r="C784" s="2" t="s">
        <v>181</v>
      </c>
      <c r="D784" s="2" t="s">
        <v>1295</v>
      </c>
      <c r="E784" s="2" t="s">
        <v>38</v>
      </c>
      <c r="F784" s="2" t="s">
        <v>182</v>
      </c>
      <c r="G784" s="2" t="s">
        <v>207</v>
      </c>
      <c r="H784" s="57" t="str">
        <f>Table1[[#This Row],[Tabela]]&amp;Table1[[#This Row],[Campo]]</f>
        <v>modesg_param_sfcs_taxon_europeianome_specific_sustainable</v>
      </c>
      <c r="I784" s="2" t="s">
        <v>614</v>
      </c>
      <c r="J784" s="55">
        <f>VLOOKUP(Table1[[#This Row],[Status]],Auxiliar!$B$16:$C$24,2,0)</f>
        <v>1</v>
      </c>
      <c r="K784" s="2" t="s">
        <v>1255</v>
      </c>
      <c r="L784" s="29" t="s">
        <v>1258</v>
      </c>
      <c r="M784" s="21" t="s">
        <v>1259</v>
      </c>
      <c r="N784" s="48">
        <v>45611</v>
      </c>
      <c r="O784" s="21">
        <f>INDEX(Auxiliar!$D$5:$F$13,MATCH(Table1[[#This Row],[Tipologia_Testes]],Auxiliar!$B$5:$B$13,0),MATCH(Table1[[#This Row],[Complexidade]],Auxiliar!$D$4:$F$4,0))</f>
        <v>0.1</v>
      </c>
      <c r="P784" s="2"/>
      <c r="Q784" s="2"/>
      <c r="R784" s="152">
        <v>45563</v>
      </c>
      <c r="S784" s="152"/>
      <c r="T784" s="152">
        <v>45563</v>
      </c>
      <c r="U784" s="152">
        <v>45603</v>
      </c>
      <c r="V784" s="152">
        <v>45604</v>
      </c>
      <c r="W784" s="2">
        <f>VLOOKUP(Table1[[#This Row],[Status]],Auxiliar!$B$16:$D$24,3,0)*Table1[[#This Row],[Estimação (horas)]]</f>
        <v>0.1</v>
      </c>
      <c r="X784" s="2"/>
    </row>
    <row r="785" spans="2:24" ht="17.7" customHeight="1" x14ac:dyDescent="0.25">
      <c r="B785" s="2" t="s">
        <v>26</v>
      </c>
      <c r="C785" s="2" t="s">
        <v>181</v>
      </c>
      <c r="D785" s="2" t="s">
        <v>1295</v>
      </c>
      <c r="E785" s="2" t="s">
        <v>38</v>
      </c>
      <c r="F785" s="2" t="s">
        <v>182</v>
      </c>
      <c r="G785" s="2" t="s">
        <v>208</v>
      </c>
      <c r="H785" s="57" t="str">
        <f>Table1[[#This Row],[Tabela]]&amp;Table1[[#This Row],[Campo]]</f>
        <v>modesg_param_sfcs_taxon_europeiaref_date</v>
      </c>
      <c r="I785" s="2" t="s">
        <v>614</v>
      </c>
      <c r="J785" s="55">
        <f>VLOOKUP(Table1[[#This Row],[Status]],Auxiliar!$B$16:$C$24,2,0)</f>
        <v>1</v>
      </c>
      <c r="K785" s="2" t="s">
        <v>1263</v>
      </c>
      <c r="L785" s="29" t="s">
        <v>1258</v>
      </c>
      <c r="M785" s="21" t="s">
        <v>1259</v>
      </c>
      <c r="N785" s="48">
        <v>45546</v>
      </c>
      <c r="O785" s="21">
        <f>INDEX(Auxiliar!$D$5:$F$13,MATCH(Table1[[#This Row],[Tipologia_Testes]],Auxiliar!$B$5:$B$13,0),MATCH(Table1[[#This Row],[Complexidade]],Auxiliar!$D$4:$F$4,0))</f>
        <v>0.5</v>
      </c>
      <c r="P785" s="2"/>
      <c r="Q785" s="2"/>
      <c r="R785" s="152">
        <v>45545</v>
      </c>
      <c r="S785" s="152"/>
      <c r="T785" s="152"/>
      <c r="U785" s="152">
        <v>45603</v>
      </c>
      <c r="V785" s="152"/>
      <c r="W785" s="2">
        <f>VLOOKUP(Table1[[#This Row],[Status]],Auxiliar!$B$16:$D$24,3,0)*Table1[[#This Row],[Estimação (horas)]]</f>
        <v>0.5</v>
      </c>
      <c r="X785" s="2"/>
    </row>
    <row r="786" spans="2:24" ht="17.7" customHeight="1" x14ac:dyDescent="0.25">
      <c r="B786" s="2" t="s">
        <v>26</v>
      </c>
      <c r="C786" s="2" t="s">
        <v>181</v>
      </c>
      <c r="D786" s="2" t="s">
        <v>1295</v>
      </c>
      <c r="E786" s="2" t="s">
        <v>38</v>
      </c>
      <c r="F786" s="2" t="s">
        <v>182</v>
      </c>
      <c r="G786" s="2" t="s">
        <v>208</v>
      </c>
      <c r="H786" s="57" t="str">
        <f>Table1[[#This Row],[Tabela]]&amp;Table1[[#This Row],[Campo]]</f>
        <v>modesg_param_sfcs_taxon_europeiaref_date</v>
      </c>
      <c r="I786" s="2" t="s">
        <v>614</v>
      </c>
      <c r="J786" s="55">
        <f>VLOOKUP(Table1[[#This Row],[Status]],Auxiliar!$B$16:$C$24,2,0)</f>
        <v>1</v>
      </c>
      <c r="K786" s="2" t="s">
        <v>1255</v>
      </c>
      <c r="L786" s="29" t="s">
        <v>1258</v>
      </c>
      <c r="M786" s="21" t="s">
        <v>1259</v>
      </c>
      <c r="N786" s="48">
        <v>45546</v>
      </c>
      <c r="O786" s="21">
        <f>INDEX(Auxiliar!$D$5:$F$13,MATCH(Table1[[#This Row],[Tipologia_Testes]],Auxiliar!$B$5:$B$13,0),MATCH(Table1[[#This Row],[Complexidade]],Auxiliar!$D$4:$F$4,0))</f>
        <v>0.1</v>
      </c>
      <c r="P786" s="2"/>
      <c r="Q786" s="2"/>
      <c r="R786" s="152">
        <v>45545</v>
      </c>
      <c r="S786" s="152"/>
      <c r="T786" s="152"/>
      <c r="U786" s="152">
        <v>45603</v>
      </c>
      <c r="V786" s="152"/>
      <c r="W786" s="2">
        <f>VLOOKUP(Table1[[#This Row],[Status]],Auxiliar!$B$16:$D$24,3,0)*Table1[[#This Row],[Estimação (horas)]]</f>
        <v>0.1</v>
      </c>
      <c r="X786" s="2"/>
    </row>
    <row r="787" spans="2:24" ht="17.7" customHeight="1" x14ac:dyDescent="0.25">
      <c r="B787" s="2" t="s">
        <v>26</v>
      </c>
      <c r="C787" s="2" t="s">
        <v>181</v>
      </c>
      <c r="D787" s="2" t="s">
        <v>1295</v>
      </c>
      <c r="E787" s="2" t="s">
        <v>38</v>
      </c>
      <c r="F787" s="2" t="s">
        <v>182</v>
      </c>
      <c r="G787" s="2" t="s">
        <v>209</v>
      </c>
      <c r="H787" s="57" t="str">
        <f>Table1[[#This Row],[Tabela]]&amp;Table1[[#This Row],[Campo]]</f>
        <v>modesg_param_sfcs_taxon_europeiazcliente</v>
      </c>
      <c r="I787" s="2" t="s">
        <v>614</v>
      </c>
      <c r="J787" s="55">
        <f>VLOOKUP(Table1[[#This Row],[Status]],Auxiliar!$B$16:$C$24,2,0)</f>
        <v>1</v>
      </c>
      <c r="K787" s="2" t="s">
        <v>1263</v>
      </c>
      <c r="L787" s="29" t="s">
        <v>1258</v>
      </c>
      <c r="M787" s="21" t="s">
        <v>1259</v>
      </c>
      <c r="N787" s="48">
        <v>45611</v>
      </c>
      <c r="O787" s="21">
        <f>INDEX(Auxiliar!$D$5:$F$13,MATCH(Table1[[#This Row],[Tipologia_Testes]],Auxiliar!$B$5:$B$13,0),MATCH(Table1[[#This Row],[Complexidade]],Auxiliar!$D$4:$F$4,0))</f>
        <v>0.5</v>
      </c>
      <c r="P787" s="2"/>
      <c r="Q787" s="2"/>
      <c r="R787" s="152">
        <v>45563</v>
      </c>
      <c r="S787" s="152"/>
      <c r="T787" s="152">
        <v>45563</v>
      </c>
      <c r="U787" s="152">
        <v>45603</v>
      </c>
      <c r="V787" s="152">
        <v>45604</v>
      </c>
      <c r="W787" s="2">
        <f>VLOOKUP(Table1[[#This Row],[Status]],Auxiliar!$B$16:$D$24,3,0)*Table1[[#This Row],[Estimação (horas)]]</f>
        <v>0.5</v>
      </c>
      <c r="X787" s="2"/>
    </row>
    <row r="788" spans="2:24" ht="17.7" customHeight="1" x14ac:dyDescent="0.25">
      <c r="B788" s="2" t="s">
        <v>26</v>
      </c>
      <c r="C788" s="2" t="s">
        <v>181</v>
      </c>
      <c r="D788" s="2" t="s">
        <v>1295</v>
      </c>
      <c r="E788" s="2" t="s">
        <v>38</v>
      </c>
      <c r="F788" s="2" t="s">
        <v>182</v>
      </c>
      <c r="G788" s="2" t="s">
        <v>209</v>
      </c>
      <c r="H788" s="57" t="str">
        <f>Table1[[#This Row],[Tabela]]&amp;Table1[[#This Row],[Campo]]</f>
        <v>modesg_param_sfcs_taxon_europeiazcliente</v>
      </c>
      <c r="I788" s="2" t="s">
        <v>614</v>
      </c>
      <c r="J788" s="55">
        <f>VLOOKUP(Table1[[#This Row],[Status]],Auxiliar!$B$16:$C$24,2,0)</f>
        <v>1</v>
      </c>
      <c r="K788" s="2" t="s">
        <v>1255</v>
      </c>
      <c r="L788" s="29" t="s">
        <v>1258</v>
      </c>
      <c r="M788" s="21" t="s">
        <v>1259</v>
      </c>
      <c r="N788" s="48">
        <v>45611</v>
      </c>
      <c r="O788" s="21">
        <f>INDEX(Auxiliar!$D$5:$F$13,MATCH(Table1[[#This Row],[Tipologia_Testes]],Auxiliar!$B$5:$B$13,0),MATCH(Table1[[#This Row],[Complexidade]],Auxiliar!$D$4:$F$4,0))</f>
        <v>0.1</v>
      </c>
      <c r="P788" s="2"/>
      <c r="Q788" s="2"/>
      <c r="R788" s="152">
        <v>45563</v>
      </c>
      <c r="S788" s="152"/>
      <c r="T788" s="152">
        <v>45563</v>
      </c>
      <c r="U788" s="152">
        <v>45603</v>
      </c>
      <c r="V788" s="152">
        <v>45604</v>
      </c>
      <c r="W788" s="2">
        <f>VLOOKUP(Table1[[#This Row],[Status]],Auxiliar!$B$16:$D$24,3,0)*Table1[[#This Row],[Estimação (horas)]]</f>
        <v>0.1</v>
      </c>
      <c r="X788" s="2"/>
    </row>
    <row r="789" spans="2:24" ht="17.7" customHeight="1" x14ac:dyDescent="0.25">
      <c r="B789" s="2" t="s">
        <v>26</v>
      </c>
      <c r="C789" s="2" t="s">
        <v>181</v>
      </c>
      <c r="D789" s="2" t="s">
        <v>1295</v>
      </c>
      <c r="E789" s="2" t="s">
        <v>38</v>
      </c>
      <c r="F789" s="2" t="s">
        <v>182</v>
      </c>
      <c r="G789" s="2" t="s">
        <v>210</v>
      </c>
      <c r="H789" s="57" t="str">
        <f>Table1[[#This Row],[Tabela]]&amp;Table1[[#This Row],[Campo]]</f>
        <v>modesg_param_sfcs_taxon_europeiazdeposit</v>
      </c>
      <c r="I789" s="2" t="s">
        <v>614</v>
      </c>
      <c r="J789" s="55">
        <f>VLOOKUP(Table1[[#This Row],[Status]],Auxiliar!$B$16:$C$24,2,0)</f>
        <v>1</v>
      </c>
      <c r="K789" s="2" t="s">
        <v>1263</v>
      </c>
      <c r="L789" s="29" t="s">
        <v>1258</v>
      </c>
      <c r="M789" s="21" t="s">
        <v>1259</v>
      </c>
      <c r="N789" s="48">
        <v>45611</v>
      </c>
      <c r="O789" s="21">
        <f>INDEX(Auxiliar!$D$5:$F$13,MATCH(Table1[[#This Row],[Tipologia_Testes]],Auxiliar!$B$5:$B$13,0),MATCH(Table1[[#This Row],[Complexidade]],Auxiliar!$D$4:$F$4,0))</f>
        <v>0.5</v>
      </c>
      <c r="P789" s="2"/>
      <c r="Q789" s="2"/>
      <c r="R789" s="152">
        <v>45563</v>
      </c>
      <c r="S789" s="152"/>
      <c r="T789" s="152">
        <v>45563</v>
      </c>
      <c r="U789" s="152">
        <v>45603</v>
      </c>
      <c r="V789" s="152">
        <v>45604</v>
      </c>
      <c r="W789" s="2">
        <f>VLOOKUP(Table1[[#This Row],[Status]],Auxiliar!$B$16:$D$24,3,0)*Table1[[#This Row],[Estimação (horas)]]</f>
        <v>0.5</v>
      </c>
      <c r="X789" s="2"/>
    </row>
    <row r="790" spans="2:24" ht="17.7" customHeight="1" x14ac:dyDescent="0.25">
      <c r="B790" s="2" t="s">
        <v>26</v>
      </c>
      <c r="C790" s="2" t="s">
        <v>181</v>
      </c>
      <c r="D790" s="2" t="s">
        <v>1295</v>
      </c>
      <c r="E790" s="2" t="s">
        <v>38</v>
      </c>
      <c r="F790" s="2" t="s">
        <v>182</v>
      </c>
      <c r="G790" s="2" t="s">
        <v>210</v>
      </c>
      <c r="H790" s="57" t="str">
        <f>Table1[[#This Row],[Tabela]]&amp;Table1[[#This Row],[Campo]]</f>
        <v>modesg_param_sfcs_taxon_europeiazdeposit</v>
      </c>
      <c r="I790" s="2" t="s">
        <v>614</v>
      </c>
      <c r="J790" s="55">
        <f>VLOOKUP(Table1[[#This Row],[Status]],Auxiliar!$B$16:$C$24,2,0)</f>
        <v>1</v>
      </c>
      <c r="K790" s="2" t="s">
        <v>1255</v>
      </c>
      <c r="L790" s="29" t="s">
        <v>1258</v>
      </c>
      <c r="M790" s="21" t="s">
        <v>1259</v>
      </c>
      <c r="N790" s="48">
        <v>45611</v>
      </c>
      <c r="O790" s="21">
        <f>INDEX(Auxiliar!$D$5:$F$13,MATCH(Table1[[#This Row],[Tipologia_Testes]],Auxiliar!$B$5:$B$13,0),MATCH(Table1[[#This Row],[Complexidade]],Auxiliar!$D$4:$F$4,0))</f>
        <v>0.1</v>
      </c>
      <c r="P790" s="2"/>
      <c r="Q790" s="2"/>
      <c r="R790" s="152">
        <v>45563</v>
      </c>
      <c r="S790" s="152"/>
      <c r="T790" s="152">
        <v>45563</v>
      </c>
      <c r="U790" s="152">
        <v>45603</v>
      </c>
      <c r="V790" s="152">
        <v>45604</v>
      </c>
      <c r="W790" s="2">
        <f>VLOOKUP(Table1[[#This Row],[Status]],Auxiliar!$B$16:$D$24,3,0)*Table1[[#This Row],[Estimação (horas)]]</f>
        <v>0.1</v>
      </c>
      <c r="X790" s="2"/>
    </row>
    <row r="791" spans="2:24" ht="17.7" customHeight="1" x14ac:dyDescent="0.25">
      <c r="B791" s="2" t="s">
        <v>26</v>
      </c>
      <c r="C791" s="2" t="s">
        <v>181</v>
      </c>
      <c r="D791" s="2" t="s">
        <v>1295</v>
      </c>
      <c r="E791" s="2" t="s">
        <v>38</v>
      </c>
      <c r="F791" s="2" t="s">
        <v>182</v>
      </c>
      <c r="G791" s="2" t="s">
        <v>211</v>
      </c>
      <c r="H791" s="57" t="str">
        <f>Table1[[#This Row],[Tabela]]&amp;Table1[[#This Row],[Campo]]</f>
        <v>modesg_param_sfcs_taxon_europeiaordem</v>
      </c>
      <c r="I791" s="2" t="s">
        <v>613</v>
      </c>
      <c r="J791" s="54">
        <f>VLOOKUP(Table1[[#This Row],[Status]],Auxiliar!$B$16:$C$24,2,0)</f>
        <v>0</v>
      </c>
      <c r="K791" s="2" t="s">
        <v>1263</v>
      </c>
      <c r="L791" s="29" t="s">
        <v>1258</v>
      </c>
      <c r="M791" s="21" t="s">
        <v>1259</v>
      </c>
      <c r="N791" s="48">
        <v>45561</v>
      </c>
      <c r="O791" s="21">
        <f>INDEX(Auxiliar!$D$5:$F$13,MATCH(Table1[[#This Row],[Tipologia_Testes]],Auxiliar!$B$5:$B$13,0),MATCH(Table1[[#This Row],[Complexidade]],Auxiliar!$D$4:$F$4,0))</f>
        <v>0.5</v>
      </c>
      <c r="P791" s="2" t="s">
        <v>1278</v>
      </c>
      <c r="Q791" s="2"/>
      <c r="R791" s="152">
        <v>45561</v>
      </c>
      <c r="S791" s="152"/>
      <c r="T791" s="152">
        <v>45561</v>
      </c>
      <c r="U791" s="152"/>
      <c r="V791" s="152"/>
      <c r="W791" s="2">
        <f>VLOOKUP(Table1[[#This Row],[Status]],Auxiliar!$B$16:$D$24,3,0)*Table1[[#This Row],[Estimação (horas)]]</f>
        <v>0</v>
      </c>
      <c r="X791" s="2"/>
    </row>
    <row r="792" spans="2:24" ht="17.7" customHeight="1" x14ac:dyDescent="0.25">
      <c r="B792" s="2" t="s">
        <v>26</v>
      </c>
      <c r="C792" s="2" t="s">
        <v>181</v>
      </c>
      <c r="D792" s="2" t="s">
        <v>1295</v>
      </c>
      <c r="E792" s="2" t="s">
        <v>38</v>
      </c>
      <c r="F792" s="2" t="s">
        <v>182</v>
      </c>
      <c r="G792" s="2" t="s">
        <v>211</v>
      </c>
      <c r="H792" s="57" t="str">
        <f>Table1[[#This Row],[Tabela]]&amp;Table1[[#This Row],[Campo]]</f>
        <v>modesg_param_sfcs_taxon_europeiaordem</v>
      </c>
      <c r="I792" s="2" t="s">
        <v>613</v>
      </c>
      <c r="J792" s="54">
        <f>VLOOKUP(Table1[[#This Row],[Status]],Auxiliar!$B$16:$C$24,2,0)</f>
        <v>0</v>
      </c>
      <c r="K792" s="2" t="s">
        <v>1255</v>
      </c>
      <c r="L792" s="29" t="s">
        <v>1258</v>
      </c>
      <c r="M792" s="21" t="s">
        <v>1259</v>
      </c>
      <c r="N792" s="48">
        <v>45561</v>
      </c>
      <c r="O792" s="21">
        <f>INDEX(Auxiliar!$D$5:$F$13,MATCH(Table1[[#This Row],[Tipologia_Testes]],Auxiliar!$B$5:$B$13,0),MATCH(Table1[[#This Row],[Complexidade]],Auxiliar!$D$4:$F$4,0))</f>
        <v>0.1</v>
      </c>
      <c r="P792" s="2" t="s">
        <v>1278</v>
      </c>
      <c r="Q792" s="2"/>
      <c r="R792" s="152">
        <v>45561</v>
      </c>
      <c r="S792" s="152"/>
      <c r="T792" s="152">
        <v>45561</v>
      </c>
      <c r="U792" s="152"/>
      <c r="V792" s="152"/>
      <c r="W792" s="2">
        <f>VLOOKUP(Table1[[#This Row],[Status]],Auxiliar!$B$16:$D$24,3,0)*Table1[[#This Row],[Estimação (horas)]]</f>
        <v>0</v>
      </c>
      <c r="X792" s="2"/>
    </row>
    <row r="793" spans="2:24" ht="17.7" customHeight="1" x14ac:dyDescent="0.25">
      <c r="B793" s="2" t="s">
        <v>26</v>
      </c>
      <c r="C793" s="2" t="s">
        <v>181</v>
      </c>
      <c r="D793" s="2" t="s">
        <v>1295</v>
      </c>
      <c r="E793" s="2" t="s">
        <v>38</v>
      </c>
      <c r="F793" s="2" t="s">
        <v>182</v>
      </c>
      <c r="G793" s="2" t="s">
        <v>212</v>
      </c>
      <c r="H793" s="57" t="str">
        <f>Table1[[#This Row],[Tabela]]&amp;Table1[[#This Row],[Campo]]</f>
        <v>modesg_param_sfcs_taxon_europeianivel_mrc</v>
      </c>
      <c r="I793" s="2" t="s">
        <v>613</v>
      </c>
      <c r="J793" s="54">
        <f>VLOOKUP(Table1[[#This Row],[Status]],Auxiliar!$B$16:$C$24,2,0)</f>
        <v>0</v>
      </c>
      <c r="K793" s="2" t="s">
        <v>1263</v>
      </c>
      <c r="L793" s="29" t="s">
        <v>1258</v>
      </c>
      <c r="M793" s="21" t="s">
        <v>1259</v>
      </c>
      <c r="N793" s="48">
        <v>45561</v>
      </c>
      <c r="O793" s="21">
        <f>INDEX(Auxiliar!$D$5:$F$13,MATCH(Table1[[#This Row],[Tipologia_Testes]],Auxiliar!$B$5:$B$13,0),MATCH(Table1[[#This Row],[Complexidade]],Auxiliar!$D$4:$F$4,0))</f>
        <v>0.5</v>
      </c>
      <c r="P793" s="2" t="s">
        <v>1278</v>
      </c>
      <c r="Q793" s="2"/>
      <c r="R793" s="152">
        <v>45561</v>
      </c>
      <c r="S793" s="152"/>
      <c r="T793" s="152">
        <v>45561</v>
      </c>
      <c r="U793" s="152"/>
      <c r="V793" s="152"/>
      <c r="W793" s="2">
        <f>VLOOKUP(Table1[[#This Row],[Status]],Auxiliar!$B$16:$D$24,3,0)*Table1[[#This Row],[Estimação (horas)]]</f>
        <v>0</v>
      </c>
      <c r="X793" s="2"/>
    </row>
    <row r="794" spans="2:24" ht="17.7" customHeight="1" x14ac:dyDescent="0.25">
      <c r="B794" s="2" t="s">
        <v>26</v>
      </c>
      <c r="C794" s="2" t="s">
        <v>181</v>
      </c>
      <c r="D794" s="2" t="s">
        <v>1295</v>
      </c>
      <c r="E794" s="2" t="s">
        <v>38</v>
      </c>
      <c r="F794" s="2" t="s">
        <v>182</v>
      </c>
      <c r="G794" s="2" t="s">
        <v>212</v>
      </c>
      <c r="H794" s="57" t="str">
        <f>Table1[[#This Row],[Tabela]]&amp;Table1[[#This Row],[Campo]]</f>
        <v>modesg_param_sfcs_taxon_europeianivel_mrc</v>
      </c>
      <c r="I794" s="2" t="s">
        <v>613</v>
      </c>
      <c r="J794" s="54">
        <f>VLOOKUP(Table1[[#This Row],[Status]],Auxiliar!$B$16:$C$24,2,0)</f>
        <v>0</v>
      </c>
      <c r="K794" s="2" t="s">
        <v>1255</v>
      </c>
      <c r="L794" s="29" t="s">
        <v>1258</v>
      </c>
      <c r="M794" s="21" t="s">
        <v>1259</v>
      </c>
      <c r="N794" s="48">
        <v>45561</v>
      </c>
      <c r="O794" s="21">
        <f>INDEX(Auxiliar!$D$5:$F$13,MATCH(Table1[[#This Row],[Tipologia_Testes]],Auxiliar!$B$5:$B$13,0),MATCH(Table1[[#This Row],[Complexidade]],Auxiliar!$D$4:$F$4,0))</f>
        <v>0.1</v>
      </c>
      <c r="P794" s="2" t="s">
        <v>1278</v>
      </c>
      <c r="Q794" s="2"/>
      <c r="R794" s="152">
        <v>45561</v>
      </c>
      <c r="S794" s="152"/>
      <c r="T794" s="152">
        <v>45561</v>
      </c>
      <c r="U794" s="152"/>
      <c r="V794" s="152"/>
      <c r="W794" s="2">
        <f>VLOOKUP(Table1[[#This Row],[Status]],Auxiliar!$B$16:$D$24,3,0)*Table1[[#This Row],[Estimação (horas)]]</f>
        <v>0</v>
      </c>
      <c r="X794" s="2"/>
    </row>
    <row r="795" spans="2:24" ht="17.7" customHeight="1" x14ac:dyDescent="0.25">
      <c r="B795" s="13" t="s">
        <v>26</v>
      </c>
      <c r="C795" s="13" t="s">
        <v>181</v>
      </c>
      <c r="D795" s="13" t="s">
        <v>1302</v>
      </c>
      <c r="E795" s="2" t="s">
        <v>38</v>
      </c>
      <c r="F795" s="13" t="s">
        <v>213</v>
      </c>
      <c r="G795" s="13" t="s">
        <v>38</v>
      </c>
      <c r="H795" s="58" t="str">
        <f>Table1[[#This Row],[Tabela]]&amp;Table1[[#This Row],[Campo]]</f>
        <v>modesg_inp_emss_vclsn.a.</v>
      </c>
      <c r="I795" s="2" t="s">
        <v>614</v>
      </c>
      <c r="J795" s="46">
        <f>VLOOKUP(Table1[[#This Row],[Status]],Auxiliar!$B$16:$C$24,2,0)</f>
        <v>1</v>
      </c>
      <c r="K795" s="21" t="s">
        <v>1249</v>
      </c>
      <c r="L795" s="255" t="s">
        <v>1258</v>
      </c>
      <c r="M795" s="21" t="s">
        <v>1259</v>
      </c>
      <c r="N795" s="48">
        <v>45546</v>
      </c>
      <c r="O795" s="21">
        <f>INDEX(Auxiliar!$D$5:$F$13,MATCH(Table1[[#This Row],[Tipologia_Testes]],Auxiliar!$B$5:$B$13,0),MATCH(Table1[[#This Row],[Complexidade]],Auxiliar!$D$4:$F$4,0))</f>
        <v>8</v>
      </c>
      <c r="P795" s="2" t="s">
        <v>1303</v>
      </c>
      <c r="Q795" s="2"/>
      <c r="R795" s="152">
        <v>45261</v>
      </c>
      <c r="S795" s="152"/>
      <c r="T795" s="152"/>
      <c r="U795" s="152">
        <v>45603</v>
      </c>
      <c r="V795" s="152">
        <v>45534</v>
      </c>
      <c r="W795" s="2">
        <f>VLOOKUP(Table1[[#This Row],[Status]],Auxiliar!$B$16:$D$24,3,0)*Table1[[#This Row],[Estimação (horas)]]</f>
        <v>8</v>
      </c>
      <c r="X795" s="2"/>
    </row>
    <row r="796" spans="2:24" ht="17.7" customHeight="1" x14ac:dyDescent="0.25">
      <c r="B796" s="13" t="s">
        <v>26</v>
      </c>
      <c r="C796" s="13" t="s">
        <v>181</v>
      </c>
      <c r="D796" s="13" t="s">
        <v>1302</v>
      </c>
      <c r="E796" s="2" t="s">
        <v>38</v>
      </c>
      <c r="F796" s="13" t="s">
        <v>213</v>
      </c>
      <c r="G796" s="13" t="s">
        <v>38</v>
      </c>
      <c r="H796" s="58" t="str">
        <f>Table1[[#This Row],[Tabela]]&amp;Table1[[#This Row],[Campo]]</f>
        <v>modesg_inp_emss_vclsn.a.</v>
      </c>
      <c r="I796" s="2" t="s">
        <v>614</v>
      </c>
      <c r="J796" s="46">
        <f>VLOOKUP(Table1[[#This Row],[Status]],Auxiliar!$B$16:$C$24,2,0)</f>
        <v>1</v>
      </c>
      <c r="K796" s="21" t="s">
        <v>1296</v>
      </c>
      <c r="L796" s="255" t="s">
        <v>1258</v>
      </c>
      <c r="M796" s="21" t="s">
        <v>1259</v>
      </c>
      <c r="N796" s="48">
        <v>45546</v>
      </c>
      <c r="O796" s="21">
        <f>INDEX(Auxiliar!$D$5:$F$13,MATCH(Table1[[#This Row],[Tipologia_Testes]],Auxiliar!$B$5:$B$13,0),MATCH(Table1[[#This Row],[Complexidade]],Auxiliar!$D$4:$F$4,0))</f>
        <v>0.5</v>
      </c>
      <c r="P796" s="2" t="s">
        <v>1304</v>
      </c>
      <c r="Q796" s="2" t="s">
        <v>1305</v>
      </c>
      <c r="R796" s="152">
        <v>45261</v>
      </c>
      <c r="S796" s="152"/>
      <c r="T796" s="152">
        <v>45471</v>
      </c>
      <c r="U796" s="152">
        <v>45603</v>
      </c>
      <c r="V796" s="152">
        <v>45534</v>
      </c>
      <c r="W796" s="2">
        <f>VLOOKUP(Table1[[#This Row],[Status]],Auxiliar!$B$16:$D$24,3,0)*Table1[[#This Row],[Estimação (horas)]]</f>
        <v>0.5</v>
      </c>
      <c r="X796" s="2"/>
    </row>
    <row r="797" spans="2:24" ht="17.7" customHeight="1" x14ac:dyDescent="0.25">
      <c r="B797" s="13" t="s">
        <v>26</v>
      </c>
      <c r="C797" s="13" t="s">
        <v>181</v>
      </c>
      <c r="D797" s="13" t="s">
        <v>1302</v>
      </c>
      <c r="E797" s="2" t="s">
        <v>38</v>
      </c>
      <c r="F797" s="13" t="s">
        <v>214</v>
      </c>
      <c r="G797" s="13" t="s">
        <v>38</v>
      </c>
      <c r="H797" s="58" t="str">
        <f>Table1[[#This Row],[Tabela]]&amp;Table1[[#This Row],[Campo]]</f>
        <v>modesg_inp_km_medios_emss_vclsn.a.</v>
      </c>
      <c r="I797" s="2" t="s">
        <v>614</v>
      </c>
      <c r="J797" s="46">
        <f>VLOOKUP(Table1[[#This Row],[Status]],Auxiliar!$B$16:$C$24,2,0)</f>
        <v>1</v>
      </c>
      <c r="K797" s="21" t="s">
        <v>1249</v>
      </c>
      <c r="L797" s="22"/>
      <c r="M797" s="21" t="s">
        <v>1259</v>
      </c>
      <c r="N797" s="48">
        <v>45537</v>
      </c>
      <c r="O797" s="21">
        <f>INDEX(Auxiliar!$D$5:$F$13,MATCH(Table1[[#This Row],[Tipologia_Testes]],Auxiliar!$B$5:$B$13,0),MATCH(Table1[[#This Row],[Complexidade]],Auxiliar!$D$4:$F$4,0))</f>
        <v>8</v>
      </c>
      <c r="P797" s="2"/>
      <c r="Q797" s="2"/>
      <c r="R797" s="152">
        <v>45261</v>
      </c>
      <c r="S797" s="152"/>
      <c r="T797" s="152"/>
      <c r="U797" s="152">
        <v>45603</v>
      </c>
      <c r="V797" s="152">
        <v>45534</v>
      </c>
      <c r="W797" s="2">
        <f>VLOOKUP(Table1[[#This Row],[Status]],Auxiliar!$B$16:$D$24,3,0)*Table1[[#This Row],[Estimação (horas)]]</f>
        <v>8</v>
      </c>
      <c r="X797" s="2"/>
    </row>
    <row r="798" spans="2:24" ht="17.7" customHeight="1" x14ac:dyDescent="0.25">
      <c r="B798" s="13" t="s">
        <v>26</v>
      </c>
      <c r="C798" s="13" t="s">
        <v>181</v>
      </c>
      <c r="D798" s="13" t="s">
        <v>1302</v>
      </c>
      <c r="E798" s="2" t="s">
        <v>38</v>
      </c>
      <c r="F798" s="13" t="s">
        <v>214</v>
      </c>
      <c r="G798" s="13" t="s">
        <v>38</v>
      </c>
      <c r="H798" s="58" t="str">
        <f>Table1[[#This Row],[Tabela]]&amp;Table1[[#This Row],[Campo]]</f>
        <v>modesg_inp_km_medios_emss_vclsn.a.</v>
      </c>
      <c r="I798" s="2" t="s">
        <v>614</v>
      </c>
      <c r="J798" s="46">
        <f>VLOOKUP(Table1[[#This Row],[Status]],Auxiliar!$B$16:$C$24,2,0)</f>
        <v>1</v>
      </c>
      <c r="K798" s="21" t="s">
        <v>1296</v>
      </c>
      <c r="L798" s="22"/>
      <c r="M798" s="21" t="s">
        <v>1259</v>
      </c>
      <c r="N798" s="48">
        <v>45537</v>
      </c>
      <c r="O798" s="21">
        <f>INDEX(Auxiliar!$D$5:$F$13,MATCH(Table1[[#This Row],[Tipologia_Testes]],Auxiliar!$B$5:$B$13,0),MATCH(Table1[[#This Row],[Complexidade]],Auxiliar!$D$4:$F$4,0))</f>
        <v>0.5</v>
      </c>
      <c r="P798" s="2"/>
      <c r="Q798" s="2"/>
      <c r="R798" s="152">
        <v>45261</v>
      </c>
      <c r="S798" s="152"/>
      <c r="T798" s="152"/>
      <c r="U798" s="152">
        <v>45603</v>
      </c>
      <c r="V798" s="152">
        <v>45534</v>
      </c>
      <c r="W798" s="2">
        <f>VLOOKUP(Table1[[#This Row],[Status]],Auxiliar!$B$16:$D$24,3,0)*Table1[[#This Row],[Estimação (horas)]]</f>
        <v>0.5</v>
      </c>
      <c r="X798" s="2"/>
    </row>
    <row r="799" spans="2:24" ht="17.7" customHeight="1" x14ac:dyDescent="0.25">
      <c r="B799" s="13" t="s">
        <v>26</v>
      </c>
      <c r="C799" s="13" t="s">
        <v>181</v>
      </c>
      <c r="D799" s="13" t="s">
        <v>1306</v>
      </c>
      <c r="E799" s="2" t="s">
        <v>38</v>
      </c>
      <c r="F799" s="13" t="s">
        <v>215</v>
      </c>
      <c r="G799" s="13" t="s">
        <v>38</v>
      </c>
      <c r="H799" s="58" t="str">
        <f>Table1[[#This Row],[Tabela]]&amp;Table1[[#This Row],[Campo]]</f>
        <v>modesg_inp_empr_excl_parisn.a.</v>
      </c>
      <c r="I799" s="2" t="s">
        <v>614</v>
      </c>
      <c r="J799" s="46">
        <f>VLOOKUP(Table1[[#This Row],[Status]],Auxiliar!$B$16:$C$24,2,0)</f>
        <v>1</v>
      </c>
      <c r="K799" s="21" t="s">
        <v>1249</v>
      </c>
      <c r="L799" s="22"/>
      <c r="M799" s="21" t="s">
        <v>1259</v>
      </c>
      <c r="N799" s="48">
        <v>45491</v>
      </c>
      <c r="O799" s="21">
        <f>INDEX(Auxiliar!$D$5:$F$13,MATCH(Table1[[#This Row],[Tipologia_Testes]],Auxiliar!$B$5:$B$13,0),MATCH(Table1[[#This Row],[Complexidade]],Auxiliar!$D$4:$F$4,0))</f>
        <v>8</v>
      </c>
      <c r="P799" s="2" t="s">
        <v>1307</v>
      </c>
      <c r="Q799" s="2"/>
      <c r="R799" s="152">
        <v>45261</v>
      </c>
      <c r="S799" s="152"/>
      <c r="T799" s="152"/>
      <c r="U799" s="152">
        <v>45603</v>
      </c>
      <c r="V799" s="152"/>
      <c r="W799" s="2">
        <f>VLOOKUP(Table1[[#This Row],[Status]],Auxiliar!$B$16:$D$24,3,0)*Table1[[#This Row],[Estimação (horas)]]</f>
        <v>8</v>
      </c>
      <c r="X799" s="2"/>
    </row>
    <row r="800" spans="2:24" ht="17.7" customHeight="1" x14ac:dyDescent="0.25">
      <c r="B800" s="13" t="s">
        <v>26</v>
      </c>
      <c r="C800" s="13" t="s">
        <v>181</v>
      </c>
      <c r="D800" s="13" t="s">
        <v>1306</v>
      </c>
      <c r="E800" s="2" t="s">
        <v>38</v>
      </c>
      <c r="F800" s="13" t="s">
        <v>215</v>
      </c>
      <c r="G800" s="13" t="s">
        <v>38</v>
      </c>
      <c r="H800" s="58" t="str">
        <f>Table1[[#This Row],[Tabela]]&amp;Table1[[#This Row],[Campo]]</f>
        <v>modesg_inp_empr_excl_parisn.a.</v>
      </c>
      <c r="I800" s="2" t="s">
        <v>614</v>
      </c>
      <c r="J800" s="46">
        <f>VLOOKUP(Table1[[#This Row],[Status]],Auxiliar!$B$16:$C$24,2,0)</f>
        <v>1</v>
      </c>
      <c r="K800" s="21" t="s">
        <v>1296</v>
      </c>
      <c r="L800" s="22"/>
      <c r="M800" s="21" t="s">
        <v>1259</v>
      </c>
      <c r="N800" s="48">
        <v>45491</v>
      </c>
      <c r="O800" s="21">
        <f>INDEX(Auxiliar!$D$5:$F$13,MATCH(Table1[[#This Row],[Tipologia_Testes]],Auxiliar!$B$5:$B$13,0),MATCH(Table1[[#This Row],[Complexidade]],Auxiliar!$D$4:$F$4,0))</f>
        <v>0.5</v>
      </c>
      <c r="P800" s="2" t="s">
        <v>1308</v>
      </c>
      <c r="Q800" s="2"/>
      <c r="R800" s="152">
        <v>45261</v>
      </c>
      <c r="S800" s="152"/>
      <c r="T800" s="152"/>
      <c r="U800" s="152">
        <v>45603</v>
      </c>
      <c r="V800" s="152"/>
      <c r="W800" s="2">
        <f>VLOOKUP(Table1[[#This Row],[Status]],Auxiliar!$B$16:$D$24,3,0)*Table1[[#This Row],[Estimação (horas)]]</f>
        <v>0.5</v>
      </c>
      <c r="X800" s="2"/>
    </row>
    <row r="801" spans="2:24" ht="17.7" customHeight="1" x14ac:dyDescent="0.25">
      <c r="B801" s="13" t="s">
        <v>26</v>
      </c>
      <c r="C801" s="13" t="s">
        <v>181</v>
      </c>
      <c r="D801" s="13" t="s">
        <v>1309</v>
      </c>
      <c r="E801" s="2" t="s">
        <v>38</v>
      </c>
      <c r="F801" s="13" t="s">
        <v>216</v>
      </c>
      <c r="G801" s="13" t="s">
        <v>38</v>
      </c>
      <c r="H801" s="58" t="str">
        <f>Table1[[#This Row],[Tabela]]&amp;Table1[[#This Row],[Campo]]</f>
        <v>modesg_inp_nfrd_alinhamento_taxn.a.</v>
      </c>
      <c r="I801" s="2" t="s">
        <v>614</v>
      </c>
      <c r="J801" s="46">
        <f>VLOOKUP(Table1[[#This Row],[Status]],Auxiliar!$B$16:$C$24,2,0)</f>
        <v>1</v>
      </c>
      <c r="K801" s="21" t="s">
        <v>1249</v>
      </c>
      <c r="L801" s="22"/>
      <c r="M801" s="21" t="s">
        <v>1259</v>
      </c>
      <c r="N801" s="48">
        <v>45540</v>
      </c>
      <c r="O801" s="21">
        <f>INDEX(Auxiliar!$D$5:$F$13,MATCH(Table1[[#This Row],[Tipologia_Testes]],Auxiliar!$B$5:$B$13,0),MATCH(Table1[[#This Row],[Complexidade]],Auxiliar!$D$4:$F$4,0))</f>
        <v>8</v>
      </c>
      <c r="P801" s="2"/>
      <c r="Q801" s="2"/>
      <c r="R801" s="152">
        <v>45261</v>
      </c>
      <c r="S801" s="152"/>
      <c r="T801" s="152"/>
      <c r="U801" s="152">
        <v>45603</v>
      </c>
      <c r="V801" s="152">
        <v>45534</v>
      </c>
      <c r="W801" s="2">
        <f>VLOOKUP(Table1[[#This Row],[Status]],Auxiliar!$B$16:$D$24,3,0)*Table1[[#This Row],[Estimação (horas)]]</f>
        <v>8</v>
      </c>
      <c r="X801" s="2"/>
    </row>
    <row r="802" spans="2:24" ht="17.7" customHeight="1" x14ac:dyDescent="0.25">
      <c r="B802" s="13" t="s">
        <v>26</v>
      </c>
      <c r="C802" s="13" t="s">
        <v>181</v>
      </c>
      <c r="D802" s="13" t="s">
        <v>1309</v>
      </c>
      <c r="E802" s="2" t="s">
        <v>38</v>
      </c>
      <c r="F802" s="13" t="s">
        <v>216</v>
      </c>
      <c r="G802" s="13" t="s">
        <v>38</v>
      </c>
      <c r="H802" s="58" t="str">
        <f>Table1[[#This Row],[Tabela]]&amp;Table1[[#This Row],[Campo]]</f>
        <v>modesg_inp_nfrd_alinhamento_taxn.a.</v>
      </c>
      <c r="I802" s="2" t="s">
        <v>614</v>
      </c>
      <c r="J802" s="46">
        <f>VLOOKUP(Table1[[#This Row],[Status]],Auxiliar!$B$16:$C$24,2,0)</f>
        <v>1</v>
      </c>
      <c r="K802" s="21" t="s">
        <v>1296</v>
      </c>
      <c r="L802" s="22"/>
      <c r="M802" s="21" t="s">
        <v>1259</v>
      </c>
      <c r="N802" s="48">
        <v>45540</v>
      </c>
      <c r="O802" s="21">
        <f>INDEX(Auxiliar!$D$5:$F$13,MATCH(Table1[[#This Row],[Tipologia_Testes]],Auxiliar!$B$5:$B$13,0),MATCH(Table1[[#This Row],[Complexidade]],Auxiliar!$D$4:$F$4,0))</f>
        <v>0.5</v>
      </c>
      <c r="P802" s="2"/>
      <c r="Q802" s="2"/>
      <c r="R802" s="152">
        <v>45261</v>
      </c>
      <c r="S802" s="152"/>
      <c r="T802" s="152"/>
      <c r="U802" s="152">
        <v>45603</v>
      </c>
      <c r="V802" s="152">
        <v>45534</v>
      </c>
      <c r="W802" s="2">
        <f>VLOOKUP(Table1[[#This Row],[Status]],Auxiliar!$B$16:$D$24,3,0)*Table1[[#This Row],[Estimação (horas)]]</f>
        <v>0.5</v>
      </c>
      <c r="X802" s="2"/>
    </row>
    <row r="803" spans="2:24" ht="17.7" customHeight="1" x14ac:dyDescent="0.25">
      <c r="B803" s="13" t="s">
        <v>26</v>
      </c>
      <c r="C803" s="13" t="s">
        <v>181</v>
      </c>
      <c r="D803" s="13" t="s">
        <v>1310</v>
      </c>
      <c r="E803" s="2" t="s">
        <v>38</v>
      </c>
      <c r="F803" s="13" t="s">
        <v>217</v>
      </c>
      <c r="G803" s="13" t="s">
        <v>38</v>
      </c>
      <c r="H803" s="58" t="str">
        <f>Table1[[#This Row],[Tabela]]&amp;Table1[[#This Row],[Campo]]</f>
        <v>modesg_inp_risco_fisicon.a.</v>
      </c>
      <c r="I803" s="2" t="s">
        <v>614</v>
      </c>
      <c r="J803" s="46">
        <f>VLOOKUP(Table1[[#This Row],[Status]],Auxiliar!$B$16:$C$24,2,0)</f>
        <v>1</v>
      </c>
      <c r="K803" s="21" t="s">
        <v>1249</v>
      </c>
      <c r="L803" s="21" t="s">
        <v>1258</v>
      </c>
      <c r="M803" s="21" t="s">
        <v>1259</v>
      </c>
      <c r="N803" s="48">
        <v>45485</v>
      </c>
      <c r="O803" s="21">
        <f>INDEX(Auxiliar!$D$5:$F$13,MATCH(Table1[[#This Row],[Tipologia_Testes]],Auxiliar!$B$5:$B$13,0),MATCH(Table1[[#This Row],[Complexidade]],Auxiliar!$D$4:$F$4,0))</f>
        <v>8</v>
      </c>
      <c r="P803" s="2"/>
      <c r="Q803" s="2"/>
      <c r="R803" s="152">
        <v>45261</v>
      </c>
      <c r="S803" s="152"/>
      <c r="T803" s="152"/>
      <c r="U803" s="152">
        <v>45603</v>
      </c>
      <c r="V803" s="152"/>
      <c r="W803" s="2">
        <f>VLOOKUP(Table1[[#This Row],[Status]],Auxiliar!$B$16:$D$24,3,0)*Table1[[#This Row],[Estimação (horas)]]</f>
        <v>8</v>
      </c>
      <c r="X803" s="2"/>
    </row>
    <row r="804" spans="2:24" ht="17.7" customHeight="1" x14ac:dyDescent="0.25">
      <c r="B804" s="13" t="s">
        <v>26</v>
      </c>
      <c r="C804" s="13" t="s">
        <v>181</v>
      </c>
      <c r="D804" s="13" t="s">
        <v>1310</v>
      </c>
      <c r="E804" s="2" t="s">
        <v>38</v>
      </c>
      <c r="F804" s="13" t="s">
        <v>217</v>
      </c>
      <c r="G804" s="13" t="s">
        <v>38</v>
      </c>
      <c r="H804" s="58" t="str">
        <f>Table1[[#This Row],[Tabela]]&amp;Table1[[#This Row],[Campo]]</f>
        <v>modesg_inp_risco_fisicon.a.</v>
      </c>
      <c r="I804" s="2" t="s">
        <v>614</v>
      </c>
      <c r="J804" s="46">
        <f>VLOOKUP(Table1[[#This Row],[Status]],Auxiliar!$B$16:$C$24,2,0)</f>
        <v>1</v>
      </c>
      <c r="K804" s="21" t="s">
        <v>1296</v>
      </c>
      <c r="L804" s="21" t="s">
        <v>1250</v>
      </c>
      <c r="M804" s="21" t="s">
        <v>1259</v>
      </c>
      <c r="N804" s="48">
        <v>45485</v>
      </c>
      <c r="O804" s="21">
        <f>INDEX(Auxiliar!$D$5:$F$13,MATCH(Table1[[#This Row],[Tipologia_Testes]],Auxiliar!$B$5:$B$13,0),MATCH(Table1[[#This Row],[Complexidade]],Auxiliar!$D$4:$F$4,0))</f>
        <v>0.5</v>
      </c>
      <c r="P804" s="2" t="s">
        <v>1308</v>
      </c>
      <c r="Q804" s="2"/>
      <c r="R804" s="152">
        <v>45261</v>
      </c>
      <c r="S804" s="152"/>
      <c r="T804" s="152"/>
      <c r="U804" s="152">
        <v>45603</v>
      </c>
      <c r="V804" s="152"/>
      <c r="W804" s="2">
        <f>VLOOKUP(Table1[[#This Row],[Status]],Auxiliar!$B$16:$D$24,3,0)*Table1[[#This Row],[Estimação (horas)]]</f>
        <v>0.5</v>
      </c>
      <c r="X804" s="2"/>
    </row>
    <row r="805" spans="2:24" ht="17.7" customHeight="1" x14ac:dyDescent="0.25">
      <c r="B805" s="13" t="s">
        <v>26</v>
      </c>
      <c r="C805" s="13" t="s">
        <v>181</v>
      </c>
      <c r="D805" s="13" t="s">
        <v>1302</v>
      </c>
      <c r="E805" s="2" t="s">
        <v>38</v>
      </c>
      <c r="F805" s="13" t="s">
        <v>218</v>
      </c>
      <c r="G805" s="13" t="s">
        <v>38</v>
      </c>
      <c r="H805" s="58" t="str">
        <f>Table1[[#This Row],[Tabela]]&amp;Table1[[#This Row],[Campo]]</f>
        <v>modesg_inp_emss_scibn.a.</v>
      </c>
      <c r="I805" s="2" t="s">
        <v>614</v>
      </c>
      <c r="J805" s="46">
        <f>VLOOKUP(Table1[[#This Row],[Status]],Auxiliar!$B$16:$C$24,2,0)</f>
        <v>1</v>
      </c>
      <c r="K805" s="21" t="s">
        <v>1249</v>
      </c>
      <c r="L805" s="21" t="s">
        <v>1258</v>
      </c>
      <c r="M805" s="21" t="s">
        <v>1259</v>
      </c>
      <c r="N805" s="48">
        <v>45490</v>
      </c>
      <c r="O805" s="21">
        <f>INDEX(Auxiliar!$D$5:$F$13,MATCH(Table1[[#This Row],[Tipologia_Testes]],Auxiliar!$B$5:$B$13,0),MATCH(Table1[[#This Row],[Complexidade]],Auxiliar!$D$4:$F$4,0))</f>
        <v>8</v>
      </c>
      <c r="P805" s="2"/>
      <c r="Q805" s="2" t="s">
        <v>1305</v>
      </c>
      <c r="R805" s="152">
        <v>45261</v>
      </c>
      <c r="S805" s="152"/>
      <c r="T805" s="152"/>
      <c r="U805" s="152">
        <v>45603</v>
      </c>
      <c r="V805" s="152"/>
      <c r="W805" s="2">
        <f>VLOOKUP(Table1[[#This Row],[Status]],Auxiliar!$B$16:$D$24,3,0)*Table1[[#This Row],[Estimação (horas)]]</f>
        <v>8</v>
      </c>
      <c r="X805" s="2"/>
    </row>
    <row r="806" spans="2:24" ht="17.7" customHeight="1" x14ac:dyDescent="0.25">
      <c r="B806" s="13" t="s">
        <v>26</v>
      </c>
      <c r="C806" s="13" t="s">
        <v>181</v>
      </c>
      <c r="D806" s="13" t="s">
        <v>1302</v>
      </c>
      <c r="E806" s="2" t="s">
        <v>38</v>
      </c>
      <c r="F806" s="13" t="s">
        <v>218</v>
      </c>
      <c r="G806" s="13" t="s">
        <v>38</v>
      </c>
      <c r="H806" s="58" t="str">
        <f>Table1[[#This Row],[Tabela]]&amp;Table1[[#This Row],[Campo]]</f>
        <v>modesg_inp_emss_scibn.a.</v>
      </c>
      <c r="I806" s="2" t="s">
        <v>614</v>
      </c>
      <c r="J806" s="46">
        <f>VLOOKUP(Table1[[#This Row],[Status]],Auxiliar!$B$16:$C$24,2,0)</f>
        <v>1</v>
      </c>
      <c r="K806" s="21" t="s">
        <v>1296</v>
      </c>
      <c r="L806" s="21" t="s">
        <v>1250</v>
      </c>
      <c r="M806" s="21" t="s">
        <v>1259</v>
      </c>
      <c r="N806" s="48">
        <v>45490</v>
      </c>
      <c r="O806" s="21">
        <f>INDEX(Auxiliar!$D$5:$F$13,MATCH(Table1[[#This Row],[Tipologia_Testes]],Auxiliar!$B$5:$B$13,0),MATCH(Table1[[#This Row],[Complexidade]],Auxiliar!$D$4:$F$4,0))</f>
        <v>0.5</v>
      </c>
      <c r="P806" s="2"/>
      <c r="Q806" s="2" t="s">
        <v>1305</v>
      </c>
      <c r="R806" s="152">
        <v>45261</v>
      </c>
      <c r="S806" s="152"/>
      <c r="T806" s="152"/>
      <c r="U806" s="152">
        <v>45603</v>
      </c>
      <c r="V806" s="152"/>
      <c r="W806" s="2">
        <f>VLOOKUP(Table1[[#This Row],[Status]],Auxiliar!$B$16:$D$24,3,0)*Table1[[#This Row],[Estimação (horas)]]</f>
        <v>0.5</v>
      </c>
      <c r="X806" s="2"/>
    </row>
    <row r="807" spans="2:24" ht="17.7" customHeight="1" x14ac:dyDescent="0.25">
      <c r="B807" s="13" t="s">
        <v>26</v>
      </c>
      <c r="C807" s="13" t="s">
        <v>181</v>
      </c>
      <c r="D807" s="13" t="s">
        <v>1302</v>
      </c>
      <c r="E807" s="2" t="s">
        <v>38</v>
      </c>
      <c r="F807" s="13" t="s">
        <v>219</v>
      </c>
      <c r="G807" s="13" t="s">
        <v>38</v>
      </c>
      <c r="H807" s="58" t="str">
        <f>Table1[[#This Row],[Tabela]]&amp;Table1[[#This Row],[Campo]]</f>
        <v>modesg_inp_emss_nacen.a.</v>
      </c>
      <c r="I807" s="2" t="s">
        <v>614</v>
      </c>
      <c r="J807" s="46">
        <f>VLOOKUP(Table1[[#This Row],[Status]],Auxiliar!$B$16:$C$24,2,0)</f>
        <v>1</v>
      </c>
      <c r="K807" s="21" t="s">
        <v>1249</v>
      </c>
      <c r="L807" s="21" t="s">
        <v>1258</v>
      </c>
      <c r="M807" s="21" t="s">
        <v>1259</v>
      </c>
      <c r="N807" s="48">
        <v>45540</v>
      </c>
      <c r="O807" s="21">
        <f>INDEX(Auxiliar!$D$5:$F$13,MATCH(Table1[[#This Row],[Tipologia_Testes]],Auxiliar!$B$5:$B$13,0),MATCH(Table1[[#This Row],[Complexidade]],Auxiliar!$D$4:$F$4,0))</f>
        <v>8</v>
      </c>
      <c r="P807" s="2"/>
      <c r="Q807" s="2"/>
      <c r="R807" s="152">
        <v>45261</v>
      </c>
      <c r="S807" s="152"/>
      <c r="T807" s="152"/>
      <c r="U807" s="152">
        <v>45603</v>
      </c>
      <c r="V807" s="152"/>
      <c r="W807" s="2">
        <f>VLOOKUP(Table1[[#This Row],[Status]],Auxiliar!$B$16:$D$24,3,0)*Table1[[#This Row],[Estimação (horas)]]</f>
        <v>8</v>
      </c>
      <c r="X807" s="2"/>
    </row>
    <row r="808" spans="2:24" ht="17.7" customHeight="1" x14ac:dyDescent="0.25">
      <c r="B808" s="13" t="s">
        <v>26</v>
      </c>
      <c r="C808" s="13" t="s">
        <v>181</v>
      </c>
      <c r="D808" s="13" t="s">
        <v>1302</v>
      </c>
      <c r="E808" s="2" t="s">
        <v>38</v>
      </c>
      <c r="F808" s="13" t="s">
        <v>219</v>
      </c>
      <c r="G808" s="13" t="s">
        <v>38</v>
      </c>
      <c r="H808" s="58" t="str">
        <f>Table1[[#This Row],[Tabela]]&amp;Table1[[#This Row],[Campo]]</f>
        <v>modesg_inp_emss_nacen.a.</v>
      </c>
      <c r="I808" s="2" t="s">
        <v>614</v>
      </c>
      <c r="J808" s="46">
        <f>VLOOKUP(Table1[[#This Row],[Status]],Auxiliar!$B$16:$C$24,2,0)</f>
        <v>1</v>
      </c>
      <c r="K808" s="21" t="s">
        <v>1296</v>
      </c>
      <c r="L808" s="21" t="s">
        <v>1250</v>
      </c>
      <c r="M808" s="21" t="s">
        <v>1259</v>
      </c>
      <c r="N808" s="48">
        <v>45540</v>
      </c>
      <c r="O808" s="21">
        <f>INDEX(Auxiliar!$D$5:$F$13,MATCH(Table1[[#This Row],[Tipologia_Testes]],Auxiliar!$B$5:$B$13,0),MATCH(Table1[[#This Row],[Complexidade]],Auxiliar!$D$4:$F$4,0))</f>
        <v>0.5</v>
      </c>
      <c r="P808" s="2"/>
      <c r="Q808" s="2"/>
      <c r="R808" s="152">
        <v>45261</v>
      </c>
      <c r="S808" s="152"/>
      <c r="T808" s="152"/>
      <c r="U808" s="152">
        <v>45603</v>
      </c>
      <c r="V808" s="152"/>
      <c r="W808" s="2">
        <f>VLOOKUP(Table1[[#This Row],[Status]],Auxiliar!$B$16:$D$24,3,0)*Table1[[#This Row],[Estimação (horas)]]</f>
        <v>0.5</v>
      </c>
      <c r="X808" s="2"/>
    </row>
    <row r="809" spans="2:24" ht="17.7" customHeight="1" x14ac:dyDescent="0.25">
      <c r="B809" s="13" t="s">
        <v>26</v>
      </c>
      <c r="C809" s="13" t="s">
        <v>181</v>
      </c>
      <c r="D809" s="13" t="s">
        <v>1302</v>
      </c>
      <c r="E809" s="2" t="s">
        <v>38</v>
      </c>
      <c r="F809" s="13" t="s">
        <v>220</v>
      </c>
      <c r="G809" s="13" t="s">
        <v>38</v>
      </c>
      <c r="H809" s="58" t="str">
        <f>Table1[[#This Row],[Tabela]]&amp;Table1[[#This Row],[Campo]]</f>
        <v>modesg_inp_emss_bens_imoveisn.a.</v>
      </c>
      <c r="I809" s="2" t="s">
        <v>614</v>
      </c>
      <c r="J809" s="46">
        <f>VLOOKUP(Table1[[#This Row],[Status]],Auxiliar!$B$16:$C$24,2,0)</f>
        <v>1</v>
      </c>
      <c r="K809" s="21" t="s">
        <v>1249</v>
      </c>
      <c r="L809" s="21" t="s">
        <v>1258</v>
      </c>
      <c r="M809" s="21" t="s">
        <v>1259</v>
      </c>
      <c r="N809" s="48">
        <v>45546</v>
      </c>
      <c r="O809" s="21">
        <f>INDEX(Auxiliar!$D$5:$F$13,MATCH(Table1[[#This Row],[Tipologia_Testes]],Auxiliar!$B$5:$B$13,0),MATCH(Table1[[#This Row],[Complexidade]],Auxiliar!$D$4:$F$4,0))</f>
        <v>8</v>
      </c>
      <c r="P809" s="2"/>
      <c r="Q809" s="2"/>
      <c r="R809" s="152">
        <v>45261</v>
      </c>
      <c r="S809" s="152"/>
      <c r="T809" s="152"/>
      <c r="U809" s="152">
        <v>45603</v>
      </c>
      <c r="V809" s="152">
        <v>45534</v>
      </c>
      <c r="W809" s="2">
        <f>VLOOKUP(Table1[[#This Row],[Status]],Auxiliar!$B$16:$D$24,3,0)*Table1[[#This Row],[Estimação (horas)]]</f>
        <v>8</v>
      </c>
      <c r="X809" s="2"/>
    </row>
    <row r="810" spans="2:24" ht="17.7" customHeight="1" x14ac:dyDescent="0.25">
      <c r="B810" s="13" t="s">
        <v>26</v>
      </c>
      <c r="C810" s="13" t="s">
        <v>181</v>
      </c>
      <c r="D810" s="13" t="s">
        <v>1302</v>
      </c>
      <c r="E810" s="2" t="s">
        <v>38</v>
      </c>
      <c r="F810" s="13" t="s">
        <v>220</v>
      </c>
      <c r="G810" s="13" t="s">
        <v>38</v>
      </c>
      <c r="H810" s="58" t="str">
        <f>Table1[[#This Row],[Tabela]]&amp;Table1[[#This Row],[Campo]]</f>
        <v>modesg_inp_emss_bens_imoveisn.a.</v>
      </c>
      <c r="I810" s="2" t="s">
        <v>614</v>
      </c>
      <c r="J810" s="46">
        <f>VLOOKUP(Table1[[#This Row],[Status]],Auxiliar!$B$16:$C$24,2,0)</f>
        <v>1</v>
      </c>
      <c r="K810" s="21" t="s">
        <v>1296</v>
      </c>
      <c r="L810" s="21" t="s">
        <v>1250</v>
      </c>
      <c r="M810" s="21" t="s">
        <v>1259</v>
      </c>
      <c r="N810" s="48">
        <v>45546</v>
      </c>
      <c r="O810" s="21">
        <f>INDEX(Auxiliar!$D$5:$F$13,MATCH(Table1[[#This Row],[Tipologia_Testes]],Auxiliar!$B$5:$B$13,0),MATCH(Table1[[#This Row],[Complexidade]],Auxiliar!$D$4:$F$4,0))</f>
        <v>0.5</v>
      </c>
      <c r="P810" s="2" t="s">
        <v>1311</v>
      </c>
      <c r="Q810" s="2"/>
      <c r="R810" s="152">
        <v>45261</v>
      </c>
      <c r="S810" s="152"/>
      <c r="T810" s="152"/>
      <c r="U810" s="152">
        <v>45603</v>
      </c>
      <c r="V810" s="152">
        <v>45534</v>
      </c>
      <c r="W810" s="2">
        <f>VLOOKUP(Table1[[#This Row],[Status]],Auxiliar!$B$16:$D$24,3,0)*Table1[[#This Row],[Estimação (horas)]]</f>
        <v>0.5</v>
      </c>
      <c r="X810" s="2"/>
    </row>
    <row r="811" spans="2:24" ht="17.7" customHeight="1" x14ac:dyDescent="0.25">
      <c r="B811" s="13" t="s">
        <v>26</v>
      </c>
      <c r="C811" s="13" t="s">
        <v>181</v>
      </c>
      <c r="D811" s="13" t="s">
        <v>1302</v>
      </c>
      <c r="E811" s="2" t="s">
        <v>38</v>
      </c>
      <c r="F811" s="13" t="s">
        <v>213</v>
      </c>
      <c r="G811" s="13" t="s">
        <v>208</v>
      </c>
      <c r="H811" s="58" t="str">
        <f>Table1[[#This Row],[Tabela]]&amp;Table1[[#This Row],[Campo]]</f>
        <v>modesg_inp_emss_vclsref_date</v>
      </c>
      <c r="I811" s="2" t="s">
        <v>614</v>
      </c>
      <c r="J811" s="46">
        <f>VLOOKUP(Table1[[#This Row],[Status]],Auxiliar!$B$16:$C$24,2,0)</f>
        <v>1</v>
      </c>
      <c r="K811" s="21" t="s">
        <v>1263</v>
      </c>
      <c r="L811" s="21" t="s">
        <v>1258</v>
      </c>
      <c r="M811" s="21" t="s">
        <v>1260</v>
      </c>
      <c r="N811" s="48">
        <v>45546</v>
      </c>
      <c r="O811" s="21">
        <f>INDEX(Auxiliar!$D$5:$F$13,MATCH(Table1[[#This Row],[Tipologia_Testes]],Auxiliar!$B$5:$B$13,0),MATCH(Table1[[#This Row],[Complexidade]],Auxiliar!$D$4:$F$4,0))</f>
        <v>0.5</v>
      </c>
      <c r="P811" s="2" t="s">
        <v>1312</v>
      </c>
      <c r="Q811" s="2"/>
      <c r="R811" s="152">
        <v>45261</v>
      </c>
      <c r="S811" s="152"/>
      <c r="T811" s="152"/>
      <c r="U811" s="152">
        <v>45603</v>
      </c>
      <c r="V811" s="152">
        <v>45534</v>
      </c>
      <c r="W811" s="2">
        <f>VLOOKUP(Table1[[#This Row],[Status]],Auxiliar!$B$16:$D$24,3,0)*Table1[[#This Row],[Estimação (horas)]]</f>
        <v>0.5</v>
      </c>
      <c r="X811" s="2"/>
    </row>
    <row r="812" spans="2:24" ht="17.7" customHeight="1" x14ac:dyDescent="0.25">
      <c r="B812" s="13" t="s">
        <v>26</v>
      </c>
      <c r="C812" s="13" t="s">
        <v>181</v>
      </c>
      <c r="D812" s="13" t="s">
        <v>1302</v>
      </c>
      <c r="E812" s="2" t="s">
        <v>38</v>
      </c>
      <c r="F812" s="13" t="s">
        <v>213</v>
      </c>
      <c r="G812" s="13" t="s">
        <v>221</v>
      </c>
      <c r="H812" s="58" t="str">
        <f>Table1[[#This Row],[Tabela]]&amp;Table1[[#This Row],[Campo]]</f>
        <v>modesg_inp_emss_vclsnome_regiao</v>
      </c>
      <c r="I812" s="2" t="s">
        <v>614</v>
      </c>
      <c r="J812" s="46">
        <f>VLOOKUP(Table1[[#This Row],[Status]],Auxiliar!$B$16:$C$24,2,0)</f>
        <v>1</v>
      </c>
      <c r="K812" s="21" t="s">
        <v>1255</v>
      </c>
      <c r="L812" s="21" t="s">
        <v>1250</v>
      </c>
      <c r="M812" s="21" t="s">
        <v>1260</v>
      </c>
      <c r="N812" s="48">
        <v>45546</v>
      </c>
      <c r="O812" s="21">
        <f>INDEX(Auxiliar!$D$5:$F$13,MATCH(Table1[[#This Row],[Tipologia_Testes]],Auxiliar!$B$5:$B$13,0),MATCH(Table1[[#This Row],[Complexidade]],Auxiliar!$D$4:$F$4,0))</f>
        <v>0.1</v>
      </c>
      <c r="P812" s="2" t="s">
        <v>1313</v>
      </c>
      <c r="Q812" s="2"/>
      <c r="R812" s="152">
        <v>45261</v>
      </c>
      <c r="S812" s="152"/>
      <c r="T812" s="152"/>
      <c r="U812" s="152">
        <v>45603</v>
      </c>
      <c r="V812" s="152">
        <v>45534</v>
      </c>
      <c r="W812" s="2">
        <f>VLOOKUP(Table1[[#This Row],[Status]],Auxiliar!$B$16:$D$24,3,0)*Table1[[#This Row],[Estimação (horas)]]</f>
        <v>0.1</v>
      </c>
      <c r="X812" s="2"/>
    </row>
    <row r="813" spans="2:24" ht="69.599999999999994" customHeight="1" x14ac:dyDescent="0.25">
      <c r="B813" s="13" t="s">
        <v>26</v>
      </c>
      <c r="C813" s="13" t="s">
        <v>181</v>
      </c>
      <c r="D813" s="13" t="s">
        <v>1302</v>
      </c>
      <c r="E813" s="2" t="s">
        <v>38</v>
      </c>
      <c r="F813" s="13" t="s">
        <v>213</v>
      </c>
      <c r="G813" s="13" t="s">
        <v>221</v>
      </c>
      <c r="H813" s="58" t="str">
        <f>Table1[[#This Row],[Tabela]]&amp;Table1[[#This Row],[Campo]]</f>
        <v>modesg_inp_emss_vclsnome_regiao</v>
      </c>
      <c r="I813" s="2" t="s">
        <v>614</v>
      </c>
      <c r="J813" s="46">
        <f>VLOOKUP(Table1[[#This Row],[Status]],Auxiliar!$B$16:$C$24,2,0)</f>
        <v>1</v>
      </c>
      <c r="K813" s="21" t="s">
        <v>1263</v>
      </c>
      <c r="L813" s="21" t="s">
        <v>1250</v>
      </c>
      <c r="M813" s="21" t="s">
        <v>1260</v>
      </c>
      <c r="N813" s="48">
        <v>45546</v>
      </c>
      <c r="O813" s="21">
        <f>INDEX(Auxiliar!$D$5:$F$13,MATCH(Table1[[#This Row],[Tipologia_Testes]],Auxiliar!$B$5:$B$13,0),MATCH(Table1[[#This Row],[Complexidade]],Auxiliar!$D$4:$F$4,0))</f>
        <v>0.5</v>
      </c>
      <c r="P813" s="23" t="s">
        <v>1314</v>
      </c>
      <c r="Q813" s="2"/>
      <c r="R813" s="152">
        <v>45261</v>
      </c>
      <c r="S813" s="152"/>
      <c r="T813" s="152"/>
      <c r="U813" s="152">
        <v>45603</v>
      </c>
      <c r="V813" s="152">
        <v>45534</v>
      </c>
      <c r="W813" s="2">
        <f>VLOOKUP(Table1[[#This Row],[Status]],Auxiliar!$B$16:$D$24,3,0)*Table1[[#This Row],[Estimação (horas)]]</f>
        <v>0.5</v>
      </c>
      <c r="X813" s="2"/>
    </row>
    <row r="814" spans="2:24" ht="17.7" customHeight="1" x14ac:dyDescent="0.25">
      <c r="B814" s="13" t="s">
        <v>26</v>
      </c>
      <c r="C814" s="13" t="s">
        <v>181</v>
      </c>
      <c r="D814" s="13" t="s">
        <v>1302</v>
      </c>
      <c r="E814" s="2" t="s">
        <v>38</v>
      </c>
      <c r="F814" s="13" t="s">
        <v>213</v>
      </c>
      <c r="G814" s="13" t="s">
        <v>222</v>
      </c>
      <c r="H814" s="58" t="str">
        <f>Table1[[#This Row],[Tabela]]&amp;Table1[[#This Row],[Campo]]</f>
        <v>modesg_inp_emss_vclsnome_pais</v>
      </c>
      <c r="I814" s="2" t="s">
        <v>614</v>
      </c>
      <c r="J814" s="46">
        <f>VLOOKUP(Table1[[#This Row],[Status]],Auxiliar!$B$16:$C$24,2,0)</f>
        <v>1</v>
      </c>
      <c r="K814" s="21" t="s">
        <v>1255</v>
      </c>
      <c r="L814" s="2" t="s">
        <v>1250</v>
      </c>
      <c r="M814" s="21" t="s">
        <v>1260</v>
      </c>
      <c r="N814" s="48">
        <v>45546</v>
      </c>
      <c r="O814" s="21">
        <f>INDEX(Auxiliar!$D$5:$F$13,MATCH(Table1[[#This Row],[Tipologia_Testes]],Auxiliar!$B$5:$B$13,0),MATCH(Table1[[#This Row],[Complexidade]],Auxiliar!$D$4:$F$4,0))</f>
        <v>0.1</v>
      </c>
      <c r="P814" s="2" t="s">
        <v>1313</v>
      </c>
      <c r="Q814" s="2"/>
      <c r="R814" s="152">
        <v>45261</v>
      </c>
      <c r="S814" s="152"/>
      <c r="T814" s="152"/>
      <c r="U814" s="152">
        <v>45603</v>
      </c>
      <c r="V814" s="152">
        <v>45534</v>
      </c>
      <c r="W814" s="2">
        <f>VLOOKUP(Table1[[#This Row],[Status]],Auxiliar!$B$16:$D$24,3,0)*Table1[[#This Row],[Estimação (horas)]]</f>
        <v>0.1</v>
      </c>
      <c r="X814" s="2"/>
    </row>
    <row r="815" spans="2:24" ht="69.599999999999994" customHeight="1" x14ac:dyDescent="0.25">
      <c r="B815" s="13" t="s">
        <v>26</v>
      </c>
      <c r="C815" s="13" t="s">
        <v>181</v>
      </c>
      <c r="D815" s="13" t="s">
        <v>1302</v>
      </c>
      <c r="E815" s="2" t="s">
        <v>38</v>
      </c>
      <c r="F815" s="13" t="s">
        <v>213</v>
      </c>
      <c r="G815" s="13" t="s">
        <v>222</v>
      </c>
      <c r="H815" s="58" t="str">
        <f>Table1[[#This Row],[Tabela]]&amp;Table1[[#This Row],[Campo]]</f>
        <v>modesg_inp_emss_vclsnome_pais</v>
      </c>
      <c r="I815" s="2" t="s">
        <v>614</v>
      </c>
      <c r="J815" s="46">
        <f>VLOOKUP(Table1[[#This Row],[Status]],Auxiliar!$B$16:$C$24,2,0)</f>
        <v>1</v>
      </c>
      <c r="K815" s="21" t="s">
        <v>1263</v>
      </c>
      <c r="L815" s="2" t="s">
        <v>1250</v>
      </c>
      <c r="M815" s="21" t="s">
        <v>1260</v>
      </c>
      <c r="N815" s="48">
        <v>45546</v>
      </c>
      <c r="O815" s="21">
        <f>INDEX(Auxiliar!$D$5:$F$13,MATCH(Table1[[#This Row],[Tipologia_Testes]],Auxiliar!$B$5:$B$13,0),MATCH(Table1[[#This Row],[Complexidade]],Auxiliar!$D$4:$F$4,0))</f>
        <v>0.5</v>
      </c>
      <c r="P815" s="23" t="s">
        <v>1314</v>
      </c>
      <c r="Q815" s="2"/>
      <c r="R815" s="152">
        <v>45261</v>
      </c>
      <c r="S815" s="152"/>
      <c r="T815" s="152"/>
      <c r="U815" s="152">
        <v>45603</v>
      </c>
      <c r="V815" s="152">
        <v>45534</v>
      </c>
      <c r="W815" s="2">
        <f>VLOOKUP(Table1[[#This Row],[Status]],Auxiliar!$B$16:$D$24,3,0)*Table1[[#This Row],[Estimação (horas)]]</f>
        <v>0.5</v>
      </c>
      <c r="X815" s="2"/>
    </row>
    <row r="816" spans="2:24" ht="17.7" customHeight="1" x14ac:dyDescent="0.25">
      <c r="B816" s="13" t="s">
        <v>26</v>
      </c>
      <c r="C816" s="13" t="s">
        <v>181</v>
      </c>
      <c r="D816" s="13" t="s">
        <v>1302</v>
      </c>
      <c r="E816" s="2" t="s">
        <v>38</v>
      </c>
      <c r="F816" s="13" t="s">
        <v>213</v>
      </c>
      <c r="G816" s="13" t="s">
        <v>223</v>
      </c>
      <c r="H816" s="58" t="str">
        <f>Table1[[#This Row],[Tabela]]&amp;Table1[[#This Row],[Campo]]</f>
        <v>modesg_inp_emss_vclsnome_estado</v>
      </c>
      <c r="I816" s="2" t="s">
        <v>614</v>
      </c>
      <c r="J816" s="46">
        <f>VLOOKUP(Table1[[#This Row],[Status]],Auxiliar!$B$16:$C$24,2,0)</f>
        <v>1</v>
      </c>
      <c r="K816" s="21" t="s">
        <v>1263</v>
      </c>
      <c r="L816" s="21" t="s">
        <v>1258</v>
      </c>
      <c r="M816" s="21" t="s">
        <v>1260</v>
      </c>
      <c r="N816" s="48">
        <v>45546</v>
      </c>
      <c r="O816" s="21">
        <f>INDEX(Auxiliar!$D$5:$F$13,MATCH(Table1[[#This Row],[Tipologia_Testes]],Auxiliar!$B$5:$B$13,0),MATCH(Table1[[#This Row],[Complexidade]],Auxiliar!$D$4:$F$4,0))</f>
        <v>0.5</v>
      </c>
      <c r="P816" s="2" t="s">
        <v>1312</v>
      </c>
      <c r="Q816" s="2"/>
      <c r="R816" s="152">
        <v>45261</v>
      </c>
      <c r="S816" s="152"/>
      <c r="T816" s="152"/>
      <c r="U816" s="152">
        <v>45603</v>
      </c>
      <c r="V816" s="152">
        <v>45534</v>
      </c>
      <c r="W816" s="2">
        <f>VLOOKUP(Table1[[#This Row],[Status]],Auxiliar!$B$16:$D$24,3,0)*Table1[[#This Row],[Estimação (horas)]]</f>
        <v>0.5</v>
      </c>
      <c r="X816" s="2"/>
    </row>
    <row r="817" spans="2:24" ht="17.7" customHeight="1" x14ac:dyDescent="0.25">
      <c r="B817" s="13" t="s">
        <v>26</v>
      </c>
      <c r="C817" s="13" t="s">
        <v>181</v>
      </c>
      <c r="D817" s="13" t="s">
        <v>1302</v>
      </c>
      <c r="E817" s="2" t="s">
        <v>38</v>
      </c>
      <c r="F817" s="13" t="s">
        <v>213</v>
      </c>
      <c r="G817" s="13" t="s">
        <v>224</v>
      </c>
      <c r="H817" s="58" t="str">
        <f>Table1[[#This Row],[Tabela]]&amp;Table1[[#This Row],[Campo]]</f>
        <v>modesg_inp_emss_vclstipo_veiculo</v>
      </c>
      <c r="I817" s="2" t="s">
        <v>614</v>
      </c>
      <c r="J817" s="46">
        <f>VLOOKUP(Table1[[#This Row],[Status]],Auxiliar!$B$16:$C$24,2,0)</f>
        <v>1</v>
      </c>
      <c r="K817" s="21" t="s">
        <v>1255</v>
      </c>
      <c r="L817" s="21" t="s">
        <v>1258</v>
      </c>
      <c r="M817" s="21" t="s">
        <v>1260</v>
      </c>
      <c r="N817" s="48">
        <v>45546</v>
      </c>
      <c r="O817" s="21">
        <f>INDEX(Auxiliar!$D$5:$F$13,MATCH(Table1[[#This Row],[Tipologia_Testes]],Auxiliar!$B$5:$B$13,0),MATCH(Table1[[#This Row],[Complexidade]],Auxiliar!$D$4:$F$4,0))</f>
        <v>0.1</v>
      </c>
      <c r="P817" s="2" t="s">
        <v>1313</v>
      </c>
      <c r="Q817" s="2"/>
      <c r="R817" s="152">
        <v>45261</v>
      </c>
      <c r="S817" s="152"/>
      <c r="T817" s="152"/>
      <c r="U817" s="152">
        <v>45603</v>
      </c>
      <c r="V817" s="152">
        <v>45534</v>
      </c>
      <c r="W817" s="2">
        <f>VLOOKUP(Table1[[#This Row],[Status]],Auxiliar!$B$16:$D$24,3,0)*Table1[[#This Row],[Estimação (horas)]]</f>
        <v>0.1</v>
      </c>
      <c r="X817" s="2"/>
    </row>
    <row r="818" spans="2:24" ht="17.7" customHeight="1" x14ac:dyDescent="0.25">
      <c r="B818" s="13" t="s">
        <v>26</v>
      </c>
      <c r="C818" s="13" t="s">
        <v>181</v>
      </c>
      <c r="D818" s="13" t="s">
        <v>1302</v>
      </c>
      <c r="E818" s="2" t="s">
        <v>38</v>
      </c>
      <c r="F818" s="13" t="s">
        <v>213</v>
      </c>
      <c r="G818" s="13" t="s">
        <v>224</v>
      </c>
      <c r="H818" s="58" t="str">
        <f>Table1[[#This Row],[Tabela]]&amp;Table1[[#This Row],[Campo]]</f>
        <v>modesg_inp_emss_vclstipo_veiculo</v>
      </c>
      <c r="I818" s="2" t="s">
        <v>614</v>
      </c>
      <c r="J818" s="46">
        <f>VLOOKUP(Table1[[#This Row],[Status]],Auxiliar!$B$16:$C$24,2,0)</f>
        <v>1</v>
      </c>
      <c r="K818" s="21" t="s">
        <v>1263</v>
      </c>
      <c r="L818" s="21" t="s">
        <v>1258</v>
      </c>
      <c r="M818" s="21" t="s">
        <v>1260</v>
      </c>
      <c r="N818" s="48">
        <v>45546</v>
      </c>
      <c r="O818" s="21">
        <f>INDEX(Auxiliar!$D$5:$F$13,MATCH(Table1[[#This Row],[Tipologia_Testes]],Auxiliar!$B$5:$B$13,0),MATCH(Table1[[#This Row],[Complexidade]],Auxiliar!$D$4:$F$4,0))</f>
        <v>0.5</v>
      </c>
      <c r="P818" s="2" t="s">
        <v>1312</v>
      </c>
      <c r="Q818" s="2"/>
      <c r="R818" s="152">
        <v>45261</v>
      </c>
      <c r="S818" s="152"/>
      <c r="T818" s="152"/>
      <c r="U818" s="152">
        <v>45603</v>
      </c>
      <c r="V818" s="152">
        <v>45534</v>
      </c>
      <c r="W818" s="2">
        <f>VLOOKUP(Table1[[#This Row],[Status]],Auxiliar!$B$16:$D$24,3,0)*Table1[[#This Row],[Estimação (horas)]]</f>
        <v>0.5</v>
      </c>
      <c r="X818" s="2"/>
    </row>
    <row r="819" spans="2:24" ht="17.7" customHeight="1" x14ac:dyDescent="0.25">
      <c r="B819" s="13" t="s">
        <v>26</v>
      </c>
      <c r="C819" s="13" t="s">
        <v>181</v>
      </c>
      <c r="D819" s="13" t="s">
        <v>1302</v>
      </c>
      <c r="E819" s="2" t="s">
        <v>38</v>
      </c>
      <c r="F819" s="13" t="s">
        <v>213</v>
      </c>
      <c r="G819" s="13" t="s">
        <v>225</v>
      </c>
      <c r="H819" s="58" t="str">
        <f>Table1[[#This Row],[Tabela]]&amp;Table1[[#This Row],[Campo]]</f>
        <v>modesg_inp_emss_vclstipo_motor</v>
      </c>
      <c r="I819" s="2" t="s">
        <v>614</v>
      </c>
      <c r="J819" s="46">
        <f>VLOOKUP(Table1[[#This Row],[Status]],Auxiliar!$B$16:$C$24,2,0)</f>
        <v>1</v>
      </c>
      <c r="K819" s="21" t="s">
        <v>1255</v>
      </c>
      <c r="L819" s="21" t="s">
        <v>1258</v>
      </c>
      <c r="M819" s="21" t="s">
        <v>1260</v>
      </c>
      <c r="N819" s="48">
        <v>45546</v>
      </c>
      <c r="O819" s="21">
        <f>INDEX(Auxiliar!$D$5:$F$13,MATCH(Table1[[#This Row],[Tipologia_Testes]],Auxiliar!$B$5:$B$13,0),MATCH(Table1[[#This Row],[Complexidade]],Auxiliar!$D$4:$F$4,0))</f>
        <v>0.1</v>
      </c>
      <c r="P819" s="2" t="s">
        <v>1313</v>
      </c>
      <c r="Q819" s="2"/>
      <c r="R819" s="152">
        <v>45261</v>
      </c>
      <c r="S819" s="152"/>
      <c r="T819" s="152"/>
      <c r="U819" s="152">
        <v>45603</v>
      </c>
      <c r="V819" s="152">
        <v>45534</v>
      </c>
      <c r="W819" s="2">
        <f>VLOOKUP(Table1[[#This Row],[Status]],Auxiliar!$B$16:$D$24,3,0)*Table1[[#This Row],[Estimação (horas)]]</f>
        <v>0.1</v>
      </c>
      <c r="X819" s="2"/>
    </row>
    <row r="820" spans="2:24" ht="17.7" customHeight="1" x14ac:dyDescent="0.25">
      <c r="B820" s="13" t="s">
        <v>26</v>
      </c>
      <c r="C820" s="13" t="s">
        <v>181</v>
      </c>
      <c r="D820" s="13" t="s">
        <v>1302</v>
      </c>
      <c r="E820" s="2" t="s">
        <v>38</v>
      </c>
      <c r="F820" s="13" t="s">
        <v>213</v>
      </c>
      <c r="G820" s="13" t="s">
        <v>225</v>
      </c>
      <c r="H820" s="58" t="str">
        <f>Table1[[#This Row],[Tabela]]&amp;Table1[[#This Row],[Campo]]</f>
        <v>modesg_inp_emss_vclstipo_motor</v>
      </c>
      <c r="I820" s="2" t="s">
        <v>614</v>
      </c>
      <c r="J820" s="46">
        <f>VLOOKUP(Table1[[#This Row],[Status]],Auxiliar!$B$16:$C$24,2,0)</f>
        <v>1</v>
      </c>
      <c r="K820" s="21" t="s">
        <v>1263</v>
      </c>
      <c r="L820" s="21" t="s">
        <v>1258</v>
      </c>
      <c r="M820" s="21" t="s">
        <v>1260</v>
      </c>
      <c r="N820" s="48">
        <v>45546</v>
      </c>
      <c r="O820" s="21">
        <f>INDEX(Auxiliar!$D$5:$F$13,MATCH(Table1[[#This Row],[Tipologia_Testes]],Auxiliar!$B$5:$B$13,0),MATCH(Table1[[#This Row],[Complexidade]],Auxiliar!$D$4:$F$4,0))</f>
        <v>0.5</v>
      </c>
      <c r="P820" s="2" t="s">
        <v>1312</v>
      </c>
      <c r="Q820" s="2"/>
      <c r="R820" s="152">
        <v>45261</v>
      </c>
      <c r="S820" s="152"/>
      <c r="T820" s="152"/>
      <c r="U820" s="152">
        <v>45603</v>
      </c>
      <c r="V820" s="152">
        <v>45534</v>
      </c>
      <c r="W820" s="2">
        <f>VLOOKUP(Table1[[#This Row],[Status]],Auxiliar!$B$16:$D$24,3,0)*Table1[[#This Row],[Estimação (horas)]]</f>
        <v>0.5</v>
      </c>
      <c r="X820" s="2"/>
    </row>
    <row r="821" spans="2:24" ht="17.7" customHeight="1" x14ac:dyDescent="0.25">
      <c r="B821" s="13" t="s">
        <v>26</v>
      </c>
      <c r="C821" s="13" t="s">
        <v>181</v>
      </c>
      <c r="D821" s="13" t="s">
        <v>1302</v>
      </c>
      <c r="E821" s="2" t="s">
        <v>38</v>
      </c>
      <c r="F821" s="13" t="s">
        <v>213</v>
      </c>
      <c r="G821" s="13" t="s">
        <v>226</v>
      </c>
      <c r="H821" s="58" t="str">
        <f>Table1[[#This Row],[Tabela]]&amp;Table1[[#This Row],[Campo]]</f>
        <v>modesg_inp_emss_vclsmarca</v>
      </c>
      <c r="I821" s="2" t="s">
        <v>614</v>
      </c>
      <c r="J821" s="46">
        <f>VLOOKUP(Table1[[#This Row],[Status]],Auxiliar!$B$16:$C$24,2,0)</f>
        <v>1</v>
      </c>
      <c r="K821" s="21" t="s">
        <v>1255</v>
      </c>
      <c r="L821" s="2" t="s">
        <v>1250</v>
      </c>
      <c r="M821" s="21" t="s">
        <v>1260</v>
      </c>
      <c r="N821" s="48">
        <v>45546</v>
      </c>
      <c r="O821" s="21">
        <f>INDEX(Auxiliar!$D$5:$F$13,MATCH(Table1[[#This Row],[Tipologia_Testes]],Auxiliar!$B$5:$B$13,0),MATCH(Table1[[#This Row],[Complexidade]],Auxiliar!$D$4:$F$4,0))</f>
        <v>0.1</v>
      </c>
      <c r="P821" s="2" t="s">
        <v>1313</v>
      </c>
      <c r="Q821" s="2"/>
      <c r="R821" s="152">
        <v>45261</v>
      </c>
      <c r="S821" s="152"/>
      <c r="T821" s="152"/>
      <c r="U821" s="152">
        <v>45603</v>
      </c>
      <c r="V821" s="152">
        <v>45534</v>
      </c>
      <c r="W821" s="2">
        <f>VLOOKUP(Table1[[#This Row],[Status]],Auxiliar!$B$16:$D$24,3,0)*Table1[[#This Row],[Estimação (horas)]]</f>
        <v>0.1</v>
      </c>
      <c r="X821" s="2"/>
    </row>
    <row r="822" spans="2:24" ht="69.599999999999994" customHeight="1" x14ac:dyDescent="0.25">
      <c r="B822" s="13" t="s">
        <v>26</v>
      </c>
      <c r="C822" s="13" t="s">
        <v>181</v>
      </c>
      <c r="D822" s="13" t="s">
        <v>1302</v>
      </c>
      <c r="E822" s="2" t="s">
        <v>38</v>
      </c>
      <c r="F822" s="13" t="s">
        <v>213</v>
      </c>
      <c r="G822" s="13" t="s">
        <v>226</v>
      </c>
      <c r="H822" s="58" t="str">
        <f>Table1[[#This Row],[Tabela]]&amp;Table1[[#This Row],[Campo]]</f>
        <v>modesg_inp_emss_vclsmarca</v>
      </c>
      <c r="I822" s="2" t="s">
        <v>614</v>
      </c>
      <c r="J822" s="46">
        <f>VLOOKUP(Table1[[#This Row],[Status]],Auxiliar!$B$16:$C$24,2,0)</f>
        <v>1</v>
      </c>
      <c r="K822" s="21" t="s">
        <v>1263</v>
      </c>
      <c r="L822" s="2" t="s">
        <v>1250</v>
      </c>
      <c r="M822" s="21" t="s">
        <v>1260</v>
      </c>
      <c r="N822" s="48">
        <v>45546</v>
      </c>
      <c r="O822" s="21">
        <f>INDEX(Auxiliar!$D$5:$F$13,MATCH(Table1[[#This Row],[Tipologia_Testes]],Auxiliar!$B$5:$B$13,0),MATCH(Table1[[#This Row],[Complexidade]],Auxiliar!$D$4:$F$4,0))</f>
        <v>0.5</v>
      </c>
      <c r="P822" s="23" t="s">
        <v>1314</v>
      </c>
      <c r="Q822" s="2"/>
      <c r="R822" s="152">
        <v>45261</v>
      </c>
      <c r="S822" s="152"/>
      <c r="T822" s="152"/>
      <c r="U822" s="152">
        <v>45603</v>
      </c>
      <c r="V822" s="152">
        <v>45534</v>
      </c>
      <c r="W822" s="2">
        <f>VLOOKUP(Table1[[#This Row],[Status]],Auxiliar!$B$16:$D$24,3,0)*Table1[[#This Row],[Estimação (horas)]]</f>
        <v>0.5</v>
      </c>
      <c r="X822" s="2"/>
    </row>
    <row r="823" spans="2:24" ht="17.7" customHeight="1" x14ac:dyDescent="0.25">
      <c r="B823" s="13" t="s">
        <v>26</v>
      </c>
      <c r="C823" s="13" t="s">
        <v>181</v>
      </c>
      <c r="D823" s="13" t="s">
        <v>1302</v>
      </c>
      <c r="E823" s="2" t="s">
        <v>38</v>
      </c>
      <c r="F823" s="13" t="s">
        <v>213</v>
      </c>
      <c r="G823" s="13" t="s">
        <v>227</v>
      </c>
      <c r="H823" s="58" t="str">
        <f>Table1[[#This Row],[Tabela]]&amp;Table1[[#This Row],[Campo]]</f>
        <v>modesg_inp_emss_vclsmodelo</v>
      </c>
      <c r="I823" s="2" t="s">
        <v>614</v>
      </c>
      <c r="J823" s="46">
        <f>VLOOKUP(Table1[[#This Row],[Status]],Auxiliar!$B$16:$C$24,2,0)</f>
        <v>1</v>
      </c>
      <c r="K823" s="21" t="s">
        <v>1255</v>
      </c>
      <c r="L823" s="2" t="s">
        <v>1250</v>
      </c>
      <c r="M823" s="21" t="s">
        <v>1260</v>
      </c>
      <c r="N823" s="48">
        <v>45546</v>
      </c>
      <c r="O823" s="21">
        <f>INDEX(Auxiliar!$D$5:$F$13,MATCH(Table1[[#This Row],[Tipologia_Testes]],Auxiliar!$B$5:$B$13,0),MATCH(Table1[[#This Row],[Complexidade]],Auxiliar!$D$4:$F$4,0))</f>
        <v>0.1</v>
      </c>
      <c r="P823" s="2" t="s">
        <v>1313</v>
      </c>
      <c r="Q823" s="2"/>
      <c r="R823" s="152">
        <v>45261</v>
      </c>
      <c r="S823" s="152"/>
      <c r="T823" s="152"/>
      <c r="U823" s="152">
        <v>45603</v>
      </c>
      <c r="V823" s="152">
        <v>45534</v>
      </c>
      <c r="W823" s="2">
        <f>VLOOKUP(Table1[[#This Row],[Status]],Auxiliar!$B$16:$D$24,3,0)*Table1[[#This Row],[Estimação (horas)]]</f>
        <v>0.1</v>
      </c>
      <c r="X823" s="2"/>
    </row>
    <row r="824" spans="2:24" ht="69.599999999999994" customHeight="1" x14ac:dyDescent="0.25">
      <c r="B824" s="13" t="s">
        <v>26</v>
      </c>
      <c r="C824" s="13" t="s">
        <v>181</v>
      </c>
      <c r="D824" s="13" t="s">
        <v>1302</v>
      </c>
      <c r="E824" s="2" t="s">
        <v>38</v>
      </c>
      <c r="F824" s="13" t="s">
        <v>213</v>
      </c>
      <c r="G824" s="13" t="s">
        <v>227</v>
      </c>
      <c r="H824" s="58" t="str">
        <f>Table1[[#This Row],[Tabela]]&amp;Table1[[#This Row],[Campo]]</f>
        <v>modesg_inp_emss_vclsmodelo</v>
      </c>
      <c r="I824" s="2" t="s">
        <v>614</v>
      </c>
      <c r="J824" s="46">
        <f>VLOOKUP(Table1[[#This Row],[Status]],Auxiliar!$B$16:$C$24,2,0)</f>
        <v>1</v>
      </c>
      <c r="K824" s="21" t="s">
        <v>1263</v>
      </c>
      <c r="L824" s="2" t="s">
        <v>1250</v>
      </c>
      <c r="M824" s="21" t="s">
        <v>1260</v>
      </c>
      <c r="N824" s="48">
        <v>45546</v>
      </c>
      <c r="O824" s="21">
        <f>INDEX(Auxiliar!$D$5:$F$13,MATCH(Table1[[#This Row],[Tipologia_Testes]],Auxiliar!$B$5:$B$13,0),MATCH(Table1[[#This Row],[Complexidade]],Auxiliar!$D$4:$F$4,0))</f>
        <v>0.5</v>
      </c>
      <c r="P824" s="23" t="s">
        <v>1314</v>
      </c>
      <c r="Q824" s="2"/>
      <c r="R824" s="152">
        <v>45261</v>
      </c>
      <c r="S824" s="152"/>
      <c r="T824" s="152"/>
      <c r="U824" s="152">
        <v>45603</v>
      </c>
      <c r="V824" s="152">
        <v>45534</v>
      </c>
      <c r="W824" s="2">
        <f>VLOOKUP(Table1[[#This Row],[Status]],Auxiliar!$B$16:$D$24,3,0)*Table1[[#This Row],[Estimação (horas)]]</f>
        <v>0.5</v>
      </c>
      <c r="X824" s="2"/>
    </row>
    <row r="825" spans="2:24" ht="17.7" customHeight="1" x14ac:dyDescent="0.25">
      <c r="B825" s="13" t="s">
        <v>26</v>
      </c>
      <c r="C825" s="13" t="s">
        <v>181</v>
      </c>
      <c r="D825" s="13" t="s">
        <v>1302</v>
      </c>
      <c r="E825" s="2" t="s">
        <v>38</v>
      </c>
      <c r="F825" s="13" t="s">
        <v>213</v>
      </c>
      <c r="G825" s="13" t="s">
        <v>228</v>
      </c>
      <c r="H825" s="58" t="str">
        <f>Table1[[#This Row],[Tabela]]&amp;Table1[[#This Row],[Campo]]</f>
        <v>modesg_inp_emss_vclssubgrupo</v>
      </c>
      <c r="I825" s="2" t="s">
        <v>614</v>
      </c>
      <c r="J825" s="46">
        <f>VLOOKUP(Table1[[#This Row],[Status]],Auxiliar!$B$16:$C$24,2,0)</f>
        <v>1</v>
      </c>
      <c r="K825" s="21" t="s">
        <v>1255</v>
      </c>
      <c r="L825" s="2" t="s">
        <v>655</v>
      </c>
      <c r="M825" s="21" t="s">
        <v>1260</v>
      </c>
      <c r="N825" s="48">
        <v>45546</v>
      </c>
      <c r="O825" s="21">
        <f>INDEX(Auxiliar!$D$5:$F$13,MATCH(Table1[[#This Row],[Tipologia_Testes]],Auxiliar!$B$5:$B$13,0),MATCH(Table1[[#This Row],[Complexidade]],Auxiliar!$D$4:$F$4,0))</f>
        <v>0.1</v>
      </c>
      <c r="P825" s="2" t="s">
        <v>1313</v>
      </c>
      <c r="Q825" s="2"/>
      <c r="R825" s="152">
        <v>45261</v>
      </c>
      <c r="S825" s="152"/>
      <c r="T825" s="152"/>
      <c r="U825" s="152">
        <v>45603</v>
      </c>
      <c r="V825" s="152">
        <v>45534</v>
      </c>
      <c r="W825" s="2">
        <f>VLOOKUP(Table1[[#This Row],[Status]],Auxiliar!$B$16:$D$24,3,0)*Table1[[#This Row],[Estimação (horas)]]</f>
        <v>0.1</v>
      </c>
      <c r="X825" s="2"/>
    </row>
    <row r="826" spans="2:24" ht="17.7" customHeight="1" x14ac:dyDescent="0.25">
      <c r="B826" s="13" t="s">
        <v>26</v>
      </c>
      <c r="C826" s="13" t="s">
        <v>181</v>
      </c>
      <c r="D826" s="13" t="s">
        <v>1302</v>
      </c>
      <c r="E826" s="2" t="s">
        <v>38</v>
      </c>
      <c r="F826" s="13" t="s">
        <v>213</v>
      </c>
      <c r="G826" s="13" t="s">
        <v>228</v>
      </c>
      <c r="H826" s="58" t="str">
        <f>Table1[[#This Row],[Tabela]]&amp;Table1[[#This Row],[Campo]]</f>
        <v>modesg_inp_emss_vclssubgrupo</v>
      </c>
      <c r="I826" s="2" t="s">
        <v>614</v>
      </c>
      <c r="J826" s="46">
        <f>VLOOKUP(Table1[[#This Row],[Status]],Auxiliar!$B$16:$C$24,2,0)</f>
        <v>1</v>
      </c>
      <c r="K826" s="21" t="s">
        <v>1263</v>
      </c>
      <c r="L826" s="2" t="s">
        <v>655</v>
      </c>
      <c r="M826" s="21" t="s">
        <v>1260</v>
      </c>
      <c r="N826" s="48">
        <v>45546</v>
      </c>
      <c r="O826" s="21">
        <f>INDEX(Auxiliar!$D$5:$F$13,MATCH(Table1[[#This Row],[Tipologia_Testes]],Auxiliar!$B$5:$B$13,0),MATCH(Table1[[#This Row],[Complexidade]],Auxiliar!$D$4:$F$4,0))</f>
        <v>0.5</v>
      </c>
      <c r="P826" s="2" t="s">
        <v>1312</v>
      </c>
      <c r="Q826" s="2"/>
      <c r="R826" s="152">
        <v>45261</v>
      </c>
      <c r="S826" s="152"/>
      <c r="T826" s="152"/>
      <c r="U826" s="152">
        <v>45603</v>
      </c>
      <c r="V826" s="152">
        <v>45534</v>
      </c>
      <c r="W826" s="2">
        <f>VLOOKUP(Table1[[#This Row],[Status]],Auxiliar!$B$16:$D$24,3,0)*Table1[[#This Row],[Estimação (horas)]]</f>
        <v>0.5</v>
      </c>
      <c r="X826" s="2"/>
    </row>
    <row r="827" spans="2:24" ht="17.7" customHeight="1" x14ac:dyDescent="0.25">
      <c r="B827" s="13" t="s">
        <v>26</v>
      </c>
      <c r="C827" s="13" t="s">
        <v>181</v>
      </c>
      <c r="D827" s="13" t="s">
        <v>1302</v>
      </c>
      <c r="E827" s="2" t="s">
        <v>38</v>
      </c>
      <c r="F827" s="13" t="s">
        <v>213</v>
      </c>
      <c r="G827" s="13" t="s">
        <v>229</v>
      </c>
      <c r="H827" s="58" t="str">
        <f>Table1[[#This Row],[Tabela]]&amp;Table1[[#This Row],[Campo]]</f>
        <v>modesg_inp_emss_vclsnome_unidade_funcional</v>
      </c>
      <c r="I827" s="2" t="s">
        <v>614</v>
      </c>
      <c r="J827" s="46">
        <f>VLOOKUP(Table1[[#This Row],[Status]],Auxiliar!$B$16:$C$24,2,0)</f>
        <v>1</v>
      </c>
      <c r="K827" s="21" t="s">
        <v>1255</v>
      </c>
      <c r="L827" s="21" t="s">
        <v>1258</v>
      </c>
      <c r="M827" s="21" t="s">
        <v>1260</v>
      </c>
      <c r="N827" s="48">
        <v>45546</v>
      </c>
      <c r="O827" s="21">
        <f>INDEX(Auxiliar!$D$5:$F$13,MATCH(Table1[[#This Row],[Tipologia_Testes]],Auxiliar!$B$5:$B$13,0),MATCH(Table1[[#This Row],[Complexidade]],Auxiliar!$D$4:$F$4,0))</f>
        <v>0.1</v>
      </c>
      <c r="P827" s="2" t="s">
        <v>1313</v>
      </c>
      <c r="Q827" s="2"/>
      <c r="R827" s="152">
        <v>45261</v>
      </c>
      <c r="S827" s="152"/>
      <c r="T827" s="152"/>
      <c r="U827" s="152">
        <v>45603</v>
      </c>
      <c r="V827" s="152">
        <v>45534</v>
      </c>
      <c r="W827" s="2">
        <f>VLOOKUP(Table1[[#This Row],[Status]],Auxiliar!$B$16:$D$24,3,0)*Table1[[#This Row],[Estimação (horas)]]</f>
        <v>0.1</v>
      </c>
      <c r="X827" s="2"/>
    </row>
    <row r="828" spans="2:24" ht="17.7" customHeight="1" x14ac:dyDescent="0.25">
      <c r="B828" s="13" t="s">
        <v>26</v>
      </c>
      <c r="C828" s="13" t="s">
        <v>181</v>
      </c>
      <c r="D828" s="13" t="s">
        <v>1302</v>
      </c>
      <c r="E828" s="2" t="s">
        <v>38</v>
      </c>
      <c r="F828" s="13" t="s">
        <v>213</v>
      </c>
      <c r="G828" s="13" t="s">
        <v>229</v>
      </c>
      <c r="H828" s="58" t="str">
        <f>Table1[[#This Row],[Tabela]]&amp;Table1[[#This Row],[Campo]]</f>
        <v>modesg_inp_emss_vclsnome_unidade_funcional</v>
      </c>
      <c r="I828" s="2" t="s">
        <v>614</v>
      </c>
      <c r="J828" s="46">
        <f>VLOOKUP(Table1[[#This Row],[Status]],Auxiliar!$B$16:$C$24,2,0)</f>
        <v>1</v>
      </c>
      <c r="K828" s="21" t="s">
        <v>1263</v>
      </c>
      <c r="L828" s="21" t="s">
        <v>1258</v>
      </c>
      <c r="M828" s="21" t="s">
        <v>1260</v>
      </c>
      <c r="N828" s="48">
        <v>45546</v>
      </c>
      <c r="O828" s="21">
        <f>INDEX(Auxiliar!$D$5:$F$13,MATCH(Table1[[#This Row],[Tipologia_Testes]],Auxiliar!$B$5:$B$13,0),MATCH(Table1[[#This Row],[Complexidade]],Auxiliar!$D$4:$F$4,0))</f>
        <v>0.5</v>
      </c>
      <c r="P828" s="2" t="s">
        <v>1312</v>
      </c>
      <c r="Q828" s="2"/>
      <c r="R828" s="152">
        <v>45261</v>
      </c>
      <c r="S828" s="152"/>
      <c r="T828" s="152"/>
      <c r="U828" s="152">
        <v>45603</v>
      </c>
      <c r="V828" s="152">
        <v>45534</v>
      </c>
      <c r="W828" s="2">
        <f>VLOOKUP(Table1[[#This Row],[Status]],Auxiliar!$B$16:$D$24,3,0)*Table1[[#This Row],[Estimação (horas)]]</f>
        <v>0.5</v>
      </c>
      <c r="X828" s="2"/>
    </row>
    <row r="829" spans="2:24" ht="17.7" customHeight="1" x14ac:dyDescent="0.25">
      <c r="B829" s="13" t="s">
        <v>26</v>
      </c>
      <c r="C829" s="13" t="s">
        <v>181</v>
      </c>
      <c r="D829" s="13" t="s">
        <v>1302</v>
      </c>
      <c r="E829" s="2" t="s">
        <v>38</v>
      </c>
      <c r="F829" s="13" t="s">
        <v>213</v>
      </c>
      <c r="G829" s="13" t="s">
        <v>230</v>
      </c>
      <c r="H829" s="58" t="str">
        <f>Table1[[#This Row],[Tabela]]&amp;Table1[[#This Row],[Campo]]</f>
        <v>modesg_inp_emss_vclsunidade_funcional</v>
      </c>
      <c r="I829" s="2" t="s">
        <v>614</v>
      </c>
      <c r="J829" s="46">
        <f>VLOOKUP(Table1[[#This Row],[Status]],Auxiliar!$B$16:$C$24,2,0)</f>
        <v>1</v>
      </c>
      <c r="K829" s="21" t="s">
        <v>1255</v>
      </c>
      <c r="L829" s="21" t="s">
        <v>1258</v>
      </c>
      <c r="M829" s="21" t="s">
        <v>1260</v>
      </c>
      <c r="N829" s="48">
        <v>45546</v>
      </c>
      <c r="O829" s="21">
        <f>INDEX(Auxiliar!$D$5:$F$13,MATCH(Table1[[#This Row],[Tipologia_Testes]],Auxiliar!$B$5:$B$13,0),MATCH(Table1[[#This Row],[Complexidade]],Auxiliar!$D$4:$F$4,0))</f>
        <v>0.1</v>
      </c>
      <c r="P829" s="2" t="s">
        <v>1313</v>
      </c>
      <c r="Q829" s="2"/>
      <c r="R829" s="152">
        <v>45261</v>
      </c>
      <c r="S829" s="152"/>
      <c r="T829" s="152"/>
      <c r="U829" s="152">
        <v>45603</v>
      </c>
      <c r="V829" s="152">
        <v>45534</v>
      </c>
      <c r="W829" s="2">
        <f>VLOOKUP(Table1[[#This Row],[Status]],Auxiliar!$B$16:$D$24,3,0)*Table1[[#This Row],[Estimação (horas)]]</f>
        <v>0.1</v>
      </c>
      <c r="X829" s="2"/>
    </row>
    <row r="830" spans="2:24" ht="17.7" customHeight="1" x14ac:dyDescent="0.25">
      <c r="B830" s="13" t="s">
        <v>26</v>
      </c>
      <c r="C830" s="13" t="s">
        <v>181</v>
      </c>
      <c r="D830" s="13" t="s">
        <v>1302</v>
      </c>
      <c r="E830" s="2" t="s">
        <v>38</v>
      </c>
      <c r="F830" s="13" t="s">
        <v>213</v>
      </c>
      <c r="G830" s="13" t="s">
        <v>230</v>
      </c>
      <c r="H830" s="58" t="str">
        <f>Table1[[#This Row],[Tabela]]&amp;Table1[[#This Row],[Campo]]</f>
        <v>modesg_inp_emss_vclsunidade_funcional</v>
      </c>
      <c r="I830" s="2" t="s">
        <v>614</v>
      </c>
      <c r="J830" s="46">
        <f>VLOOKUP(Table1[[#This Row],[Status]],Auxiliar!$B$16:$C$24,2,0)</f>
        <v>1</v>
      </c>
      <c r="K830" s="21" t="s">
        <v>1263</v>
      </c>
      <c r="L830" s="21" t="s">
        <v>1258</v>
      </c>
      <c r="M830" s="21" t="s">
        <v>1260</v>
      </c>
      <c r="N830" s="48">
        <v>45546</v>
      </c>
      <c r="O830" s="21">
        <f>INDEX(Auxiliar!$D$5:$F$13,MATCH(Table1[[#This Row],[Tipologia_Testes]],Auxiliar!$B$5:$B$13,0),MATCH(Table1[[#This Row],[Complexidade]],Auxiliar!$D$4:$F$4,0))</f>
        <v>0.5</v>
      </c>
      <c r="P830" s="2" t="s">
        <v>1312</v>
      </c>
      <c r="Q830" s="2"/>
      <c r="R830" s="152">
        <v>45261</v>
      </c>
      <c r="S830" s="152"/>
      <c r="T830" s="152"/>
      <c r="U830" s="152">
        <v>45603</v>
      </c>
      <c r="V830" s="152">
        <v>45534</v>
      </c>
      <c r="W830" s="2">
        <f>VLOOKUP(Table1[[#This Row],[Status]],Auxiliar!$B$16:$D$24,3,0)*Table1[[#This Row],[Estimação (horas)]]</f>
        <v>0.5</v>
      </c>
      <c r="X830" s="2"/>
    </row>
    <row r="831" spans="2:24" ht="17.7" customHeight="1" x14ac:dyDescent="0.25">
      <c r="B831" s="13" t="s">
        <v>26</v>
      </c>
      <c r="C831" s="13" t="s">
        <v>181</v>
      </c>
      <c r="D831" s="13" t="s">
        <v>1302</v>
      </c>
      <c r="E831" s="2" t="s">
        <v>38</v>
      </c>
      <c r="F831" s="13" t="s">
        <v>213</v>
      </c>
      <c r="G831" s="13" t="s">
        <v>231</v>
      </c>
      <c r="H831" s="58" t="str">
        <f>Table1[[#This Row],[Tabela]]&amp;Table1[[#This Row],[Campo]]</f>
        <v>modesg_inp_emss_vclsnome_fator_emissao</v>
      </c>
      <c r="I831" s="2" t="s">
        <v>614</v>
      </c>
      <c r="J831" s="46">
        <f>VLOOKUP(Table1[[#This Row],[Status]],Auxiliar!$B$16:$C$24,2,0)</f>
        <v>1</v>
      </c>
      <c r="K831" s="21" t="s">
        <v>1255</v>
      </c>
      <c r="L831" s="21" t="s">
        <v>1258</v>
      </c>
      <c r="M831" s="21" t="s">
        <v>1260</v>
      </c>
      <c r="N831" s="48">
        <v>45546</v>
      </c>
      <c r="O831" s="21">
        <f>INDEX(Auxiliar!$D$5:$F$13,MATCH(Table1[[#This Row],[Tipologia_Testes]],Auxiliar!$B$5:$B$13,0),MATCH(Table1[[#This Row],[Complexidade]],Auxiliar!$D$4:$F$4,0))</f>
        <v>0.1</v>
      </c>
      <c r="P831" s="2" t="s">
        <v>1313</v>
      </c>
      <c r="Q831" s="2"/>
      <c r="R831" s="152">
        <v>45261</v>
      </c>
      <c r="S831" s="152"/>
      <c r="T831" s="152"/>
      <c r="U831" s="152">
        <v>45603</v>
      </c>
      <c r="V831" s="152">
        <v>45534</v>
      </c>
      <c r="W831" s="2">
        <f>VLOOKUP(Table1[[#This Row],[Status]],Auxiliar!$B$16:$D$24,3,0)*Table1[[#This Row],[Estimação (horas)]]</f>
        <v>0.1</v>
      </c>
      <c r="X831" s="2"/>
    </row>
    <row r="832" spans="2:24" ht="17.7" customHeight="1" x14ac:dyDescent="0.25">
      <c r="B832" s="13" t="s">
        <v>26</v>
      </c>
      <c r="C832" s="13" t="s">
        <v>181</v>
      </c>
      <c r="D832" s="13" t="s">
        <v>1302</v>
      </c>
      <c r="E832" s="2" t="s">
        <v>38</v>
      </c>
      <c r="F832" s="13" t="s">
        <v>213</v>
      </c>
      <c r="G832" s="13" t="s">
        <v>231</v>
      </c>
      <c r="H832" s="58" t="str">
        <f>Table1[[#This Row],[Tabela]]&amp;Table1[[#This Row],[Campo]]</f>
        <v>modesg_inp_emss_vclsnome_fator_emissao</v>
      </c>
      <c r="I832" s="2" t="s">
        <v>614</v>
      </c>
      <c r="J832" s="46">
        <f>VLOOKUP(Table1[[#This Row],[Status]],Auxiliar!$B$16:$C$24,2,0)</f>
        <v>1</v>
      </c>
      <c r="K832" s="21" t="s">
        <v>1263</v>
      </c>
      <c r="L832" s="21" t="s">
        <v>1258</v>
      </c>
      <c r="M832" s="21" t="s">
        <v>1260</v>
      </c>
      <c r="N832" s="48">
        <v>45546</v>
      </c>
      <c r="O832" s="21">
        <f>INDEX(Auxiliar!$D$5:$F$13,MATCH(Table1[[#This Row],[Tipologia_Testes]],Auxiliar!$B$5:$B$13,0),MATCH(Table1[[#This Row],[Complexidade]],Auxiliar!$D$4:$F$4,0))</f>
        <v>0.5</v>
      </c>
      <c r="P832" s="2" t="s">
        <v>1312</v>
      </c>
      <c r="Q832" s="2"/>
      <c r="R832" s="152">
        <v>45261</v>
      </c>
      <c r="S832" s="152"/>
      <c r="T832" s="152"/>
      <c r="U832" s="152">
        <v>45603</v>
      </c>
      <c r="V832" s="152">
        <v>45534</v>
      </c>
      <c r="W832" s="2">
        <f>VLOOKUP(Table1[[#This Row],[Status]],Auxiliar!$B$16:$D$24,3,0)*Table1[[#This Row],[Estimação (horas)]]</f>
        <v>0.5</v>
      </c>
      <c r="X832" s="2"/>
    </row>
    <row r="833" spans="2:24" ht="17.7" customHeight="1" x14ac:dyDescent="0.25">
      <c r="B833" s="13" t="s">
        <v>26</v>
      </c>
      <c r="C833" s="13" t="s">
        <v>181</v>
      </c>
      <c r="D833" s="13" t="s">
        <v>1302</v>
      </c>
      <c r="E833" s="2" t="s">
        <v>38</v>
      </c>
      <c r="F833" s="13" t="s">
        <v>213</v>
      </c>
      <c r="G833" s="13" t="s">
        <v>232</v>
      </c>
      <c r="H833" s="58" t="str">
        <f>Table1[[#This Row],[Tabela]]&amp;Table1[[#This Row],[Campo]]</f>
        <v>modesg_inp_emss_vclsunidade_fator_de_emissao</v>
      </c>
      <c r="I833" s="2" t="s">
        <v>614</v>
      </c>
      <c r="J833" s="46">
        <f>VLOOKUP(Table1[[#This Row],[Status]],Auxiliar!$B$16:$C$24,2,0)</f>
        <v>1</v>
      </c>
      <c r="K833" s="21" t="s">
        <v>1255</v>
      </c>
      <c r="L833" s="21" t="s">
        <v>1258</v>
      </c>
      <c r="M833" s="21" t="s">
        <v>1260</v>
      </c>
      <c r="N833" s="48">
        <v>45546</v>
      </c>
      <c r="O833" s="21">
        <f>INDEX(Auxiliar!$D$5:$F$13,MATCH(Table1[[#This Row],[Tipologia_Testes]],Auxiliar!$B$5:$B$13,0),MATCH(Table1[[#This Row],[Complexidade]],Auxiliar!$D$4:$F$4,0))</f>
        <v>0.1</v>
      </c>
      <c r="P833" s="2" t="s">
        <v>1313</v>
      </c>
      <c r="Q833" s="2"/>
      <c r="R833" s="152">
        <v>45261</v>
      </c>
      <c r="S833" s="152"/>
      <c r="T833" s="152"/>
      <c r="U833" s="152">
        <v>45603</v>
      </c>
      <c r="V833" s="152">
        <v>45534</v>
      </c>
      <c r="W833" s="2">
        <f>VLOOKUP(Table1[[#This Row],[Status]],Auxiliar!$B$16:$D$24,3,0)*Table1[[#This Row],[Estimação (horas)]]</f>
        <v>0.1</v>
      </c>
      <c r="X833" s="2"/>
    </row>
    <row r="834" spans="2:24" ht="17.7" customHeight="1" x14ac:dyDescent="0.25">
      <c r="B834" s="13" t="s">
        <v>26</v>
      </c>
      <c r="C834" s="13" t="s">
        <v>181</v>
      </c>
      <c r="D834" s="13" t="s">
        <v>1302</v>
      </c>
      <c r="E834" s="2" t="s">
        <v>38</v>
      </c>
      <c r="F834" s="13" t="s">
        <v>213</v>
      </c>
      <c r="G834" s="13" t="s">
        <v>232</v>
      </c>
      <c r="H834" s="58" t="str">
        <f>Table1[[#This Row],[Tabela]]&amp;Table1[[#This Row],[Campo]]</f>
        <v>modesg_inp_emss_vclsunidade_fator_de_emissao</v>
      </c>
      <c r="I834" s="2" t="s">
        <v>614</v>
      </c>
      <c r="J834" s="46">
        <f>VLOOKUP(Table1[[#This Row],[Status]],Auxiliar!$B$16:$C$24,2,0)</f>
        <v>1</v>
      </c>
      <c r="K834" s="21" t="s">
        <v>1263</v>
      </c>
      <c r="L834" s="21" t="s">
        <v>1258</v>
      </c>
      <c r="M834" s="21" t="s">
        <v>1260</v>
      </c>
      <c r="N834" s="48">
        <v>45546</v>
      </c>
      <c r="O834" s="21">
        <f>INDEX(Auxiliar!$D$5:$F$13,MATCH(Table1[[#This Row],[Tipologia_Testes]],Auxiliar!$B$5:$B$13,0),MATCH(Table1[[#This Row],[Complexidade]],Auxiliar!$D$4:$F$4,0))</f>
        <v>0.5</v>
      </c>
      <c r="P834" s="2" t="s">
        <v>1312</v>
      </c>
      <c r="Q834" s="2"/>
      <c r="R834" s="152">
        <v>45261</v>
      </c>
      <c r="S834" s="152"/>
      <c r="T834" s="152"/>
      <c r="U834" s="152">
        <v>45603</v>
      </c>
      <c r="V834" s="152">
        <v>45534</v>
      </c>
      <c r="W834" s="2">
        <f>VLOOKUP(Table1[[#This Row],[Status]],Auxiliar!$B$16:$D$24,3,0)*Table1[[#This Row],[Estimação (horas)]]</f>
        <v>0.5</v>
      </c>
      <c r="X834" s="2"/>
    </row>
    <row r="835" spans="2:24" ht="17.7" customHeight="1" x14ac:dyDescent="0.25">
      <c r="B835" s="13" t="s">
        <v>26</v>
      </c>
      <c r="C835" s="13" t="s">
        <v>181</v>
      </c>
      <c r="D835" s="13" t="s">
        <v>1302</v>
      </c>
      <c r="E835" s="2" t="s">
        <v>38</v>
      </c>
      <c r="F835" s="13" t="s">
        <v>213</v>
      </c>
      <c r="G835" s="13" t="s">
        <v>233</v>
      </c>
      <c r="H835" s="58" t="str">
        <f>Table1[[#This Row],[Tabela]]&amp;Table1[[#This Row],[Campo]]</f>
        <v>modesg_inp_emss_vclsscore_qualidade</v>
      </c>
      <c r="I835" s="2" t="s">
        <v>614</v>
      </c>
      <c r="J835" s="46">
        <f>VLOOKUP(Table1[[#This Row],[Status]],Auxiliar!$B$16:$C$24,2,0)</f>
        <v>1</v>
      </c>
      <c r="K835" s="21" t="s">
        <v>1255</v>
      </c>
      <c r="L835" s="2" t="s">
        <v>1250</v>
      </c>
      <c r="M835" s="21" t="s">
        <v>1260</v>
      </c>
      <c r="N835" s="48">
        <v>45546</v>
      </c>
      <c r="O835" s="21">
        <f>INDEX(Auxiliar!$D$5:$F$13,MATCH(Table1[[#This Row],[Tipologia_Testes]],Auxiliar!$B$5:$B$13,0),MATCH(Table1[[#This Row],[Complexidade]],Auxiliar!$D$4:$F$4,0))</f>
        <v>0.1</v>
      </c>
      <c r="P835" s="2" t="s">
        <v>1313</v>
      </c>
      <c r="Q835" s="2"/>
      <c r="R835" s="152">
        <v>45261</v>
      </c>
      <c r="S835" s="152"/>
      <c r="T835" s="152"/>
      <c r="U835" s="152">
        <v>45603</v>
      </c>
      <c r="V835" s="152">
        <v>45534</v>
      </c>
      <c r="W835" s="2">
        <f>VLOOKUP(Table1[[#This Row],[Status]],Auxiliar!$B$16:$D$24,3,0)*Table1[[#This Row],[Estimação (horas)]]</f>
        <v>0.1</v>
      </c>
      <c r="X835" s="2"/>
    </row>
    <row r="836" spans="2:24" ht="69.599999999999994" customHeight="1" x14ac:dyDescent="0.25">
      <c r="B836" s="13" t="s">
        <v>26</v>
      </c>
      <c r="C836" s="13" t="s">
        <v>181</v>
      </c>
      <c r="D836" s="13" t="s">
        <v>1302</v>
      </c>
      <c r="E836" s="2" t="s">
        <v>38</v>
      </c>
      <c r="F836" s="13" t="s">
        <v>213</v>
      </c>
      <c r="G836" s="13" t="s">
        <v>233</v>
      </c>
      <c r="H836" s="58" t="str">
        <f>Table1[[#This Row],[Tabela]]&amp;Table1[[#This Row],[Campo]]</f>
        <v>modesg_inp_emss_vclsscore_qualidade</v>
      </c>
      <c r="I836" s="2" t="s">
        <v>614</v>
      </c>
      <c r="J836" s="46">
        <f>VLOOKUP(Table1[[#This Row],[Status]],Auxiliar!$B$16:$C$24,2,0)</f>
        <v>1</v>
      </c>
      <c r="K836" s="21" t="s">
        <v>1263</v>
      </c>
      <c r="L836" s="2" t="s">
        <v>1250</v>
      </c>
      <c r="M836" s="21" t="s">
        <v>1260</v>
      </c>
      <c r="N836" s="48">
        <v>45546</v>
      </c>
      <c r="O836" s="21">
        <f>INDEX(Auxiliar!$D$5:$F$13,MATCH(Table1[[#This Row],[Tipologia_Testes]],Auxiliar!$B$5:$B$13,0),MATCH(Table1[[#This Row],[Complexidade]],Auxiliar!$D$4:$F$4,0))</f>
        <v>0.5</v>
      </c>
      <c r="P836" s="23" t="s">
        <v>1314</v>
      </c>
      <c r="Q836" s="2"/>
      <c r="R836" s="152">
        <v>45261</v>
      </c>
      <c r="S836" s="152"/>
      <c r="T836" s="152"/>
      <c r="U836" s="152">
        <v>45603</v>
      </c>
      <c r="V836" s="152">
        <v>45534</v>
      </c>
      <c r="W836" s="2">
        <f>VLOOKUP(Table1[[#This Row],[Status]],Auxiliar!$B$16:$D$24,3,0)*Table1[[#This Row],[Estimação (horas)]]</f>
        <v>0.5</v>
      </c>
      <c r="X836" s="2"/>
    </row>
    <row r="837" spans="2:24" ht="17.7" customHeight="1" x14ac:dyDescent="0.25">
      <c r="B837" s="13" t="s">
        <v>26</v>
      </c>
      <c r="C837" s="13" t="s">
        <v>181</v>
      </c>
      <c r="D837" s="13" t="s">
        <v>1302</v>
      </c>
      <c r="E837" s="2" t="s">
        <v>38</v>
      </c>
      <c r="F837" s="13" t="s">
        <v>213</v>
      </c>
      <c r="G837" s="13" t="s">
        <v>234</v>
      </c>
      <c r="H837" s="58" t="str">
        <f>Table1[[#This Row],[Tabela]]&amp;Table1[[#This Row],[Campo]]</f>
        <v>modesg_inp_emss_vclsscp1_ftr_emss</v>
      </c>
      <c r="I837" s="2" t="s">
        <v>614</v>
      </c>
      <c r="J837" s="46">
        <f>VLOOKUP(Table1[[#This Row],[Status]],Auxiliar!$B$16:$C$24,2,0)</f>
        <v>1</v>
      </c>
      <c r="K837" s="21" t="s">
        <v>1255</v>
      </c>
      <c r="L837" s="2" t="s">
        <v>1250</v>
      </c>
      <c r="M837" s="21" t="s">
        <v>1260</v>
      </c>
      <c r="N837" s="48">
        <v>45546</v>
      </c>
      <c r="O837" s="21">
        <f>INDEX(Auxiliar!$D$5:$F$13,MATCH(Table1[[#This Row],[Tipologia_Testes]],Auxiliar!$B$5:$B$13,0),MATCH(Table1[[#This Row],[Complexidade]],Auxiliar!$D$4:$F$4,0))</f>
        <v>0.1</v>
      </c>
      <c r="P837" s="2" t="s">
        <v>1315</v>
      </c>
      <c r="Q837" s="2"/>
      <c r="R837" s="152">
        <v>45261</v>
      </c>
      <c r="S837" s="152"/>
      <c r="T837" s="152"/>
      <c r="U837" s="152">
        <v>45603</v>
      </c>
      <c r="V837" s="152">
        <v>45534</v>
      </c>
      <c r="W837" s="2">
        <f>VLOOKUP(Table1[[#This Row],[Status]],Auxiliar!$B$16:$D$24,3,0)*Table1[[#This Row],[Estimação (horas)]]</f>
        <v>0.1</v>
      </c>
      <c r="X837" s="2"/>
    </row>
    <row r="838" spans="2:24" ht="69.599999999999994" customHeight="1" x14ac:dyDescent="0.25">
      <c r="B838" s="13" t="s">
        <v>26</v>
      </c>
      <c r="C838" s="13" t="s">
        <v>181</v>
      </c>
      <c r="D838" s="13" t="s">
        <v>1302</v>
      </c>
      <c r="E838" s="2" t="s">
        <v>38</v>
      </c>
      <c r="F838" s="13" t="s">
        <v>213</v>
      </c>
      <c r="G838" s="13" t="s">
        <v>234</v>
      </c>
      <c r="H838" s="58" t="str">
        <f>Table1[[#This Row],[Tabela]]&amp;Table1[[#This Row],[Campo]]</f>
        <v>modesg_inp_emss_vclsscp1_ftr_emss</v>
      </c>
      <c r="I838" s="2" t="s">
        <v>614</v>
      </c>
      <c r="J838" s="46">
        <f>VLOOKUP(Table1[[#This Row],[Status]],Auxiliar!$B$16:$C$24,2,0)</f>
        <v>1</v>
      </c>
      <c r="K838" s="21" t="s">
        <v>1263</v>
      </c>
      <c r="L838" s="2" t="s">
        <v>1250</v>
      </c>
      <c r="M838" s="21" t="s">
        <v>1260</v>
      </c>
      <c r="N838" s="48">
        <v>45546</v>
      </c>
      <c r="O838" s="21">
        <f>INDEX(Auxiliar!$D$5:$F$13,MATCH(Table1[[#This Row],[Tipologia_Testes]],Auxiliar!$B$5:$B$13,0),MATCH(Table1[[#This Row],[Complexidade]],Auxiliar!$D$4:$F$4,0))</f>
        <v>0.5</v>
      </c>
      <c r="P838" s="23" t="s">
        <v>1314</v>
      </c>
      <c r="Q838" s="2"/>
      <c r="R838" s="152">
        <v>45261</v>
      </c>
      <c r="S838" s="152"/>
      <c r="T838" s="152"/>
      <c r="U838" s="152">
        <v>45603</v>
      </c>
      <c r="V838" s="152">
        <v>45534</v>
      </c>
      <c r="W838" s="2">
        <f>VLOOKUP(Table1[[#This Row],[Status]],Auxiliar!$B$16:$D$24,3,0)*Table1[[#This Row],[Estimação (horas)]]</f>
        <v>0.5</v>
      </c>
      <c r="X838" s="2"/>
    </row>
    <row r="839" spans="2:24" ht="17.7" customHeight="1" x14ac:dyDescent="0.25">
      <c r="B839" s="13" t="s">
        <v>26</v>
      </c>
      <c r="C839" s="13" t="s">
        <v>181</v>
      </c>
      <c r="D839" s="13" t="s">
        <v>1302</v>
      </c>
      <c r="E839" s="2" t="s">
        <v>38</v>
      </c>
      <c r="F839" s="13" t="s">
        <v>213</v>
      </c>
      <c r="G839" s="13" t="s">
        <v>235</v>
      </c>
      <c r="H839" s="58" t="str">
        <f>Table1[[#This Row],[Tabela]]&amp;Table1[[#This Row],[Campo]]</f>
        <v>modesg_inp_emss_vclsscp2_ftr_emss</v>
      </c>
      <c r="I839" s="2" t="s">
        <v>614</v>
      </c>
      <c r="J839" s="46">
        <f>VLOOKUP(Table1[[#This Row],[Status]],Auxiliar!$B$16:$C$24,2,0)</f>
        <v>1</v>
      </c>
      <c r="K839" s="21" t="s">
        <v>1255</v>
      </c>
      <c r="L839" s="2" t="s">
        <v>1250</v>
      </c>
      <c r="M839" s="21" t="s">
        <v>1260</v>
      </c>
      <c r="N839" s="48">
        <v>45546</v>
      </c>
      <c r="O839" s="21">
        <f>INDEX(Auxiliar!$D$5:$F$13,MATCH(Table1[[#This Row],[Tipologia_Testes]],Auxiliar!$B$5:$B$13,0),MATCH(Table1[[#This Row],[Complexidade]],Auxiliar!$D$4:$F$4,0))</f>
        <v>0.1</v>
      </c>
      <c r="P839" s="2" t="s">
        <v>1315</v>
      </c>
      <c r="Q839" s="2"/>
      <c r="R839" s="152">
        <v>45261</v>
      </c>
      <c r="S839" s="152"/>
      <c r="T839" s="152"/>
      <c r="U839" s="152">
        <v>45603</v>
      </c>
      <c r="V839" s="152">
        <v>45534</v>
      </c>
      <c r="W839" s="2">
        <f>VLOOKUP(Table1[[#This Row],[Status]],Auxiliar!$B$16:$D$24,3,0)*Table1[[#This Row],[Estimação (horas)]]</f>
        <v>0.1</v>
      </c>
      <c r="X839" s="2"/>
    </row>
    <row r="840" spans="2:24" ht="69.599999999999994" customHeight="1" x14ac:dyDescent="0.25">
      <c r="B840" s="13" t="s">
        <v>26</v>
      </c>
      <c r="C840" s="13" t="s">
        <v>181</v>
      </c>
      <c r="D840" s="13" t="s">
        <v>1302</v>
      </c>
      <c r="E840" s="2" t="s">
        <v>38</v>
      </c>
      <c r="F840" s="13" t="s">
        <v>213</v>
      </c>
      <c r="G840" s="13" t="s">
        <v>235</v>
      </c>
      <c r="H840" s="58" t="str">
        <f>Table1[[#This Row],[Tabela]]&amp;Table1[[#This Row],[Campo]]</f>
        <v>modesg_inp_emss_vclsscp2_ftr_emss</v>
      </c>
      <c r="I840" s="2" t="s">
        <v>614</v>
      </c>
      <c r="J840" s="46">
        <f>VLOOKUP(Table1[[#This Row],[Status]],Auxiliar!$B$16:$C$24,2,0)</f>
        <v>1</v>
      </c>
      <c r="K840" s="21" t="s">
        <v>1263</v>
      </c>
      <c r="L840" s="2" t="s">
        <v>1250</v>
      </c>
      <c r="M840" s="21" t="s">
        <v>1260</v>
      </c>
      <c r="N840" s="48">
        <v>45546</v>
      </c>
      <c r="O840" s="21">
        <f>INDEX(Auxiliar!$D$5:$F$13,MATCH(Table1[[#This Row],[Tipologia_Testes]],Auxiliar!$B$5:$B$13,0),MATCH(Table1[[#This Row],[Complexidade]],Auxiliar!$D$4:$F$4,0))</f>
        <v>0.5</v>
      </c>
      <c r="P840" s="23" t="s">
        <v>1314</v>
      </c>
      <c r="Q840" s="2"/>
      <c r="R840" s="152">
        <v>45261</v>
      </c>
      <c r="S840" s="152"/>
      <c r="T840" s="152"/>
      <c r="U840" s="152">
        <v>45603</v>
      </c>
      <c r="V840" s="152">
        <v>45534</v>
      </c>
      <c r="W840" s="2">
        <f>VLOOKUP(Table1[[#This Row],[Status]],Auxiliar!$B$16:$D$24,3,0)*Table1[[#This Row],[Estimação (horas)]]</f>
        <v>0.5</v>
      </c>
      <c r="X840" s="2"/>
    </row>
    <row r="841" spans="2:24" ht="17.7" customHeight="1" x14ac:dyDescent="0.25">
      <c r="B841" s="13" t="s">
        <v>26</v>
      </c>
      <c r="C841" s="13" t="s">
        <v>181</v>
      </c>
      <c r="D841" s="13" t="s">
        <v>1302</v>
      </c>
      <c r="E841" s="2" t="s">
        <v>38</v>
      </c>
      <c r="F841" s="13" t="s">
        <v>213</v>
      </c>
      <c r="G841" s="13" t="s">
        <v>236</v>
      </c>
      <c r="H841" s="58" t="str">
        <f>Table1[[#This Row],[Tabela]]&amp;Table1[[#This Row],[Campo]]</f>
        <v>modesg_inp_emss_vclsscp3_ftr_emss</v>
      </c>
      <c r="I841" s="2" t="s">
        <v>614</v>
      </c>
      <c r="J841" s="46">
        <f>VLOOKUP(Table1[[#This Row],[Status]],Auxiliar!$B$16:$C$24,2,0)</f>
        <v>1</v>
      </c>
      <c r="K841" s="21" t="s">
        <v>1255</v>
      </c>
      <c r="L841" s="2" t="s">
        <v>1250</v>
      </c>
      <c r="M841" s="21" t="s">
        <v>1260</v>
      </c>
      <c r="N841" s="48">
        <v>45546</v>
      </c>
      <c r="O841" s="21">
        <f>INDEX(Auxiliar!$D$5:$F$13,MATCH(Table1[[#This Row],[Tipologia_Testes]],Auxiliar!$B$5:$B$13,0),MATCH(Table1[[#This Row],[Complexidade]],Auxiliar!$D$4:$F$4,0))</f>
        <v>0.1</v>
      </c>
      <c r="P841" s="2" t="s">
        <v>1316</v>
      </c>
      <c r="Q841" s="2"/>
      <c r="R841" s="152">
        <v>45261</v>
      </c>
      <c r="S841" s="152"/>
      <c r="T841" s="152"/>
      <c r="U841" s="152">
        <v>45603</v>
      </c>
      <c r="V841" s="152">
        <v>45534</v>
      </c>
      <c r="W841" s="2">
        <f>VLOOKUP(Table1[[#This Row],[Status]],Auxiliar!$B$16:$D$24,3,0)*Table1[[#This Row],[Estimação (horas)]]</f>
        <v>0.1</v>
      </c>
      <c r="X841" s="2"/>
    </row>
    <row r="842" spans="2:24" ht="52.2" customHeight="1" x14ac:dyDescent="0.25">
      <c r="B842" s="13" t="s">
        <v>26</v>
      </c>
      <c r="C842" s="13" t="s">
        <v>181</v>
      </c>
      <c r="D842" s="13" t="s">
        <v>1302</v>
      </c>
      <c r="E842" s="2" t="s">
        <v>38</v>
      </c>
      <c r="F842" s="13" t="s">
        <v>213</v>
      </c>
      <c r="G842" s="13" t="s">
        <v>236</v>
      </c>
      <c r="H842" s="58" t="str">
        <f>Table1[[#This Row],[Tabela]]&amp;Table1[[#This Row],[Campo]]</f>
        <v>modesg_inp_emss_vclsscp3_ftr_emss</v>
      </c>
      <c r="I842" s="2" t="s">
        <v>614</v>
      </c>
      <c r="J842" s="46">
        <f>VLOOKUP(Table1[[#This Row],[Status]],Auxiliar!$B$16:$C$24,2,0)</f>
        <v>1</v>
      </c>
      <c r="K842" s="21" t="s">
        <v>1263</v>
      </c>
      <c r="L842" s="2" t="s">
        <v>1250</v>
      </c>
      <c r="M842" s="21" t="s">
        <v>1260</v>
      </c>
      <c r="N842" s="48">
        <v>45546</v>
      </c>
      <c r="O842" s="21">
        <f>INDEX(Auxiliar!$D$5:$F$13,MATCH(Table1[[#This Row],[Tipologia_Testes]],Auxiliar!$B$5:$B$13,0),MATCH(Table1[[#This Row],[Complexidade]],Auxiliar!$D$4:$F$4,0))</f>
        <v>0.5</v>
      </c>
      <c r="P842" s="23" t="s">
        <v>1317</v>
      </c>
      <c r="Q842" s="2"/>
      <c r="R842" s="152">
        <v>45261</v>
      </c>
      <c r="S842" s="152"/>
      <c r="T842" s="152"/>
      <c r="U842" s="152">
        <v>45603</v>
      </c>
      <c r="V842" s="152">
        <v>45534</v>
      </c>
      <c r="W842" s="2">
        <f>VLOOKUP(Table1[[#This Row],[Status]],Auxiliar!$B$16:$D$24,3,0)*Table1[[#This Row],[Estimação (horas)]]</f>
        <v>0.5</v>
      </c>
      <c r="X842" s="2"/>
    </row>
    <row r="843" spans="2:24" ht="17.7" customHeight="1" x14ac:dyDescent="0.25">
      <c r="B843" s="13" t="s">
        <v>26</v>
      </c>
      <c r="C843" s="13" t="s">
        <v>181</v>
      </c>
      <c r="D843" s="13" t="s">
        <v>1302</v>
      </c>
      <c r="E843" s="2" t="s">
        <v>38</v>
      </c>
      <c r="F843" s="13" t="s">
        <v>214</v>
      </c>
      <c r="G843" s="13" t="s">
        <v>208</v>
      </c>
      <c r="H843" s="58" t="str">
        <f>Table1[[#This Row],[Tabela]]&amp;Table1[[#This Row],[Campo]]</f>
        <v>modesg_inp_km_medios_emss_vclsref_date</v>
      </c>
      <c r="I843" s="2" t="s">
        <v>614</v>
      </c>
      <c r="J843" s="46">
        <f>VLOOKUP(Table1[[#This Row],[Status]],Auxiliar!$B$16:$C$24,2,0)</f>
        <v>1</v>
      </c>
      <c r="K843" s="21" t="s">
        <v>1263</v>
      </c>
      <c r="L843" s="28"/>
      <c r="M843" s="21" t="s">
        <v>1260</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7" customHeight="1" x14ac:dyDescent="0.25">
      <c r="B844" s="13" t="s">
        <v>26</v>
      </c>
      <c r="C844" s="13" t="s">
        <v>181</v>
      </c>
      <c r="D844" s="13" t="s">
        <v>1302</v>
      </c>
      <c r="E844" s="2" t="s">
        <v>38</v>
      </c>
      <c r="F844" s="13" t="s">
        <v>214</v>
      </c>
      <c r="G844" s="13" t="s">
        <v>222</v>
      </c>
      <c r="H844" s="58" t="str">
        <f>Table1[[#This Row],[Tabela]]&amp;Table1[[#This Row],[Campo]]</f>
        <v>modesg_inp_km_medios_emss_vclsnome_pais</v>
      </c>
      <c r="I844" s="2" t="s">
        <v>614</v>
      </c>
      <c r="J844" s="46">
        <f>VLOOKUP(Table1[[#This Row],[Status]],Auxiliar!$B$16:$C$24,2,0)</f>
        <v>1</v>
      </c>
      <c r="K844" s="21" t="s">
        <v>1255</v>
      </c>
      <c r="L844" s="28"/>
      <c r="M844" s="21" t="s">
        <v>1260</v>
      </c>
      <c r="N844" s="48">
        <v>45537</v>
      </c>
      <c r="O844" s="21">
        <f>INDEX(Auxiliar!$D$5:$F$13,MATCH(Table1[[#This Row],[Tipologia_Testes]],Auxiliar!$B$5:$B$13,0),MATCH(Table1[[#This Row],[Complexidade]],Auxiliar!$D$4:$F$4,0))</f>
        <v>0.1</v>
      </c>
      <c r="P844" s="2" t="s">
        <v>1318</v>
      </c>
      <c r="Q844" s="2"/>
      <c r="R844" s="152">
        <v>45261</v>
      </c>
      <c r="S844" s="152"/>
      <c r="T844" s="152"/>
      <c r="U844" s="152">
        <v>45603</v>
      </c>
      <c r="V844" s="152">
        <v>45534</v>
      </c>
      <c r="W844" s="2">
        <f>VLOOKUP(Table1[[#This Row],[Status]],Auxiliar!$B$16:$D$24,3,0)*Table1[[#This Row],[Estimação (horas)]]</f>
        <v>0.1</v>
      </c>
      <c r="X844" s="2"/>
    </row>
    <row r="845" spans="2:24" ht="17.7" customHeight="1" x14ac:dyDescent="0.25">
      <c r="B845" s="13" t="s">
        <v>26</v>
      </c>
      <c r="C845" s="13" t="s">
        <v>181</v>
      </c>
      <c r="D845" s="13" t="s">
        <v>1302</v>
      </c>
      <c r="E845" s="2" t="s">
        <v>38</v>
      </c>
      <c r="F845" s="13" t="s">
        <v>214</v>
      </c>
      <c r="G845" s="13" t="s">
        <v>222</v>
      </c>
      <c r="H845" s="58" t="str">
        <f>Table1[[#This Row],[Tabela]]&amp;Table1[[#This Row],[Campo]]</f>
        <v>modesg_inp_km_medios_emss_vclsnome_pais</v>
      </c>
      <c r="I845" s="2" t="s">
        <v>614</v>
      </c>
      <c r="J845" s="46">
        <f>VLOOKUP(Table1[[#This Row],[Status]],Auxiliar!$B$16:$C$24,2,0)</f>
        <v>1</v>
      </c>
      <c r="K845" s="21" t="s">
        <v>1263</v>
      </c>
      <c r="L845" s="28"/>
      <c r="M845" s="21" t="s">
        <v>1260</v>
      </c>
      <c r="N845" s="48">
        <v>45537</v>
      </c>
      <c r="O845" s="21">
        <f>INDEX(Auxiliar!$D$5:$F$13,MATCH(Table1[[#This Row],[Tipologia_Testes]],Auxiliar!$B$5:$B$13,0),MATCH(Table1[[#This Row],[Complexidade]],Auxiliar!$D$4:$F$4,0))</f>
        <v>0.5</v>
      </c>
      <c r="P845" s="2"/>
      <c r="Q845" s="2"/>
      <c r="R845" s="152">
        <v>45261</v>
      </c>
      <c r="S845" s="152"/>
      <c r="T845" s="152"/>
      <c r="U845" s="152">
        <v>45603</v>
      </c>
      <c r="V845" s="152">
        <v>45534</v>
      </c>
      <c r="W845" s="2">
        <f>VLOOKUP(Table1[[#This Row],[Status]],Auxiliar!$B$16:$D$24,3,0)*Table1[[#This Row],[Estimação (horas)]]</f>
        <v>0.5</v>
      </c>
      <c r="X845" s="2"/>
    </row>
    <row r="846" spans="2:24" ht="17.7" customHeight="1" x14ac:dyDescent="0.25">
      <c r="B846" s="13" t="s">
        <v>26</v>
      </c>
      <c r="C846" s="13" t="s">
        <v>181</v>
      </c>
      <c r="D846" s="13" t="s">
        <v>1302</v>
      </c>
      <c r="E846" s="2" t="s">
        <v>38</v>
      </c>
      <c r="F846" s="13" t="s">
        <v>214</v>
      </c>
      <c r="G846" s="13" t="s">
        <v>237</v>
      </c>
      <c r="H846" s="58" t="str">
        <f>Table1[[#This Row],[Tabela]]&amp;Table1[[#This Row],[Campo]]</f>
        <v>modesg_inp_km_medios_emss_vclstipo_vcl</v>
      </c>
      <c r="I846" s="2" t="s">
        <v>614</v>
      </c>
      <c r="J846" s="46">
        <f>VLOOKUP(Table1[[#This Row],[Status]],Auxiliar!$B$16:$C$24,2,0)</f>
        <v>1</v>
      </c>
      <c r="K846" s="21" t="s">
        <v>1255</v>
      </c>
      <c r="L846" s="2" t="s">
        <v>1250</v>
      </c>
      <c r="M846" s="21" t="s">
        <v>1260</v>
      </c>
      <c r="N846" s="48">
        <v>45537</v>
      </c>
      <c r="O846" s="21">
        <f>INDEX(Auxiliar!$D$5:$F$13,MATCH(Table1[[#This Row],[Tipologia_Testes]],Auxiliar!$B$5:$B$13,0),MATCH(Table1[[#This Row],[Complexidade]],Auxiliar!$D$4:$F$4,0))</f>
        <v>0.1</v>
      </c>
      <c r="P846" s="2" t="s">
        <v>1319</v>
      </c>
      <c r="Q846" s="2"/>
      <c r="R846" s="152">
        <v>45261</v>
      </c>
      <c r="S846" s="152"/>
      <c r="T846" s="152"/>
      <c r="U846" s="152">
        <v>45603</v>
      </c>
      <c r="V846" s="152">
        <v>45534</v>
      </c>
      <c r="W846" s="2">
        <f>VLOOKUP(Table1[[#This Row],[Status]],Auxiliar!$B$16:$D$24,3,0)*Table1[[#This Row],[Estimação (horas)]]</f>
        <v>0.1</v>
      </c>
      <c r="X846" s="2"/>
    </row>
    <row r="847" spans="2:24" ht="17.7" customHeight="1" x14ac:dyDescent="0.25">
      <c r="B847" s="13" t="s">
        <v>26</v>
      </c>
      <c r="C847" s="13" t="s">
        <v>181</v>
      </c>
      <c r="D847" s="13" t="s">
        <v>1302</v>
      </c>
      <c r="E847" s="2" t="s">
        <v>38</v>
      </c>
      <c r="F847" s="13" t="s">
        <v>214</v>
      </c>
      <c r="G847" s="13" t="s">
        <v>237</v>
      </c>
      <c r="H847" s="58" t="str">
        <f>Table1[[#This Row],[Tabela]]&amp;Table1[[#This Row],[Campo]]</f>
        <v>modesg_inp_km_medios_emss_vclstipo_vcl</v>
      </c>
      <c r="I847" s="2" t="s">
        <v>614</v>
      </c>
      <c r="J847" s="46">
        <f>VLOOKUP(Table1[[#This Row],[Status]],Auxiliar!$B$16:$C$24,2,0)</f>
        <v>1</v>
      </c>
      <c r="K847" s="21" t="s">
        <v>1263</v>
      </c>
      <c r="L847" s="2" t="s">
        <v>1250</v>
      </c>
      <c r="M847" s="21" t="s">
        <v>1260</v>
      </c>
      <c r="N847" s="48">
        <v>45537</v>
      </c>
      <c r="O847" s="21">
        <f>INDEX(Auxiliar!$D$5:$F$13,MATCH(Table1[[#This Row],[Tipologia_Testes]],Auxiliar!$B$5:$B$13,0),MATCH(Table1[[#This Row],[Complexidade]],Auxiliar!$D$4:$F$4,0))</f>
        <v>0.5</v>
      </c>
      <c r="P847" s="2" t="s">
        <v>1320</v>
      </c>
      <c r="Q847" s="2"/>
      <c r="R847" s="152">
        <v>45261</v>
      </c>
      <c r="S847" s="152"/>
      <c r="T847" s="152"/>
      <c r="U847" s="152">
        <v>45603</v>
      </c>
      <c r="V847" s="152">
        <v>45534</v>
      </c>
      <c r="W847" s="2">
        <f>VLOOKUP(Table1[[#This Row],[Status]],Auxiliar!$B$16:$D$24,3,0)*Table1[[#This Row],[Estimação (horas)]]</f>
        <v>0.5</v>
      </c>
      <c r="X847" s="2"/>
    </row>
    <row r="848" spans="2:24" ht="17.7" customHeight="1" x14ac:dyDescent="0.25">
      <c r="B848" s="13" t="s">
        <v>26</v>
      </c>
      <c r="C848" s="13" t="s">
        <v>181</v>
      </c>
      <c r="D848" s="13" t="s">
        <v>1302</v>
      </c>
      <c r="E848" s="2" t="s">
        <v>38</v>
      </c>
      <c r="F848" s="13" t="s">
        <v>214</v>
      </c>
      <c r="G848" s="13" t="s">
        <v>225</v>
      </c>
      <c r="H848" s="58" t="str">
        <f>Table1[[#This Row],[Tabela]]&amp;Table1[[#This Row],[Campo]]</f>
        <v>modesg_inp_km_medios_emss_vclstipo_motor</v>
      </c>
      <c r="I848" s="2" t="s">
        <v>614</v>
      </c>
      <c r="J848" s="46">
        <f>VLOOKUP(Table1[[#This Row],[Status]],Auxiliar!$B$16:$C$24,2,0)</f>
        <v>1</v>
      </c>
      <c r="K848" s="21" t="s">
        <v>1255</v>
      </c>
      <c r="L848" s="28"/>
      <c r="M848" s="21" t="s">
        <v>1260</v>
      </c>
      <c r="N848" s="48">
        <v>45537</v>
      </c>
      <c r="O848" s="21">
        <f>INDEX(Auxiliar!$D$5:$F$13,MATCH(Table1[[#This Row],[Tipologia_Testes]],Auxiliar!$B$5:$B$13,0),MATCH(Table1[[#This Row],[Complexidade]],Auxiliar!$D$4:$F$4,0))</f>
        <v>0.1</v>
      </c>
      <c r="P848" s="2" t="s">
        <v>1318</v>
      </c>
      <c r="Q848" s="2"/>
      <c r="R848" s="152">
        <v>45261</v>
      </c>
      <c r="S848" s="152"/>
      <c r="T848" s="152"/>
      <c r="U848" s="152">
        <v>45603</v>
      </c>
      <c r="V848" s="152">
        <v>45534</v>
      </c>
      <c r="W848" s="2">
        <f>VLOOKUP(Table1[[#This Row],[Status]],Auxiliar!$B$16:$D$24,3,0)*Table1[[#This Row],[Estimação (horas)]]</f>
        <v>0.1</v>
      </c>
      <c r="X848" s="2"/>
    </row>
    <row r="849" spans="2:24" ht="17.7" customHeight="1" x14ac:dyDescent="0.25">
      <c r="B849" s="13" t="s">
        <v>26</v>
      </c>
      <c r="C849" s="13" t="s">
        <v>181</v>
      </c>
      <c r="D849" s="13" t="s">
        <v>1302</v>
      </c>
      <c r="E849" s="2" t="s">
        <v>38</v>
      </c>
      <c r="F849" s="13" t="s">
        <v>214</v>
      </c>
      <c r="G849" s="13" t="s">
        <v>225</v>
      </c>
      <c r="H849" s="58" t="str">
        <f>Table1[[#This Row],[Tabela]]&amp;Table1[[#This Row],[Campo]]</f>
        <v>modesg_inp_km_medios_emss_vclstipo_motor</v>
      </c>
      <c r="I849" s="2" t="s">
        <v>614</v>
      </c>
      <c r="J849" s="46">
        <f>VLOOKUP(Table1[[#This Row],[Status]],Auxiliar!$B$16:$C$24,2,0)</f>
        <v>1</v>
      </c>
      <c r="K849" s="21" t="s">
        <v>1263</v>
      </c>
      <c r="L849" s="28"/>
      <c r="M849" s="21" t="s">
        <v>1260</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7" customHeight="1" x14ac:dyDescent="0.25">
      <c r="B850" s="13" t="s">
        <v>26</v>
      </c>
      <c r="C850" s="13" t="s">
        <v>181</v>
      </c>
      <c r="D850" s="13" t="s">
        <v>1302</v>
      </c>
      <c r="E850" s="2" t="s">
        <v>38</v>
      </c>
      <c r="F850" s="13" t="s">
        <v>214</v>
      </c>
      <c r="G850" s="13" t="s">
        <v>228</v>
      </c>
      <c r="H850" s="58" t="str">
        <f>Table1[[#This Row],[Tabela]]&amp;Table1[[#This Row],[Campo]]</f>
        <v>modesg_inp_km_medios_emss_vclssubgrupo</v>
      </c>
      <c r="I850" s="2" t="s">
        <v>614</v>
      </c>
      <c r="J850" s="46">
        <f>VLOOKUP(Table1[[#This Row],[Status]],Auxiliar!$B$16:$C$24,2,0)</f>
        <v>1</v>
      </c>
      <c r="K850" s="21" t="s">
        <v>1255</v>
      </c>
      <c r="L850" s="2" t="s">
        <v>655</v>
      </c>
      <c r="M850" s="21" t="s">
        <v>1260</v>
      </c>
      <c r="N850" s="48">
        <v>45537</v>
      </c>
      <c r="O850" s="21">
        <f>INDEX(Auxiliar!$D$5:$F$13,MATCH(Table1[[#This Row],[Tipologia_Testes]],Auxiliar!$B$5:$B$13,0),MATCH(Table1[[#This Row],[Complexidade]],Auxiliar!$D$4:$F$4,0))</f>
        <v>0.1</v>
      </c>
      <c r="P850" s="2" t="s">
        <v>1318</v>
      </c>
      <c r="Q850" s="2"/>
      <c r="R850" s="152">
        <v>45261</v>
      </c>
      <c r="S850" s="152"/>
      <c r="T850" s="152"/>
      <c r="U850" s="152">
        <v>45603</v>
      </c>
      <c r="V850" s="152">
        <v>45534</v>
      </c>
      <c r="W850" s="2">
        <f>VLOOKUP(Table1[[#This Row],[Status]],Auxiliar!$B$16:$D$24,3,0)*Table1[[#This Row],[Estimação (horas)]]</f>
        <v>0.1</v>
      </c>
      <c r="X850" s="2"/>
    </row>
    <row r="851" spans="2:24" ht="17.7" customHeight="1" x14ac:dyDescent="0.25">
      <c r="B851" s="13" t="s">
        <v>26</v>
      </c>
      <c r="C851" s="13" t="s">
        <v>181</v>
      </c>
      <c r="D851" s="13" t="s">
        <v>1302</v>
      </c>
      <c r="E851" s="2" t="s">
        <v>38</v>
      </c>
      <c r="F851" s="13" t="s">
        <v>214</v>
      </c>
      <c r="G851" s="13" t="s">
        <v>228</v>
      </c>
      <c r="H851" s="58" t="str">
        <f>Table1[[#This Row],[Tabela]]&amp;Table1[[#This Row],[Campo]]</f>
        <v>modesg_inp_km_medios_emss_vclssubgrupo</v>
      </c>
      <c r="I851" s="2" t="s">
        <v>614</v>
      </c>
      <c r="J851" s="46">
        <f>VLOOKUP(Table1[[#This Row],[Status]],Auxiliar!$B$16:$C$24,2,0)</f>
        <v>1</v>
      </c>
      <c r="K851" s="21" t="s">
        <v>1263</v>
      </c>
      <c r="L851" s="2" t="s">
        <v>655</v>
      </c>
      <c r="M851" s="21" t="s">
        <v>1260</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7" customHeight="1" x14ac:dyDescent="0.25">
      <c r="B852" s="13" t="s">
        <v>26</v>
      </c>
      <c r="C852" s="13" t="s">
        <v>181</v>
      </c>
      <c r="D852" s="13" t="s">
        <v>1302</v>
      </c>
      <c r="E852" s="2" t="s">
        <v>38</v>
      </c>
      <c r="F852" s="13" t="s">
        <v>214</v>
      </c>
      <c r="G852" s="13" t="s">
        <v>238</v>
      </c>
      <c r="H852" s="58" t="str">
        <f>Table1[[#This Row],[Tabela]]&amp;Table1[[#This Row],[Campo]]</f>
        <v>modesg_inp_km_medios_emss_vclsmedia_km</v>
      </c>
      <c r="I852" s="2" t="s">
        <v>614</v>
      </c>
      <c r="J852" s="46">
        <f>VLOOKUP(Table1[[#This Row],[Status]],Auxiliar!$B$16:$C$24,2,0)</f>
        <v>1</v>
      </c>
      <c r="K852" s="21" t="s">
        <v>1255</v>
      </c>
      <c r="L852" s="28"/>
      <c r="M852" s="21" t="s">
        <v>1260</v>
      </c>
      <c r="N852" s="48">
        <v>45537</v>
      </c>
      <c r="O852" s="21">
        <f>INDEX(Auxiliar!$D$5:$F$13,MATCH(Table1[[#This Row],[Tipologia_Testes]],Auxiliar!$B$5:$B$13,0),MATCH(Table1[[#This Row],[Complexidade]],Auxiliar!$D$4:$F$4,0))</f>
        <v>0.1</v>
      </c>
      <c r="P852" s="2" t="s">
        <v>1318</v>
      </c>
      <c r="Q852" s="2"/>
      <c r="R852" s="152">
        <v>45261</v>
      </c>
      <c r="S852" s="152"/>
      <c r="T852" s="152"/>
      <c r="U852" s="152">
        <v>45603</v>
      </c>
      <c r="V852" s="152">
        <v>45534</v>
      </c>
      <c r="W852" s="2">
        <f>VLOOKUP(Table1[[#This Row],[Status]],Auxiliar!$B$16:$D$24,3,0)*Table1[[#This Row],[Estimação (horas)]]</f>
        <v>0.1</v>
      </c>
      <c r="X852" s="2"/>
    </row>
    <row r="853" spans="2:24" ht="17.7" customHeight="1" x14ac:dyDescent="0.25">
      <c r="B853" s="13" t="s">
        <v>26</v>
      </c>
      <c r="C853" s="13" t="s">
        <v>181</v>
      </c>
      <c r="D853" s="13" t="s">
        <v>1302</v>
      </c>
      <c r="E853" s="2" t="s">
        <v>38</v>
      </c>
      <c r="F853" s="13" t="s">
        <v>214</v>
      </c>
      <c r="G853" s="13" t="s">
        <v>238</v>
      </c>
      <c r="H853" s="58" t="str">
        <f>Table1[[#This Row],[Tabela]]&amp;Table1[[#This Row],[Campo]]</f>
        <v>modesg_inp_km_medios_emss_vclsmedia_km</v>
      </c>
      <c r="I853" s="2" t="s">
        <v>614</v>
      </c>
      <c r="J853" s="46">
        <f>VLOOKUP(Table1[[#This Row],[Status]],Auxiliar!$B$16:$C$24,2,0)</f>
        <v>1</v>
      </c>
      <c r="K853" s="21" t="s">
        <v>1263</v>
      </c>
      <c r="L853" s="28"/>
      <c r="M853" s="21" t="s">
        <v>1260</v>
      </c>
      <c r="N853" s="48">
        <v>45537</v>
      </c>
      <c r="O853" s="21">
        <f>INDEX(Auxiliar!$D$5:$F$13,MATCH(Table1[[#This Row],[Tipologia_Testes]],Auxiliar!$B$5:$B$13,0),MATCH(Table1[[#This Row],[Complexidade]],Auxiliar!$D$4:$F$4,0))</f>
        <v>0.5</v>
      </c>
      <c r="P853" s="2"/>
      <c r="Q853" s="2"/>
      <c r="R853" s="152">
        <v>45261</v>
      </c>
      <c r="S853" s="152"/>
      <c r="T853" s="152"/>
      <c r="U853" s="152">
        <v>45603</v>
      </c>
      <c r="V853" s="152">
        <v>45534</v>
      </c>
      <c r="W853" s="2">
        <f>VLOOKUP(Table1[[#This Row],[Status]],Auxiliar!$B$16:$D$24,3,0)*Table1[[#This Row],[Estimação (horas)]]</f>
        <v>0.5</v>
      </c>
      <c r="X853" s="2"/>
    </row>
    <row r="854" spans="2:24" ht="17.7" customHeight="1" x14ac:dyDescent="0.25">
      <c r="B854" s="13" t="s">
        <v>26</v>
      </c>
      <c r="C854" s="13" t="s">
        <v>181</v>
      </c>
      <c r="D854" s="13" t="s">
        <v>1306</v>
      </c>
      <c r="E854" s="2" t="s">
        <v>38</v>
      </c>
      <c r="F854" s="13" t="s">
        <v>215</v>
      </c>
      <c r="G854" s="13" t="s">
        <v>208</v>
      </c>
      <c r="H854" s="58" t="str">
        <f>Table1[[#This Row],[Tabela]]&amp;Table1[[#This Row],[Campo]]</f>
        <v>modesg_inp_empr_excl_parisref_date</v>
      </c>
      <c r="I854" s="3" t="s">
        <v>614</v>
      </c>
      <c r="J854" s="54">
        <f>VLOOKUP(Table1[[#This Row],[Status]],Auxiliar!$B$16:$C$24,2,0)</f>
        <v>1</v>
      </c>
      <c r="K854" s="21" t="s">
        <v>1263</v>
      </c>
      <c r="L854" s="2" t="s">
        <v>1258</v>
      </c>
      <c r="M854" s="21" t="s">
        <v>1260</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1321</v>
      </c>
    </row>
    <row r="855" spans="2:24" ht="17.7" customHeight="1" x14ac:dyDescent="0.25">
      <c r="B855" s="13" t="s">
        <v>26</v>
      </c>
      <c r="C855" s="13" t="s">
        <v>181</v>
      </c>
      <c r="D855" s="13" t="s">
        <v>1306</v>
      </c>
      <c r="E855" s="2" t="s">
        <v>38</v>
      </c>
      <c r="F855" s="13" t="s">
        <v>215</v>
      </c>
      <c r="G855" s="13" t="s">
        <v>239</v>
      </c>
      <c r="H855" s="58" t="str">
        <f>Table1[[#This Row],[Tabela]]&amp;Table1[[#This Row],[Campo]]</f>
        <v>modesg_inp_empr_excl_parisisin</v>
      </c>
      <c r="I855" s="3" t="s">
        <v>614</v>
      </c>
      <c r="J855" s="54">
        <f>VLOOKUP(Table1[[#This Row],[Status]],Auxiliar!$B$16:$C$24,2,0)</f>
        <v>1</v>
      </c>
      <c r="K855" s="21" t="s">
        <v>1255</v>
      </c>
      <c r="L855" s="2" t="s">
        <v>1258</v>
      </c>
      <c r="M855" s="21" t="s">
        <v>1260</v>
      </c>
      <c r="N855" s="48">
        <v>45485</v>
      </c>
      <c r="O855" s="21">
        <f>INDEX(Auxiliar!$D$5:$F$13,MATCH(Table1[[#This Row],[Tipologia_Testes]],Auxiliar!$B$5:$B$13,0),MATCH(Table1[[#This Row],[Complexidade]],Auxiliar!$D$4:$F$4,0))</f>
        <v>0.1</v>
      </c>
      <c r="P855" s="2" t="s">
        <v>1322</v>
      </c>
      <c r="Q855" s="2"/>
      <c r="R855" s="152">
        <v>45261</v>
      </c>
      <c r="S855" s="152"/>
      <c r="T855" s="152"/>
      <c r="U855" s="152">
        <v>45603</v>
      </c>
      <c r="V855" s="152"/>
      <c r="W855" s="2">
        <f>VLOOKUP(Table1[[#This Row],[Status]],Auxiliar!$B$16:$D$24,3,0)*Table1[[#This Row],[Estimação (horas)]]</f>
        <v>0.1</v>
      </c>
      <c r="X855" s="2" t="s">
        <v>1321</v>
      </c>
    </row>
    <row r="856" spans="2:24" ht="17.7" customHeight="1" x14ac:dyDescent="0.25">
      <c r="B856" s="13" t="s">
        <v>26</v>
      </c>
      <c r="C856" s="13" t="s">
        <v>181</v>
      </c>
      <c r="D856" s="13" t="s">
        <v>1306</v>
      </c>
      <c r="E856" s="2" t="s">
        <v>38</v>
      </c>
      <c r="F856" s="13" t="s">
        <v>215</v>
      </c>
      <c r="G856" s="13" t="s">
        <v>239</v>
      </c>
      <c r="H856" s="58" t="str">
        <f>Table1[[#This Row],[Tabela]]&amp;Table1[[#This Row],[Campo]]</f>
        <v>modesg_inp_empr_excl_parisisin</v>
      </c>
      <c r="I856" s="3" t="s">
        <v>614</v>
      </c>
      <c r="J856" s="54">
        <f>VLOOKUP(Table1[[#This Row],[Status]],Auxiliar!$B$16:$C$24,2,0)</f>
        <v>1</v>
      </c>
      <c r="K856" s="21" t="s">
        <v>1263</v>
      </c>
      <c r="L856" s="2" t="s">
        <v>1250</v>
      </c>
      <c r="M856" s="21" t="s">
        <v>1260</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1321</v>
      </c>
    </row>
    <row r="857" spans="2:24" ht="17.7" customHeight="1" x14ac:dyDescent="0.25">
      <c r="B857" s="13" t="s">
        <v>26</v>
      </c>
      <c r="C857" s="13" t="s">
        <v>181</v>
      </c>
      <c r="D857" s="13" t="s">
        <v>1306</v>
      </c>
      <c r="E857" s="2" t="s">
        <v>38</v>
      </c>
      <c r="F857" s="13" t="s">
        <v>215</v>
      </c>
      <c r="G857" s="13" t="s">
        <v>240</v>
      </c>
      <c r="H857" s="58" t="str">
        <f>Table1[[#This Row],[Tabela]]&amp;Table1[[#This Row],[Campo]]</f>
        <v>modesg_inp_empr_excl_parisclei</v>
      </c>
      <c r="I857" s="3" t="s">
        <v>614</v>
      </c>
      <c r="J857" s="54">
        <f>VLOOKUP(Table1[[#This Row],[Status]],Auxiliar!$B$16:$C$24,2,0)</f>
        <v>1</v>
      </c>
      <c r="K857" s="21" t="s">
        <v>1255</v>
      </c>
      <c r="L857" s="2" t="s">
        <v>1258</v>
      </c>
      <c r="M857" s="21" t="s">
        <v>1260</v>
      </c>
      <c r="N857" s="48">
        <v>45485</v>
      </c>
      <c r="O857" s="21">
        <f>INDEX(Auxiliar!$D$5:$F$13,MATCH(Table1[[#This Row],[Tipologia_Testes]],Auxiliar!$B$5:$B$13,0),MATCH(Table1[[#This Row],[Complexidade]],Auxiliar!$D$4:$F$4,0))</f>
        <v>0.1</v>
      </c>
      <c r="P857" s="2" t="s">
        <v>1322</v>
      </c>
      <c r="Q857" s="2"/>
      <c r="R857" s="152">
        <v>45261</v>
      </c>
      <c r="S857" s="152"/>
      <c r="T857" s="152"/>
      <c r="U857" s="152">
        <v>45603</v>
      </c>
      <c r="V857" s="152"/>
      <c r="W857" s="2">
        <f>VLOOKUP(Table1[[#This Row],[Status]],Auxiliar!$B$16:$D$24,3,0)*Table1[[#This Row],[Estimação (horas)]]</f>
        <v>0.1</v>
      </c>
      <c r="X857" s="2" t="s">
        <v>1321</v>
      </c>
    </row>
    <row r="858" spans="2:24" ht="17.7" customHeight="1" x14ac:dyDescent="0.25">
      <c r="B858" s="13" t="s">
        <v>26</v>
      </c>
      <c r="C858" s="13" t="s">
        <v>181</v>
      </c>
      <c r="D858" s="13" t="s">
        <v>1306</v>
      </c>
      <c r="E858" s="2" t="s">
        <v>38</v>
      </c>
      <c r="F858" s="13" t="s">
        <v>215</v>
      </c>
      <c r="G858" s="13" t="s">
        <v>240</v>
      </c>
      <c r="H858" s="58" t="str">
        <f>Table1[[#This Row],[Tabela]]&amp;Table1[[#This Row],[Campo]]</f>
        <v>modesg_inp_empr_excl_parisclei</v>
      </c>
      <c r="I858" s="3" t="s">
        <v>614</v>
      </c>
      <c r="J858" s="54">
        <f>VLOOKUP(Table1[[#This Row],[Status]],Auxiliar!$B$16:$C$24,2,0)</f>
        <v>1</v>
      </c>
      <c r="K858" s="21" t="s">
        <v>1263</v>
      </c>
      <c r="L858" s="2" t="s">
        <v>1258</v>
      </c>
      <c r="M858" s="21" t="s">
        <v>1260</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1321</v>
      </c>
    </row>
    <row r="859" spans="2:24" ht="17.7" customHeight="1" x14ac:dyDescent="0.25">
      <c r="B859" s="13" t="s">
        <v>26</v>
      </c>
      <c r="C859" s="13" t="s">
        <v>181</v>
      </c>
      <c r="D859" s="13" t="s">
        <v>1306</v>
      </c>
      <c r="E859" s="2" t="s">
        <v>38</v>
      </c>
      <c r="F859" s="13" t="s">
        <v>215</v>
      </c>
      <c r="G859" s="13" t="s">
        <v>241</v>
      </c>
      <c r="H859" s="58" t="str">
        <f>Table1[[#This Row],[Tabela]]&amp;Table1[[#This Row],[Campo]]</f>
        <v>modesg_inp_empr_excl_parisccli_kgl</v>
      </c>
      <c r="I859" s="3" t="s">
        <v>614</v>
      </c>
      <c r="J859" s="54">
        <f>VLOOKUP(Table1[[#This Row],[Status]],Auxiliar!$B$16:$C$24,2,0)</f>
        <v>1</v>
      </c>
      <c r="K859" s="21" t="s">
        <v>1255</v>
      </c>
      <c r="L859" s="2" t="s">
        <v>1258</v>
      </c>
      <c r="M859" s="21" t="s">
        <v>1260</v>
      </c>
      <c r="N859" s="48">
        <v>45485</v>
      </c>
      <c r="O859" s="21">
        <f>INDEX(Auxiliar!$D$5:$F$13,MATCH(Table1[[#This Row],[Tipologia_Testes]],Auxiliar!$B$5:$B$13,0),MATCH(Table1[[#This Row],[Complexidade]],Auxiliar!$D$4:$F$4,0))</f>
        <v>0.1</v>
      </c>
      <c r="P859" s="2" t="s">
        <v>1322</v>
      </c>
      <c r="Q859" s="2"/>
      <c r="R859" s="152">
        <v>45261</v>
      </c>
      <c r="S859" s="152"/>
      <c r="T859" s="152"/>
      <c r="U859" s="152">
        <v>45603</v>
      </c>
      <c r="V859" s="152"/>
      <c r="W859" s="2">
        <f>VLOOKUP(Table1[[#This Row],[Status]],Auxiliar!$B$16:$D$24,3,0)*Table1[[#This Row],[Estimação (horas)]]</f>
        <v>0.1</v>
      </c>
      <c r="X859" s="2" t="s">
        <v>1321</v>
      </c>
    </row>
    <row r="860" spans="2:24" ht="17.7" customHeight="1" x14ac:dyDescent="0.25">
      <c r="B860" s="13" t="s">
        <v>26</v>
      </c>
      <c r="C860" s="13" t="s">
        <v>181</v>
      </c>
      <c r="D860" s="13" t="s">
        <v>1306</v>
      </c>
      <c r="E860" s="2" t="s">
        <v>38</v>
      </c>
      <c r="F860" s="13" t="s">
        <v>215</v>
      </c>
      <c r="G860" s="13" t="s">
        <v>241</v>
      </c>
      <c r="H860" s="58" t="str">
        <f>Table1[[#This Row],[Tabela]]&amp;Table1[[#This Row],[Campo]]</f>
        <v>modesg_inp_empr_excl_parisccli_kgl</v>
      </c>
      <c r="I860" s="3" t="s">
        <v>614</v>
      </c>
      <c r="J860" s="54">
        <f>VLOOKUP(Table1[[#This Row],[Status]],Auxiliar!$B$16:$C$24,2,0)</f>
        <v>1</v>
      </c>
      <c r="K860" s="21" t="s">
        <v>1263</v>
      </c>
      <c r="L860" s="2" t="s">
        <v>1258</v>
      </c>
      <c r="M860" s="21" t="s">
        <v>1260</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1321</v>
      </c>
    </row>
    <row r="861" spans="2:24" ht="17.7" customHeight="1" x14ac:dyDescent="0.25">
      <c r="B861" s="13" t="s">
        <v>26</v>
      </c>
      <c r="C861" s="13" t="s">
        <v>181</v>
      </c>
      <c r="D861" s="13" t="s">
        <v>1306</v>
      </c>
      <c r="E861" s="2" t="s">
        <v>38</v>
      </c>
      <c r="F861" s="13" t="s">
        <v>215</v>
      </c>
      <c r="G861" s="13" t="s">
        <v>242</v>
      </c>
      <c r="H861" s="58" t="str">
        <f>Table1[[#This Row],[Tabela]]&amp;Table1[[#This Row],[Campo]]</f>
        <v>modesg_inp_empr_excl_parisnome_entidade</v>
      </c>
      <c r="I861" s="3" t="s">
        <v>614</v>
      </c>
      <c r="J861" s="54">
        <f>VLOOKUP(Table1[[#This Row],[Status]],Auxiliar!$B$16:$C$24,2,0)</f>
        <v>1</v>
      </c>
      <c r="K861" s="21" t="s">
        <v>1263</v>
      </c>
      <c r="L861" s="2" t="s">
        <v>1258</v>
      </c>
      <c r="M861" s="21" t="s">
        <v>1260</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1321</v>
      </c>
    </row>
    <row r="862" spans="2:24" ht="17.7" customHeight="1" x14ac:dyDescent="0.25">
      <c r="B862" s="13" t="s">
        <v>26</v>
      </c>
      <c r="C862" s="13" t="s">
        <v>181</v>
      </c>
      <c r="D862" s="13" t="s">
        <v>1306</v>
      </c>
      <c r="E862" s="2" t="s">
        <v>38</v>
      </c>
      <c r="F862" s="13" t="s">
        <v>215</v>
      </c>
      <c r="G862" s="13" t="s">
        <v>243</v>
      </c>
      <c r="H862" s="58" t="str">
        <f>Table1[[#This Row],[Tabela]]&amp;Table1[[#This Row],[Campo]]</f>
        <v>modesg_inp_empr_excl_parisflg_scib</v>
      </c>
      <c r="I862" s="3" t="s">
        <v>614</v>
      </c>
      <c r="J862" s="54">
        <f>VLOOKUP(Table1[[#This Row],[Status]],Auxiliar!$B$16:$C$24,2,0)</f>
        <v>1</v>
      </c>
      <c r="K862" s="21" t="s">
        <v>1263</v>
      </c>
      <c r="L862" s="2" t="s">
        <v>1258</v>
      </c>
      <c r="M862" s="21" t="s">
        <v>1260</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1321</v>
      </c>
    </row>
    <row r="863" spans="2:24" ht="17.7" customHeight="1" x14ac:dyDescent="0.25">
      <c r="B863" s="13" t="s">
        <v>26</v>
      </c>
      <c r="C863" s="13" t="s">
        <v>181</v>
      </c>
      <c r="D863" s="13" t="s">
        <v>1306</v>
      </c>
      <c r="E863" s="2" t="s">
        <v>38</v>
      </c>
      <c r="F863" s="13" t="s">
        <v>215</v>
      </c>
      <c r="G863" s="13" t="s">
        <v>222</v>
      </c>
      <c r="H863" s="58" t="str">
        <f>Table1[[#This Row],[Tabela]]&amp;Table1[[#This Row],[Campo]]</f>
        <v>modesg_inp_empr_excl_parisnome_pais</v>
      </c>
      <c r="I863" s="3" t="s">
        <v>614</v>
      </c>
      <c r="J863" s="54">
        <f>VLOOKUP(Table1[[#This Row],[Status]],Auxiliar!$B$16:$C$24,2,0)</f>
        <v>1</v>
      </c>
      <c r="K863" s="21" t="s">
        <v>1263</v>
      </c>
      <c r="L863" s="28"/>
      <c r="M863" s="21" t="s">
        <v>1260</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1321</v>
      </c>
    </row>
    <row r="864" spans="2:24" ht="17.7" customHeight="1" x14ac:dyDescent="0.25">
      <c r="B864" s="13" t="s">
        <v>26</v>
      </c>
      <c r="C864" s="13" t="s">
        <v>181</v>
      </c>
      <c r="D864" s="13" t="s">
        <v>1309</v>
      </c>
      <c r="E864" s="2" t="s">
        <v>38</v>
      </c>
      <c r="F864" s="13" t="s">
        <v>216</v>
      </c>
      <c r="G864" s="13" t="s">
        <v>208</v>
      </c>
      <c r="H864" s="58" t="str">
        <f>Table1[[#This Row],[Tabela]]&amp;Table1[[#This Row],[Campo]]</f>
        <v>modesg_inp_nfrd_alinhamento_taxref_date</v>
      </c>
      <c r="I864" s="2" t="s">
        <v>614</v>
      </c>
      <c r="J864" s="46">
        <f>VLOOKUP(Table1[[#This Row],[Status]],Auxiliar!$B$16:$C$24,2,0)</f>
        <v>1</v>
      </c>
      <c r="K864" s="21" t="s">
        <v>1263</v>
      </c>
      <c r="L864" s="28"/>
      <c r="M864" s="21" t="s">
        <v>1260</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7" customHeight="1" x14ac:dyDescent="0.25">
      <c r="B865" s="13" t="s">
        <v>26</v>
      </c>
      <c r="C865" s="13" t="s">
        <v>181</v>
      </c>
      <c r="D865" s="13" t="s">
        <v>1309</v>
      </c>
      <c r="E865" s="2" t="s">
        <v>38</v>
      </c>
      <c r="F865" s="13" t="s">
        <v>216</v>
      </c>
      <c r="G865" s="13" t="s">
        <v>241</v>
      </c>
      <c r="H865" s="58" t="str">
        <f>Table1[[#This Row],[Tabela]]&amp;Table1[[#This Row],[Campo]]</f>
        <v>modesg_inp_nfrd_alinhamento_taxccli_kgl</v>
      </c>
      <c r="I865" s="2" t="s">
        <v>614</v>
      </c>
      <c r="J865" s="46">
        <f>VLOOKUP(Table1[[#This Row],[Status]],Auxiliar!$B$16:$C$24,2,0)</f>
        <v>1</v>
      </c>
      <c r="K865" s="21" t="s">
        <v>1255</v>
      </c>
      <c r="L865" s="28"/>
      <c r="M865" s="21" t="s">
        <v>1260</v>
      </c>
      <c r="N865" s="48">
        <v>45540</v>
      </c>
      <c r="O865" s="21">
        <f>INDEX(Auxiliar!$D$5:$F$13,MATCH(Table1[[#This Row],[Tipologia_Testes]],Auxiliar!$B$5:$B$13,0),MATCH(Table1[[#This Row],[Complexidade]],Auxiliar!$D$4:$F$4,0))</f>
        <v>0.1</v>
      </c>
      <c r="P865" s="2" t="s">
        <v>1323</v>
      </c>
      <c r="Q865" s="2"/>
      <c r="R865" s="152">
        <v>45261</v>
      </c>
      <c r="S865" s="152"/>
      <c r="T865" s="152"/>
      <c r="U865" s="152">
        <v>45603</v>
      </c>
      <c r="V865" s="152">
        <v>45534</v>
      </c>
      <c r="W865" s="2">
        <f>VLOOKUP(Table1[[#This Row],[Status]],Auxiliar!$B$16:$D$24,3,0)*Table1[[#This Row],[Estimação (horas)]]</f>
        <v>0.1</v>
      </c>
      <c r="X865" s="2"/>
    </row>
    <row r="866" spans="2:24" ht="17.7" customHeight="1" x14ac:dyDescent="0.25">
      <c r="B866" s="13" t="s">
        <v>26</v>
      </c>
      <c r="C866" s="13" t="s">
        <v>181</v>
      </c>
      <c r="D866" s="13" t="s">
        <v>1309</v>
      </c>
      <c r="E866" s="2" t="s">
        <v>38</v>
      </c>
      <c r="F866" s="13" t="s">
        <v>216</v>
      </c>
      <c r="G866" s="13" t="s">
        <v>241</v>
      </c>
      <c r="H866" s="58" t="str">
        <f>Table1[[#This Row],[Tabela]]&amp;Table1[[#This Row],[Campo]]</f>
        <v>modesg_inp_nfrd_alinhamento_taxccli_kgl</v>
      </c>
      <c r="I866" s="2" t="s">
        <v>614</v>
      </c>
      <c r="J866" s="46">
        <f>VLOOKUP(Table1[[#This Row],[Status]],Auxiliar!$B$16:$C$24,2,0)</f>
        <v>1</v>
      </c>
      <c r="K866" s="21" t="s">
        <v>1263</v>
      </c>
      <c r="L866" s="28"/>
      <c r="M866" s="21" t="s">
        <v>1260</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customHeight="1" x14ac:dyDescent="0.25">
      <c r="B867" s="13" t="s">
        <v>26</v>
      </c>
      <c r="C867" s="13" t="s">
        <v>181</v>
      </c>
      <c r="D867" s="13" t="s">
        <v>1309</v>
      </c>
      <c r="E867" s="2" t="s">
        <v>38</v>
      </c>
      <c r="F867" s="13" t="s">
        <v>216</v>
      </c>
      <c r="G867" s="13" t="s">
        <v>240</v>
      </c>
      <c r="H867" s="58" t="str">
        <f>Table1[[#This Row],[Tabela]]&amp;Table1[[#This Row],[Campo]]</f>
        <v>modesg_inp_nfrd_alinhamento_taxclei</v>
      </c>
      <c r="I867" s="2" t="s">
        <v>614</v>
      </c>
      <c r="J867" s="46">
        <f>VLOOKUP(Table1[[#This Row],[Status]],Auxiliar!$B$16:$C$24,2,0)</f>
        <v>1</v>
      </c>
      <c r="K867" s="21" t="s">
        <v>1255</v>
      </c>
      <c r="L867" s="28"/>
      <c r="M867" s="21" t="s">
        <v>1260</v>
      </c>
      <c r="N867" s="48">
        <v>45540</v>
      </c>
      <c r="O867" s="21">
        <f>INDEX(Auxiliar!$D$5:$F$13,MATCH(Table1[[#This Row],[Tipologia_Testes]],Auxiliar!$B$5:$B$13,0),MATCH(Table1[[#This Row],[Complexidade]],Auxiliar!$D$4:$F$4,0))</f>
        <v>0.1</v>
      </c>
      <c r="P867" s="2" t="s">
        <v>1323</v>
      </c>
      <c r="Q867" s="2"/>
      <c r="R867" s="152">
        <v>45261</v>
      </c>
      <c r="S867" s="152"/>
      <c r="T867" s="152"/>
      <c r="U867" s="152">
        <v>45603</v>
      </c>
      <c r="V867" s="152">
        <v>45534</v>
      </c>
      <c r="W867" s="2">
        <f>VLOOKUP(Table1[[#This Row],[Status]],Auxiliar!$B$16:$D$24,3,0)*Table1[[#This Row],[Estimação (horas)]]</f>
        <v>0.1</v>
      </c>
      <c r="X867" s="2"/>
    </row>
    <row r="868" spans="2:24" ht="17.7" customHeight="1" x14ac:dyDescent="0.25">
      <c r="B868" s="13" t="s">
        <v>26</v>
      </c>
      <c r="C868" s="13" t="s">
        <v>181</v>
      </c>
      <c r="D868" s="13" t="s">
        <v>1309</v>
      </c>
      <c r="E868" s="2" t="s">
        <v>38</v>
      </c>
      <c r="F868" s="13" t="s">
        <v>216</v>
      </c>
      <c r="G868" s="13" t="s">
        <v>240</v>
      </c>
      <c r="H868" s="58" t="str">
        <f>Table1[[#This Row],[Tabela]]&amp;Table1[[#This Row],[Campo]]</f>
        <v>modesg_inp_nfrd_alinhamento_taxclei</v>
      </c>
      <c r="I868" s="2" t="s">
        <v>614</v>
      </c>
      <c r="J868" s="46">
        <f>VLOOKUP(Table1[[#This Row],[Status]],Auxiliar!$B$16:$C$24,2,0)</f>
        <v>1</v>
      </c>
      <c r="K868" s="21" t="s">
        <v>1263</v>
      </c>
      <c r="L868" s="28"/>
      <c r="M868" s="21" t="s">
        <v>1260</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customHeight="1" x14ac:dyDescent="0.25">
      <c r="B869" s="13" t="s">
        <v>26</v>
      </c>
      <c r="C869" s="13" t="s">
        <v>181</v>
      </c>
      <c r="D869" s="13" t="s">
        <v>1309</v>
      </c>
      <c r="E869" s="2" t="s">
        <v>38</v>
      </c>
      <c r="F869" s="13" t="s">
        <v>216</v>
      </c>
      <c r="G869" s="13" t="s">
        <v>244</v>
      </c>
      <c r="H869" s="58" t="str">
        <f>Table1[[#This Row],[Tabela]]&amp;Table1[[#This Row],[Campo]]</f>
        <v>modesg_inp_nfrd_alinhamento_taxperm_id</v>
      </c>
      <c r="I869" s="2" t="s">
        <v>614</v>
      </c>
      <c r="J869" s="46">
        <f>VLOOKUP(Table1[[#This Row],[Status]],Auxiliar!$B$16:$C$24,2,0)</f>
        <v>1</v>
      </c>
      <c r="K869" s="21" t="s">
        <v>1263</v>
      </c>
      <c r="L869" s="28"/>
      <c r="M869" s="21" t="s">
        <v>1260</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customHeight="1" x14ac:dyDescent="0.25">
      <c r="B870" s="13" t="s">
        <v>26</v>
      </c>
      <c r="C870" s="13" t="s">
        <v>181</v>
      </c>
      <c r="D870" s="13" t="s">
        <v>1309</v>
      </c>
      <c r="E870" s="2" t="s">
        <v>38</v>
      </c>
      <c r="F870" s="13" t="s">
        <v>216</v>
      </c>
      <c r="G870" s="13" t="s">
        <v>242</v>
      </c>
      <c r="H870" s="58" t="str">
        <f>Table1[[#This Row],[Tabela]]&amp;Table1[[#This Row],[Campo]]</f>
        <v>modesg_inp_nfrd_alinhamento_taxnome_entidade</v>
      </c>
      <c r="I870" s="2" t="s">
        <v>614</v>
      </c>
      <c r="J870" s="46">
        <f>VLOOKUP(Table1[[#This Row],[Status]],Auxiliar!$B$16:$C$24,2,0)</f>
        <v>1</v>
      </c>
      <c r="K870" s="21" t="s">
        <v>1263</v>
      </c>
      <c r="L870" s="28"/>
      <c r="M870" s="21" t="s">
        <v>1260</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7" customHeight="1" x14ac:dyDescent="0.25">
      <c r="B871" s="13" t="s">
        <v>26</v>
      </c>
      <c r="C871" s="13" t="s">
        <v>181</v>
      </c>
      <c r="D871" s="13" t="s">
        <v>1309</v>
      </c>
      <c r="E871" s="2" t="s">
        <v>38</v>
      </c>
      <c r="F871" s="13" t="s">
        <v>216</v>
      </c>
      <c r="G871" s="13" t="s">
        <v>222</v>
      </c>
      <c r="H871" s="58" t="str">
        <f>Table1[[#This Row],[Tabela]]&amp;Table1[[#This Row],[Campo]]</f>
        <v>modesg_inp_nfrd_alinhamento_taxnome_pais</v>
      </c>
      <c r="I871" s="2" t="s">
        <v>614</v>
      </c>
      <c r="J871" s="46">
        <f>VLOOKUP(Table1[[#This Row],[Status]],Auxiliar!$B$16:$C$24,2,0)</f>
        <v>1</v>
      </c>
      <c r="K871" s="21" t="s">
        <v>1263</v>
      </c>
      <c r="L871" s="28"/>
      <c r="M871" s="21" t="s">
        <v>1260</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customHeight="1" x14ac:dyDescent="0.25">
      <c r="B872" s="13" t="s">
        <v>26</v>
      </c>
      <c r="C872" s="13" t="s">
        <v>181</v>
      </c>
      <c r="D872" s="13" t="s">
        <v>1309</v>
      </c>
      <c r="E872" s="2" t="s">
        <v>38</v>
      </c>
      <c r="F872" s="13" t="s">
        <v>216</v>
      </c>
      <c r="G872" s="13" t="s">
        <v>245</v>
      </c>
      <c r="H872" s="58" t="str">
        <f>Table1[[#This Row],[Tabela]]&amp;Table1[[#This Row],[Campo]]</f>
        <v>modesg_inp_nfrd_alinhamento_taxflg_nfrd</v>
      </c>
      <c r="I872" s="2" t="s">
        <v>614</v>
      </c>
      <c r="J872" s="46">
        <f>VLOOKUP(Table1[[#This Row],[Status]],Auxiliar!$B$16:$C$24,2,0)</f>
        <v>1</v>
      </c>
      <c r="K872" s="21" t="s">
        <v>1263</v>
      </c>
      <c r="L872" s="28"/>
      <c r="M872" s="21" t="s">
        <v>1260</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customHeight="1" x14ac:dyDescent="0.25">
      <c r="B873" s="13" t="s">
        <v>26</v>
      </c>
      <c r="C873" s="13" t="s">
        <v>181</v>
      </c>
      <c r="D873" s="13" t="s">
        <v>1309</v>
      </c>
      <c r="E873" s="2" t="s">
        <v>38</v>
      </c>
      <c r="F873" s="13" t="s">
        <v>216</v>
      </c>
      <c r="G873" s="13" t="s">
        <v>246</v>
      </c>
      <c r="H873" s="58" t="str">
        <f>Table1[[#This Row],[Tabela]]&amp;Table1[[#This Row],[Campo]]</f>
        <v>modesg_inp_nfrd_alinhamento_taxcca_trnvr_ttl_elgbl</v>
      </c>
      <c r="I873" s="2" t="s">
        <v>614</v>
      </c>
      <c r="J873" s="46">
        <f>VLOOKUP(Table1[[#This Row],[Status]],Auxiliar!$B$16:$C$24,2,0)</f>
        <v>1</v>
      </c>
      <c r="K873" s="21" t="s">
        <v>1255</v>
      </c>
      <c r="L873" s="28"/>
      <c r="M873" s="21" t="s">
        <v>1260</v>
      </c>
      <c r="N873" s="48">
        <v>45540</v>
      </c>
      <c r="O873" s="21">
        <f>INDEX(Auxiliar!$D$5:$F$13,MATCH(Table1[[#This Row],[Tipologia_Testes]],Auxiliar!$B$5:$B$13,0),MATCH(Table1[[#This Row],[Complexidade]],Auxiliar!$D$4:$F$4,0))</f>
        <v>0.1</v>
      </c>
      <c r="P873" s="2" t="s">
        <v>1324</v>
      </c>
      <c r="Q873" s="2"/>
      <c r="R873" s="152">
        <v>45261</v>
      </c>
      <c r="S873" s="152"/>
      <c r="T873" s="152"/>
      <c r="U873" s="152">
        <v>45603</v>
      </c>
      <c r="V873" s="152">
        <v>45534</v>
      </c>
      <c r="W873" s="2">
        <f>VLOOKUP(Table1[[#This Row],[Status]],Auxiliar!$B$16:$D$24,3,0)*Table1[[#This Row],[Estimação (horas)]]</f>
        <v>0.1</v>
      </c>
      <c r="X873" s="2"/>
    </row>
    <row r="874" spans="2:24" ht="17.7" customHeight="1" x14ac:dyDescent="0.25">
      <c r="B874" s="13" t="s">
        <v>26</v>
      </c>
      <c r="C874" s="13" t="s">
        <v>181</v>
      </c>
      <c r="D874" s="13" t="s">
        <v>1309</v>
      </c>
      <c r="E874" s="2" t="s">
        <v>38</v>
      </c>
      <c r="F874" s="13" t="s">
        <v>216</v>
      </c>
      <c r="G874" s="13" t="s">
        <v>246</v>
      </c>
      <c r="H874" s="58" t="str">
        <f>Table1[[#This Row],[Tabela]]&amp;Table1[[#This Row],[Campo]]</f>
        <v>modesg_inp_nfrd_alinhamento_taxcca_trnvr_ttl_elgbl</v>
      </c>
      <c r="I874" s="2" t="s">
        <v>614</v>
      </c>
      <c r="J874" s="46">
        <f>VLOOKUP(Table1[[#This Row],[Status]],Auxiliar!$B$16:$C$24,2,0)</f>
        <v>1</v>
      </c>
      <c r="K874" s="21" t="s">
        <v>1263</v>
      </c>
      <c r="L874" s="28"/>
      <c r="M874" s="21" t="s">
        <v>1260</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customHeight="1" x14ac:dyDescent="0.25">
      <c r="B875" s="13" t="s">
        <v>26</v>
      </c>
      <c r="C875" s="13" t="s">
        <v>181</v>
      </c>
      <c r="D875" s="13" t="s">
        <v>1309</v>
      </c>
      <c r="E875" s="2" t="s">
        <v>38</v>
      </c>
      <c r="F875" s="13" t="s">
        <v>216</v>
      </c>
      <c r="G875" s="13" t="s">
        <v>247</v>
      </c>
      <c r="H875" s="58" t="str">
        <f>Table1[[#This Row],[Tabela]]&amp;Table1[[#This Row],[Campo]]</f>
        <v>modesg_inp_nfrd_alinhamento_taxcca_trnvr_enblng_alignd</v>
      </c>
      <c r="I875" s="2" t="s">
        <v>614</v>
      </c>
      <c r="J875" s="46">
        <f>VLOOKUP(Table1[[#This Row],[Status]],Auxiliar!$B$16:$C$24,2,0)</f>
        <v>1</v>
      </c>
      <c r="K875" s="21" t="s">
        <v>1255</v>
      </c>
      <c r="L875" s="28"/>
      <c r="M875" s="21" t="s">
        <v>1260</v>
      </c>
      <c r="N875" s="48">
        <v>45540</v>
      </c>
      <c r="O875" s="21">
        <f>INDEX(Auxiliar!$D$5:$F$13,MATCH(Table1[[#This Row],[Tipologia_Testes]],Auxiliar!$B$5:$B$13,0),MATCH(Table1[[#This Row],[Complexidade]],Auxiliar!$D$4:$F$4,0))</f>
        <v>0.1</v>
      </c>
      <c r="P875" s="2" t="s">
        <v>1324</v>
      </c>
      <c r="Q875" s="2"/>
      <c r="R875" s="152">
        <v>45261</v>
      </c>
      <c r="S875" s="152"/>
      <c r="T875" s="152"/>
      <c r="U875" s="152">
        <v>45603</v>
      </c>
      <c r="V875" s="152">
        <v>45534</v>
      </c>
      <c r="W875" s="2">
        <f>VLOOKUP(Table1[[#This Row],[Status]],Auxiliar!$B$16:$D$24,3,0)*Table1[[#This Row],[Estimação (horas)]]</f>
        <v>0.1</v>
      </c>
      <c r="X875" s="2"/>
    </row>
    <row r="876" spans="2:24" ht="17.7" customHeight="1" x14ac:dyDescent="0.25">
      <c r="B876" s="13" t="s">
        <v>26</v>
      </c>
      <c r="C876" s="13" t="s">
        <v>181</v>
      </c>
      <c r="D876" s="13" t="s">
        <v>1309</v>
      </c>
      <c r="E876" s="2" t="s">
        <v>38</v>
      </c>
      <c r="F876" s="13" t="s">
        <v>216</v>
      </c>
      <c r="G876" s="13" t="s">
        <v>247</v>
      </c>
      <c r="H876" s="58" t="str">
        <f>Table1[[#This Row],[Tabela]]&amp;Table1[[#This Row],[Campo]]</f>
        <v>modesg_inp_nfrd_alinhamento_taxcca_trnvr_enblng_alignd</v>
      </c>
      <c r="I876" s="2" t="s">
        <v>614</v>
      </c>
      <c r="J876" s="46">
        <f>VLOOKUP(Table1[[#This Row],[Status]],Auxiliar!$B$16:$C$24,2,0)</f>
        <v>1</v>
      </c>
      <c r="K876" s="21" t="s">
        <v>1263</v>
      </c>
      <c r="L876" s="28"/>
      <c r="M876" s="21" t="s">
        <v>1260</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7" customHeight="1" x14ac:dyDescent="0.25">
      <c r="B877" s="13" t="s">
        <v>26</v>
      </c>
      <c r="C877" s="13" t="s">
        <v>181</v>
      </c>
      <c r="D877" s="13" t="s">
        <v>1309</v>
      </c>
      <c r="E877" s="2" t="s">
        <v>38</v>
      </c>
      <c r="F877" s="13" t="s">
        <v>216</v>
      </c>
      <c r="G877" s="13" t="s">
        <v>248</v>
      </c>
      <c r="H877" s="58" t="str">
        <f>Table1[[#This Row],[Tabela]]&amp;Table1[[#This Row],[Campo]]</f>
        <v>modesg_inp_nfrd_alinhamento_taxcca_turnover_own_prfrmnce_algnd</v>
      </c>
      <c r="I877" s="2" t="s">
        <v>614</v>
      </c>
      <c r="J877" s="46">
        <f>VLOOKUP(Table1[[#This Row],[Status]],Auxiliar!$B$16:$C$24,2,0)</f>
        <v>1</v>
      </c>
      <c r="K877" s="21" t="s">
        <v>1255</v>
      </c>
      <c r="L877" s="28"/>
      <c r="M877" s="21" t="s">
        <v>1260</v>
      </c>
      <c r="N877" s="48">
        <v>45540</v>
      </c>
      <c r="O877" s="21">
        <f>INDEX(Auxiliar!$D$5:$F$13,MATCH(Table1[[#This Row],[Tipologia_Testes]],Auxiliar!$B$5:$B$13,0),MATCH(Table1[[#This Row],[Complexidade]],Auxiliar!$D$4:$F$4,0))</f>
        <v>0.1</v>
      </c>
      <c r="P877" s="2" t="s">
        <v>1324</v>
      </c>
      <c r="Q877" s="2"/>
      <c r="R877" s="152">
        <v>45261</v>
      </c>
      <c r="S877" s="152"/>
      <c r="T877" s="152"/>
      <c r="U877" s="152">
        <v>45603</v>
      </c>
      <c r="V877" s="152">
        <v>45534</v>
      </c>
      <c r="W877" s="2">
        <f>VLOOKUP(Table1[[#This Row],[Status]],Auxiliar!$B$16:$D$24,3,0)*Table1[[#This Row],[Estimação (horas)]]</f>
        <v>0.1</v>
      </c>
      <c r="X877" s="2"/>
    </row>
    <row r="878" spans="2:24" ht="17.7" customHeight="1" x14ac:dyDescent="0.25">
      <c r="B878" s="13" t="s">
        <v>26</v>
      </c>
      <c r="C878" s="13" t="s">
        <v>181</v>
      </c>
      <c r="D878" s="13" t="s">
        <v>1309</v>
      </c>
      <c r="E878" s="2" t="s">
        <v>38</v>
      </c>
      <c r="F878" s="13" t="s">
        <v>216</v>
      </c>
      <c r="G878" s="13" t="s">
        <v>248</v>
      </c>
      <c r="H878" s="58" t="str">
        <f>Table1[[#This Row],[Tabela]]&amp;Table1[[#This Row],[Campo]]</f>
        <v>modesg_inp_nfrd_alinhamento_taxcca_turnover_own_prfrmnce_algnd</v>
      </c>
      <c r="I878" s="2" t="s">
        <v>614</v>
      </c>
      <c r="J878" s="46">
        <f>VLOOKUP(Table1[[#This Row],[Status]],Auxiliar!$B$16:$C$24,2,0)</f>
        <v>1</v>
      </c>
      <c r="K878" s="21" t="s">
        <v>1263</v>
      </c>
      <c r="L878" s="28"/>
      <c r="M878" s="21" t="s">
        <v>1260</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7" customHeight="1" x14ac:dyDescent="0.25">
      <c r="B879" s="13" t="s">
        <v>26</v>
      </c>
      <c r="C879" s="13" t="s">
        <v>181</v>
      </c>
      <c r="D879" s="13" t="s">
        <v>1309</v>
      </c>
      <c r="E879" s="2" t="s">
        <v>38</v>
      </c>
      <c r="F879" s="13" t="s">
        <v>216</v>
      </c>
      <c r="G879" s="13" t="s">
        <v>249</v>
      </c>
      <c r="H879" s="58" t="str">
        <f>Table1[[#This Row],[Tabela]]&amp;Table1[[#This Row],[Campo]]</f>
        <v>modesg_inp_nfrd_alinhamento_taxcca_capex_ttl_elgbl</v>
      </c>
      <c r="I879" s="2" t="s">
        <v>614</v>
      </c>
      <c r="J879" s="46">
        <f>VLOOKUP(Table1[[#This Row],[Status]],Auxiliar!$B$16:$C$24,2,0)</f>
        <v>1</v>
      </c>
      <c r="K879" s="21" t="s">
        <v>1255</v>
      </c>
      <c r="L879" s="28"/>
      <c r="M879" s="21" t="s">
        <v>1260</v>
      </c>
      <c r="N879" s="48">
        <v>45540</v>
      </c>
      <c r="O879" s="21">
        <f>INDEX(Auxiliar!$D$5:$F$13,MATCH(Table1[[#This Row],[Tipologia_Testes]],Auxiliar!$B$5:$B$13,0),MATCH(Table1[[#This Row],[Complexidade]],Auxiliar!$D$4:$F$4,0))</f>
        <v>0.1</v>
      </c>
      <c r="P879" s="2" t="s">
        <v>1324</v>
      </c>
      <c r="Q879" s="2"/>
      <c r="R879" s="152">
        <v>45261</v>
      </c>
      <c r="S879" s="152"/>
      <c r="T879" s="152"/>
      <c r="U879" s="152">
        <v>45603</v>
      </c>
      <c r="V879" s="152">
        <v>45534</v>
      </c>
      <c r="W879" s="2">
        <f>VLOOKUP(Table1[[#This Row],[Status]],Auxiliar!$B$16:$D$24,3,0)*Table1[[#This Row],[Estimação (horas)]]</f>
        <v>0.1</v>
      </c>
      <c r="X879" s="2"/>
    </row>
    <row r="880" spans="2:24" ht="17.7" customHeight="1" x14ac:dyDescent="0.25">
      <c r="B880" s="13" t="s">
        <v>26</v>
      </c>
      <c r="C880" s="13" t="s">
        <v>181</v>
      </c>
      <c r="D880" s="13" t="s">
        <v>1309</v>
      </c>
      <c r="E880" s="2" t="s">
        <v>38</v>
      </c>
      <c r="F880" s="13" t="s">
        <v>216</v>
      </c>
      <c r="G880" s="13" t="s">
        <v>249</v>
      </c>
      <c r="H880" s="58" t="str">
        <f>Table1[[#This Row],[Tabela]]&amp;Table1[[#This Row],[Campo]]</f>
        <v>modesg_inp_nfrd_alinhamento_taxcca_capex_ttl_elgbl</v>
      </c>
      <c r="I880" s="2" t="s">
        <v>614</v>
      </c>
      <c r="J880" s="46">
        <f>VLOOKUP(Table1[[#This Row],[Status]],Auxiliar!$B$16:$C$24,2,0)</f>
        <v>1</v>
      </c>
      <c r="K880" s="21" t="s">
        <v>1263</v>
      </c>
      <c r="L880" s="28"/>
      <c r="M880" s="21" t="s">
        <v>1260</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7" customHeight="1" x14ac:dyDescent="0.25">
      <c r="B881" s="13" t="s">
        <v>26</v>
      </c>
      <c r="C881" s="13" t="s">
        <v>181</v>
      </c>
      <c r="D881" s="13" t="s">
        <v>1309</v>
      </c>
      <c r="E881" s="2" t="s">
        <v>38</v>
      </c>
      <c r="F881" s="13" t="s">
        <v>216</v>
      </c>
      <c r="G881" s="13" t="s">
        <v>250</v>
      </c>
      <c r="H881" s="58" t="str">
        <f>Table1[[#This Row],[Tabela]]&amp;Table1[[#This Row],[Campo]]</f>
        <v>modesg_inp_nfrd_alinhamento_taxcca_capex_enblng_algnd</v>
      </c>
      <c r="I881" s="2" t="s">
        <v>614</v>
      </c>
      <c r="J881" s="46">
        <f>VLOOKUP(Table1[[#This Row],[Status]],Auxiliar!$B$16:$C$24,2,0)</f>
        <v>1</v>
      </c>
      <c r="K881" s="21" t="s">
        <v>1255</v>
      </c>
      <c r="L881" s="28"/>
      <c r="M881" s="21" t="s">
        <v>1260</v>
      </c>
      <c r="N881" s="48">
        <v>45540</v>
      </c>
      <c r="O881" s="21">
        <f>INDEX(Auxiliar!$D$5:$F$13,MATCH(Table1[[#This Row],[Tipologia_Testes]],Auxiliar!$B$5:$B$13,0),MATCH(Table1[[#This Row],[Complexidade]],Auxiliar!$D$4:$F$4,0))</f>
        <v>0.1</v>
      </c>
      <c r="P881" s="2" t="s">
        <v>1324</v>
      </c>
      <c r="Q881" s="2"/>
      <c r="R881" s="152">
        <v>45261</v>
      </c>
      <c r="S881" s="152"/>
      <c r="T881" s="152"/>
      <c r="U881" s="152">
        <v>45603</v>
      </c>
      <c r="V881" s="152">
        <v>45534</v>
      </c>
      <c r="W881" s="2">
        <f>VLOOKUP(Table1[[#This Row],[Status]],Auxiliar!$B$16:$D$24,3,0)*Table1[[#This Row],[Estimação (horas)]]</f>
        <v>0.1</v>
      </c>
      <c r="X881" s="2"/>
    </row>
    <row r="882" spans="2:24" ht="17.7" customHeight="1" x14ac:dyDescent="0.25">
      <c r="B882" s="13" t="s">
        <v>26</v>
      </c>
      <c r="C882" s="13" t="s">
        <v>181</v>
      </c>
      <c r="D882" s="13" t="s">
        <v>1309</v>
      </c>
      <c r="E882" s="2" t="s">
        <v>38</v>
      </c>
      <c r="F882" s="13" t="s">
        <v>216</v>
      </c>
      <c r="G882" s="13" t="s">
        <v>250</v>
      </c>
      <c r="H882" s="58" t="str">
        <f>Table1[[#This Row],[Tabela]]&amp;Table1[[#This Row],[Campo]]</f>
        <v>modesg_inp_nfrd_alinhamento_taxcca_capex_enblng_algnd</v>
      </c>
      <c r="I882" s="2" t="s">
        <v>614</v>
      </c>
      <c r="J882" s="46">
        <f>VLOOKUP(Table1[[#This Row],[Status]],Auxiliar!$B$16:$C$24,2,0)</f>
        <v>1</v>
      </c>
      <c r="K882" s="21" t="s">
        <v>1263</v>
      </c>
      <c r="L882" s="28"/>
      <c r="M882" s="21" t="s">
        <v>1260</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7" customHeight="1" x14ac:dyDescent="0.25">
      <c r="B883" s="13" t="s">
        <v>26</v>
      </c>
      <c r="C883" s="13" t="s">
        <v>181</v>
      </c>
      <c r="D883" s="13" t="s">
        <v>1309</v>
      </c>
      <c r="E883" s="2" t="s">
        <v>38</v>
      </c>
      <c r="F883" s="13" t="s">
        <v>216</v>
      </c>
      <c r="G883" s="13" t="s">
        <v>251</v>
      </c>
      <c r="H883" s="58" t="str">
        <f>Table1[[#This Row],[Tabela]]&amp;Table1[[#This Row],[Campo]]</f>
        <v>modesg_inp_nfrd_alinhamento_taxcca_capex_own_prfrmnce_algnd</v>
      </c>
      <c r="I883" s="2" t="s">
        <v>614</v>
      </c>
      <c r="J883" s="46">
        <f>VLOOKUP(Table1[[#This Row],[Status]],Auxiliar!$B$16:$C$24,2,0)</f>
        <v>1</v>
      </c>
      <c r="K883" s="21" t="s">
        <v>1255</v>
      </c>
      <c r="L883" s="28"/>
      <c r="M883" s="21" t="s">
        <v>1260</v>
      </c>
      <c r="N883" s="48">
        <v>45540</v>
      </c>
      <c r="O883" s="21">
        <f>INDEX(Auxiliar!$D$5:$F$13,MATCH(Table1[[#This Row],[Tipologia_Testes]],Auxiliar!$B$5:$B$13,0),MATCH(Table1[[#This Row],[Complexidade]],Auxiliar!$D$4:$F$4,0))</f>
        <v>0.1</v>
      </c>
      <c r="P883" s="2" t="s">
        <v>1324</v>
      </c>
      <c r="Q883" s="2"/>
      <c r="R883" s="152">
        <v>45261</v>
      </c>
      <c r="S883" s="152"/>
      <c r="T883" s="152"/>
      <c r="U883" s="152">
        <v>45603</v>
      </c>
      <c r="V883" s="152">
        <v>45534</v>
      </c>
      <c r="W883" s="2">
        <f>VLOOKUP(Table1[[#This Row],[Status]],Auxiliar!$B$16:$D$24,3,0)*Table1[[#This Row],[Estimação (horas)]]</f>
        <v>0.1</v>
      </c>
      <c r="X883" s="2"/>
    </row>
    <row r="884" spans="2:24" ht="17.7" customHeight="1" x14ac:dyDescent="0.25">
      <c r="B884" s="13" t="s">
        <v>26</v>
      </c>
      <c r="C884" s="13" t="s">
        <v>181</v>
      </c>
      <c r="D884" s="13" t="s">
        <v>1309</v>
      </c>
      <c r="E884" s="2" t="s">
        <v>38</v>
      </c>
      <c r="F884" s="13" t="s">
        <v>216</v>
      </c>
      <c r="G884" s="13" t="s">
        <v>251</v>
      </c>
      <c r="H884" s="58" t="str">
        <f>Table1[[#This Row],[Tabela]]&amp;Table1[[#This Row],[Campo]]</f>
        <v>modesg_inp_nfrd_alinhamento_taxcca_capex_own_prfrmnce_algnd</v>
      </c>
      <c r="I884" s="2" t="s">
        <v>614</v>
      </c>
      <c r="J884" s="46">
        <f>VLOOKUP(Table1[[#This Row],[Status]],Auxiliar!$B$16:$C$24,2,0)</f>
        <v>1</v>
      </c>
      <c r="K884" s="21" t="s">
        <v>1263</v>
      </c>
      <c r="L884" s="28"/>
      <c r="M884" s="21" t="s">
        <v>1260</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7" customHeight="1" x14ac:dyDescent="0.25">
      <c r="B885" s="13" t="s">
        <v>26</v>
      </c>
      <c r="C885" s="13" t="s">
        <v>181</v>
      </c>
      <c r="D885" s="13" t="s">
        <v>1309</v>
      </c>
      <c r="E885" s="2" t="s">
        <v>38</v>
      </c>
      <c r="F885" s="13" t="s">
        <v>216</v>
      </c>
      <c r="G885" s="13" t="s">
        <v>252</v>
      </c>
      <c r="H885" s="58" t="str">
        <f>Table1[[#This Row],[Tabela]]&amp;Table1[[#This Row],[Campo]]</f>
        <v>modesg_inp_nfrd_alinhamento_taxccm_trnvr_ttl_elgbl</v>
      </c>
      <c r="I885" s="2" t="s">
        <v>614</v>
      </c>
      <c r="J885" s="46">
        <f>VLOOKUP(Table1[[#This Row],[Status]],Auxiliar!$B$16:$C$24,2,0)</f>
        <v>1</v>
      </c>
      <c r="K885" s="21" t="s">
        <v>1255</v>
      </c>
      <c r="L885" s="28"/>
      <c r="M885" s="21" t="s">
        <v>1260</v>
      </c>
      <c r="N885" s="48">
        <v>45540</v>
      </c>
      <c r="O885" s="21">
        <f>INDEX(Auxiliar!$D$5:$F$13,MATCH(Table1[[#This Row],[Tipologia_Testes]],Auxiliar!$B$5:$B$13,0),MATCH(Table1[[#This Row],[Complexidade]],Auxiliar!$D$4:$F$4,0))</f>
        <v>0.1</v>
      </c>
      <c r="P885" s="2" t="s">
        <v>1324</v>
      </c>
      <c r="Q885" s="2"/>
      <c r="R885" s="152">
        <v>45261</v>
      </c>
      <c r="S885" s="152"/>
      <c r="T885" s="152"/>
      <c r="U885" s="152">
        <v>45603</v>
      </c>
      <c r="V885" s="152">
        <v>45534</v>
      </c>
      <c r="W885" s="2">
        <f>VLOOKUP(Table1[[#This Row],[Status]],Auxiliar!$B$16:$D$24,3,0)*Table1[[#This Row],[Estimação (horas)]]</f>
        <v>0.1</v>
      </c>
      <c r="X885" s="2"/>
    </row>
    <row r="886" spans="2:24" ht="17.7" customHeight="1" x14ac:dyDescent="0.25">
      <c r="B886" s="13" t="s">
        <v>26</v>
      </c>
      <c r="C886" s="13" t="s">
        <v>181</v>
      </c>
      <c r="D886" s="13" t="s">
        <v>1309</v>
      </c>
      <c r="E886" s="2" t="s">
        <v>38</v>
      </c>
      <c r="F886" s="13" t="s">
        <v>216</v>
      </c>
      <c r="G886" s="13" t="s">
        <v>252</v>
      </c>
      <c r="H886" s="58" t="str">
        <f>Table1[[#This Row],[Tabela]]&amp;Table1[[#This Row],[Campo]]</f>
        <v>modesg_inp_nfrd_alinhamento_taxccm_trnvr_ttl_elgbl</v>
      </c>
      <c r="I886" s="2" t="s">
        <v>614</v>
      </c>
      <c r="J886" s="46">
        <f>VLOOKUP(Table1[[#This Row],[Status]],Auxiliar!$B$16:$C$24,2,0)</f>
        <v>1</v>
      </c>
      <c r="K886" s="21" t="s">
        <v>1263</v>
      </c>
      <c r="L886" s="28"/>
      <c r="M886" s="21" t="s">
        <v>1260</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7" customHeight="1" x14ac:dyDescent="0.25">
      <c r="B887" s="13" t="s">
        <v>26</v>
      </c>
      <c r="C887" s="13" t="s">
        <v>181</v>
      </c>
      <c r="D887" s="13" t="s">
        <v>1309</v>
      </c>
      <c r="E887" s="2" t="s">
        <v>38</v>
      </c>
      <c r="F887" s="13" t="s">
        <v>216</v>
      </c>
      <c r="G887" s="13" t="s">
        <v>253</v>
      </c>
      <c r="H887" s="58" t="str">
        <f>Table1[[#This Row],[Tabela]]&amp;Table1[[#This Row],[Campo]]</f>
        <v>modesg_inp_nfrd_alinhamento_taxccm_trnvr_enblng_algnd</v>
      </c>
      <c r="I887" s="2" t="s">
        <v>614</v>
      </c>
      <c r="J887" s="46">
        <f>VLOOKUP(Table1[[#This Row],[Status]],Auxiliar!$B$16:$C$24,2,0)</f>
        <v>1</v>
      </c>
      <c r="K887" s="21" t="s">
        <v>1255</v>
      </c>
      <c r="L887" s="28"/>
      <c r="M887" s="21" t="s">
        <v>1260</v>
      </c>
      <c r="N887" s="48">
        <v>45540</v>
      </c>
      <c r="O887" s="21">
        <f>INDEX(Auxiliar!$D$5:$F$13,MATCH(Table1[[#This Row],[Tipologia_Testes]],Auxiliar!$B$5:$B$13,0),MATCH(Table1[[#This Row],[Complexidade]],Auxiliar!$D$4:$F$4,0))</f>
        <v>0.1</v>
      </c>
      <c r="P887" s="2" t="s">
        <v>1324</v>
      </c>
      <c r="Q887" s="2"/>
      <c r="R887" s="152">
        <v>45261</v>
      </c>
      <c r="S887" s="152"/>
      <c r="T887" s="152"/>
      <c r="U887" s="152">
        <v>45603</v>
      </c>
      <c r="V887" s="152">
        <v>45534</v>
      </c>
      <c r="W887" s="2">
        <f>VLOOKUP(Table1[[#This Row],[Status]],Auxiliar!$B$16:$D$24,3,0)*Table1[[#This Row],[Estimação (horas)]]</f>
        <v>0.1</v>
      </c>
      <c r="X887" s="2"/>
    </row>
    <row r="888" spans="2:24" ht="17.7" customHeight="1" x14ac:dyDescent="0.25">
      <c r="B888" s="13" t="s">
        <v>26</v>
      </c>
      <c r="C888" s="13" t="s">
        <v>181</v>
      </c>
      <c r="D888" s="13" t="s">
        <v>1309</v>
      </c>
      <c r="E888" s="2" t="s">
        <v>38</v>
      </c>
      <c r="F888" s="13" t="s">
        <v>216</v>
      </c>
      <c r="G888" s="13" t="s">
        <v>253</v>
      </c>
      <c r="H888" s="58" t="str">
        <f>Table1[[#This Row],[Tabela]]&amp;Table1[[#This Row],[Campo]]</f>
        <v>modesg_inp_nfrd_alinhamento_taxccm_trnvr_enblng_algnd</v>
      </c>
      <c r="I888" s="2" t="s">
        <v>614</v>
      </c>
      <c r="J888" s="46">
        <f>VLOOKUP(Table1[[#This Row],[Status]],Auxiliar!$B$16:$C$24,2,0)</f>
        <v>1</v>
      </c>
      <c r="K888" s="21" t="s">
        <v>1263</v>
      </c>
      <c r="L888" s="28"/>
      <c r="M888" s="21" t="s">
        <v>1260</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7" customHeight="1" x14ac:dyDescent="0.25">
      <c r="B889" s="13" t="s">
        <v>26</v>
      </c>
      <c r="C889" s="13" t="s">
        <v>181</v>
      </c>
      <c r="D889" s="13" t="s">
        <v>1309</v>
      </c>
      <c r="E889" s="2" t="s">
        <v>38</v>
      </c>
      <c r="F889" s="13" t="s">
        <v>216</v>
      </c>
      <c r="G889" s="13" t="s">
        <v>254</v>
      </c>
      <c r="H889" s="58" t="str">
        <f>Table1[[#This Row],[Tabela]]&amp;Table1[[#This Row],[Campo]]</f>
        <v>modesg_inp_nfrd_alinhamento_taxccm_trnvr_trnstn_alignd</v>
      </c>
      <c r="I889" s="2" t="s">
        <v>614</v>
      </c>
      <c r="J889" s="46">
        <f>VLOOKUP(Table1[[#This Row],[Status]],Auxiliar!$B$16:$C$24,2,0)</f>
        <v>1</v>
      </c>
      <c r="K889" s="21" t="s">
        <v>1255</v>
      </c>
      <c r="L889" s="28"/>
      <c r="M889" s="21" t="s">
        <v>1260</v>
      </c>
      <c r="N889" s="48">
        <v>45540</v>
      </c>
      <c r="O889" s="21">
        <f>INDEX(Auxiliar!$D$5:$F$13,MATCH(Table1[[#This Row],[Tipologia_Testes]],Auxiliar!$B$5:$B$13,0),MATCH(Table1[[#This Row],[Complexidade]],Auxiliar!$D$4:$F$4,0))</f>
        <v>0.1</v>
      </c>
      <c r="P889" s="2" t="s">
        <v>1324</v>
      </c>
      <c r="Q889" s="2"/>
      <c r="R889" s="152">
        <v>45261</v>
      </c>
      <c r="S889" s="152"/>
      <c r="T889" s="152"/>
      <c r="U889" s="152">
        <v>45603</v>
      </c>
      <c r="V889" s="152">
        <v>45534</v>
      </c>
      <c r="W889" s="2">
        <f>VLOOKUP(Table1[[#This Row],[Status]],Auxiliar!$B$16:$D$24,3,0)*Table1[[#This Row],[Estimação (horas)]]</f>
        <v>0.1</v>
      </c>
      <c r="X889" s="2"/>
    </row>
    <row r="890" spans="2:24" ht="17.7" customHeight="1" x14ac:dyDescent="0.25">
      <c r="B890" s="13" t="s">
        <v>26</v>
      </c>
      <c r="C890" s="13" t="s">
        <v>181</v>
      </c>
      <c r="D890" s="13" t="s">
        <v>1309</v>
      </c>
      <c r="E890" s="2" t="s">
        <v>38</v>
      </c>
      <c r="F890" s="13" t="s">
        <v>216</v>
      </c>
      <c r="G890" s="13" t="s">
        <v>254</v>
      </c>
      <c r="H890" s="58" t="str">
        <f>Table1[[#This Row],[Tabela]]&amp;Table1[[#This Row],[Campo]]</f>
        <v>modesg_inp_nfrd_alinhamento_taxccm_trnvr_trnstn_alignd</v>
      </c>
      <c r="I890" s="2" t="s">
        <v>614</v>
      </c>
      <c r="J890" s="46">
        <f>VLOOKUP(Table1[[#This Row],[Status]],Auxiliar!$B$16:$C$24,2,0)</f>
        <v>1</v>
      </c>
      <c r="K890" s="21" t="s">
        <v>1263</v>
      </c>
      <c r="L890" s="28"/>
      <c r="M890" s="21" t="s">
        <v>1260</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7" customHeight="1" x14ac:dyDescent="0.25">
      <c r="B891" s="13" t="s">
        <v>26</v>
      </c>
      <c r="C891" s="13" t="s">
        <v>181</v>
      </c>
      <c r="D891" s="13" t="s">
        <v>1309</v>
      </c>
      <c r="E891" s="2" t="s">
        <v>38</v>
      </c>
      <c r="F891" s="13" t="s">
        <v>216</v>
      </c>
      <c r="G891" s="13" t="s">
        <v>255</v>
      </c>
      <c r="H891" s="58" t="str">
        <f>Table1[[#This Row],[Tabela]]&amp;Table1[[#This Row],[Campo]]</f>
        <v>modesg_inp_nfrd_alinhamento_taxccm_trnvr_own_prfrmnce_algnd</v>
      </c>
      <c r="I891" s="2" t="s">
        <v>614</v>
      </c>
      <c r="J891" s="46">
        <f>VLOOKUP(Table1[[#This Row],[Status]],Auxiliar!$B$16:$C$24,2,0)</f>
        <v>1</v>
      </c>
      <c r="K891" s="21" t="s">
        <v>1255</v>
      </c>
      <c r="L891" s="28"/>
      <c r="M891" s="21" t="s">
        <v>1260</v>
      </c>
      <c r="N891" s="48">
        <v>45540</v>
      </c>
      <c r="O891" s="21">
        <f>INDEX(Auxiliar!$D$5:$F$13,MATCH(Table1[[#This Row],[Tipologia_Testes]],Auxiliar!$B$5:$B$13,0),MATCH(Table1[[#This Row],[Complexidade]],Auxiliar!$D$4:$F$4,0))</f>
        <v>0.1</v>
      </c>
      <c r="P891" s="2" t="s">
        <v>1324</v>
      </c>
      <c r="Q891" s="2"/>
      <c r="R891" s="152">
        <v>45261</v>
      </c>
      <c r="S891" s="152"/>
      <c r="T891" s="152"/>
      <c r="U891" s="152">
        <v>45603</v>
      </c>
      <c r="V891" s="152">
        <v>45534</v>
      </c>
      <c r="W891" s="2">
        <f>VLOOKUP(Table1[[#This Row],[Status]],Auxiliar!$B$16:$D$24,3,0)*Table1[[#This Row],[Estimação (horas)]]</f>
        <v>0.1</v>
      </c>
      <c r="X891" s="2"/>
    </row>
    <row r="892" spans="2:24" ht="17.7" customHeight="1" x14ac:dyDescent="0.25">
      <c r="B892" s="13" t="s">
        <v>26</v>
      </c>
      <c r="C892" s="13" t="s">
        <v>181</v>
      </c>
      <c r="D892" s="13" t="s">
        <v>1309</v>
      </c>
      <c r="E892" s="2" t="s">
        <v>38</v>
      </c>
      <c r="F892" s="13" t="s">
        <v>216</v>
      </c>
      <c r="G892" s="13" t="s">
        <v>255</v>
      </c>
      <c r="H892" s="58" t="str">
        <f>Table1[[#This Row],[Tabela]]&amp;Table1[[#This Row],[Campo]]</f>
        <v>modesg_inp_nfrd_alinhamento_taxccm_trnvr_own_prfrmnce_algnd</v>
      </c>
      <c r="I892" s="2" t="s">
        <v>614</v>
      </c>
      <c r="J892" s="46">
        <f>VLOOKUP(Table1[[#This Row],[Status]],Auxiliar!$B$16:$C$24,2,0)</f>
        <v>1</v>
      </c>
      <c r="K892" s="21" t="s">
        <v>1263</v>
      </c>
      <c r="L892" s="28"/>
      <c r="M892" s="21" t="s">
        <v>1260</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7" customHeight="1" x14ac:dyDescent="0.25">
      <c r="B893" s="13" t="s">
        <v>26</v>
      </c>
      <c r="C893" s="13" t="s">
        <v>181</v>
      </c>
      <c r="D893" s="13" t="s">
        <v>1309</v>
      </c>
      <c r="E893" s="2" t="s">
        <v>38</v>
      </c>
      <c r="F893" s="13" t="s">
        <v>216</v>
      </c>
      <c r="G893" s="13" t="s">
        <v>256</v>
      </c>
      <c r="H893" s="58" t="str">
        <f>Table1[[#This Row],[Tabela]]&amp;Table1[[#This Row],[Campo]]</f>
        <v>modesg_inp_nfrd_alinhamento_taxccm_capex_ttl_elgbl</v>
      </c>
      <c r="I893" s="2" t="s">
        <v>614</v>
      </c>
      <c r="J893" s="46">
        <f>VLOOKUP(Table1[[#This Row],[Status]],Auxiliar!$B$16:$C$24,2,0)</f>
        <v>1</v>
      </c>
      <c r="K893" s="21" t="s">
        <v>1255</v>
      </c>
      <c r="L893" s="28"/>
      <c r="M893" s="21" t="s">
        <v>1260</v>
      </c>
      <c r="N893" s="48">
        <v>45540</v>
      </c>
      <c r="O893" s="21">
        <f>INDEX(Auxiliar!$D$5:$F$13,MATCH(Table1[[#This Row],[Tipologia_Testes]],Auxiliar!$B$5:$B$13,0),MATCH(Table1[[#This Row],[Complexidade]],Auxiliar!$D$4:$F$4,0))</f>
        <v>0.1</v>
      </c>
      <c r="P893" s="2" t="s">
        <v>1324</v>
      </c>
      <c r="Q893" s="2"/>
      <c r="R893" s="152">
        <v>45261</v>
      </c>
      <c r="S893" s="152"/>
      <c r="T893" s="152"/>
      <c r="U893" s="152">
        <v>45603</v>
      </c>
      <c r="V893" s="152">
        <v>45534</v>
      </c>
      <c r="W893" s="2">
        <f>VLOOKUP(Table1[[#This Row],[Status]],Auxiliar!$B$16:$D$24,3,0)*Table1[[#This Row],[Estimação (horas)]]</f>
        <v>0.1</v>
      </c>
      <c r="X893" s="2"/>
    </row>
    <row r="894" spans="2:24" ht="17.7" customHeight="1" x14ac:dyDescent="0.25">
      <c r="B894" s="13" t="s">
        <v>26</v>
      </c>
      <c r="C894" s="13" t="s">
        <v>181</v>
      </c>
      <c r="D894" s="13" t="s">
        <v>1309</v>
      </c>
      <c r="E894" s="2" t="s">
        <v>38</v>
      </c>
      <c r="F894" s="13" t="s">
        <v>216</v>
      </c>
      <c r="G894" s="13" t="s">
        <v>256</v>
      </c>
      <c r="H894" s="58" t="str">
        <f>Table1[[#This Row],[Tabela]]&amp;Table1[[#This Row],[Campo]]</f>
        <v>modesg_inp_nfrd_alinhamento_taxccm_capex_ttl_elgbl</v>
      </c>
      <c r="I894" s="2" t="s">
        <v>614</v>
      </c>
      <c r="J894" s="46">
        <f>VLOOKUP(Table1[[#This Row],[Status]],Auxiliar!$B$16:$C$24,2,0)</f>
        <v>1</v>
      </c>
      <c r="K894" s="21" t="s">
        <v>1263</v>
      </c>
      <c r="L894" s="28"/>
      <c r="M894" s="21" t="s">
        <v>1260</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7" customHeight="1" x14ac:dyDescent="0.25">
      <c r="B895" s="13" t="s">
        <v>26</v>
      </c>
      <c r="C895" s="13" t="s">
        <v>181</v>
      </c>
      <c r="D895" s="13" t="s">
        <v>1309</v>
      </c>
      <c r="E895" s="2" t="s">
        <v>38</v>
      </c>
      <c r="F895" s="13" t="s">
        <v>216</v>
      </c>
      <c r="G895" s="13" t="s">
        <v>257</v>
      </c>
      <c r="H895" s="58" t="str">
        <f>Table1[[#This Row],[Tabela]]&amp;Table1[[#This Row],[Campo]]</f>
        <v>modesg_inp_nfrd_alinhamento_taxccm_capex_enblng_algnd</v>
      </c>
      <c r="I895" s="2" t="s">
        <v>614</v>
      </c>
      <c r="J895" s="46">
        <f>VLOOKUP(Table1[[#This Row],[Status]],Auxiliar!$B$16:$C$24,2,0)</f>
        <v>1</v>
      </c>
      <c r="K895" s="21" t="s">
        <v>1255</v>
      </c>
      <c r="L895" s="28"/>
      <c r="M895" s="21" t="s">
        <v>1260</v>
      </c>
      <c r="N895" s="48">
        <v>45540</v>
      </c>
      <c r="O895" s="21">
        <f>INDEX(Auxiliar!$D$5:$F$13,MATCH(Table1[[#This Row],[Tipologia_Testes]],Auxiliar!$B$5:$B$13,0),MATCH(Table1[[#This Row],[Complexidade]],Auxiliar!$D$4:$F$4,0))</f>
        <v>0.1</v>
      </c>
      <c r="P895" s="2" t="s">
        <v>1324</v>
      </c>
      <c r="Q895" s="2"/>
      <c r="R895" s="152">
        <v>45261</v>
      </c>
      <c r="S895" s="152"/>
      <c r="T895" s="152"/>
      <c r="U895" s="152">
        <v>45603</v>
      </c>
      <c r="V895" s="152">
        <v>45534</v>
      </c>
      <c r="W895" s="2">
        <f>VLOOKUP(Table1[[#This Row],[Status]],Auxiliar!$B$16:$D$24,3,0)*Table1[[#This Row],[Estimação (horas)]]</f>
        <v>0.1</v>
      </c>
      <c r="X895" s="2"/>
    </row>
    <row r="896" spans="2:24" ht="17.7" customHeight="1" x14ac:dyDescent="0.25">
      <c r="B896" s="13" t="s">
        <v>26</v>
      </c>
      <c r="C896" s="13" t="s">
        <v>181</v>
      </c>
      <c r="D896" s="13" t="s">
        <v>1309</v>
      </c>
      <c r="E896" s="2" t="s">
        <v>38</v>
      </c>
      <c r="F896" s="13" t="s">
        <v>216</v>
      </c>
      <c r="G896" s="13" t="s">
        <v>257</v>
      </c>
      <c r="H896" s="58" t="str">
        <f>Table1[[#This Row],[Tabela]]&amp;Table1[[#This Row],[Campo]]</f>
        <v>modesg_inp_nfrd_alinhamento_taxccm_capex_enblng_algnd</v>
      </c>
      <c r="I896" s="2" t="s">
        <v>614</v>
      </c>
      <c r="J896" s="46">
        <f>VLOOKUP(Table1[[#This Row],[Status]],Auxiliar!$B$16:$C$24,2,0)</f>
        <v>1</v>
      </c>
      <c r="K896" s="21" t="s">
        <v>1263</v>
      </c>
      <c r="L896" s="28"/>
      <c r="M896" s="21" t="s">
        <v>1260</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7" customHeight="1" x14ac:dyDescent="0.25">
      <c r="B897" s="13" t="s">
        <v>26</v>
      </c>
      <c r="C897" s="13" t="s">
        <v>181</v>
      </c>
      <c r="D897" s="13" t="s">
        <v>1309</v>
      </c>
      <c r="E897" s="2" t="s">
        <v>38</v>
      </c>
      <c r="F897" s="13" t="s">
        <v>216</v>
      </c>
      <c r="G897" s="13" t="s">
        <v>258</v>
      </c>
      <c r="H897" s="58" t="str">
        <f>Table1[[#This Row],[Tabela]]&amp;Table1[[#This Row],[Campo]]</f>
        <v>modesg_inp_nfrd_alinhamento_taxccm_capex_trnstn_algnd</v>
      </c>
      <c r="I897" s="2" t="s">
        <v>614</v>
      </c>
      <c r="J897" s="46">
        <f>VLOOKUP(Table1[[#This Row],[Status]],Auxiliar!$B$16:$C$24,2,0)</f>
        <v>1</v>
      </c>
      <c r="K897" s="21" t="s">
        <v>1255</v>
      </c>
      <c r="L897" s="28"/>
      <c r="M897" s="21" t="s">
        <v>1260</v>
      </c>
      <c r="N897" s="48">
        <v>45540</v>
      </c>
      <c r="O897" s="21">
        <f>INDEX(Auxiliar!$D$5:$F$13,MATCH(Table1[[#This Row],[Tipologia_Testes]],Auxiliar!$B$5:$B$13,0),MATCH(Table1[[#This Row],[Complexidade]],Auxiliar!$D$4:$F$4,0))</f>
        <v>0.1</v>
      </c>
      <c r="P897" s="2" t="s">
        <v>1324</v>
      </c>
      <c r="Q897" s="2"/>
      <c r="R897" s="152">
        <v>45261</v>
      </c>
      <c r="S897" s="152"/>
      <c r="T897" s="152"/>
      <c r="U897" s="152">
        <v>45603</v>
      </c>
      <c r="V897" s="152">
        <v>45534</v>
      </c>
      <c r="W897" s="2">
        <f>VLOOKUP(Table1[[#This Row],[Status]],Auxiliar!$B$16:$D$24,3,0)*Table1[[#This Row],[Estimação (horas)]]</f>
        <v>0.1</v>
      </c>
      <c r="X897" s="2"/>
    </row>
    <row r="898" spans="2:24" ht="17.7" customHeight="1" x14ac:dyDescent="0.25">
      <c r="B898" s="13" t="s">
        <v>26</v>
      </c>
      <c r="C898" s="13" t="s">
        <v>181</v>
      </c>
      <c r="D898" s="13" t="s">
        <v>1309</v>
      </c>
      <c r="E898" s="2" t="s">
        <v>38</v>
      </c>
      <c r="F898" s="13" t="s">
        <v>216</v>
      </c>
      <c r="G898" s="13" t="s">
        <v>258</v>
      </c>
      <c r="H898" s="58" t="str">
        <f>Table1[[#This Row],[Tabela]]&amp;Table1[[#This Row],[Campo]]</f>
        <v>modesg_inp_nfrd_alinhamento_taxccm_capex_trnstn_algnd</v>
      </c>
      <c r="I898" s="2" t="s">
        <v>614</v>
      </c>
      <c r="J898" s="46">
        <f>VLOOKUP(Table1[[#This Row],[Status]],Auxiliar!$B$16:$C$24,2,0)</f>
        <v>1</v>
      </c>
      <c r="K898" s="21" t="s">
        <v>1263</v>
      </c>
      <c r="L898" s="28"/>
      <c r="M898" s="21" t="s">
        <v>1260</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7" customHeight="1" x14ac:dyDescent="0.25">
      <c r="B899" s="13" t="s">
        <v>26</v>
      </c>
      <c r="C899" s="13" t="s">
        <v>181</v>
      </c>
      <c r="D899" s="13" t="s">
        <v>1309</v>
      </c>
      <c r="E899" s="2" t="s">
        <v>38</v>
      </c>
      <c r="F899" s="13" t="s">
        <v>216</v>
      </c>
      <c r="G899" s="13" t="s">
        <v>259</v>
      </c>
      <c r="H899" s="58" t="str">
        <f>Table1[[#This Row],[Tabela]]&amp;Table1[[#This Row],[Campo]]</f>
        <v>modesg_inp_nfrd_alinhamento_taxccm_capex_own_prfrmnce_algnd</v>
      </c>
      <c r="I899" s="2" t="s">
        <v>614</v>
      </c>
      <c r="J899" s="46">
        <f>VLOOKUP(Table1[[#This Row],[Status]],Auxiliar!$B$16:$C$24,2,0)</f>
        <v>1</v>
      </c>
      <c r="K899" s="21" t="s">
        <v>1255</v>
      </c>
      <c r="L899" s="28"/>
      <c r="M899" s="21" t="s">
        <v>1260</v>
      </c>
      <c r="N899" s="48">
        <v>45540</v>
      </c>
      <c r="O899" s="21">
        <f>INDEX(Auxiliar!$D$5:$F$13,MATCH(Table1[[#This Row],[Tipologia_Testes]],Auxiliar!$B$5:$B$13,0),MATCH(Table1[[#This Row],[Complexidade]],Auxiliar!$D$4:$F$4,0))</f>
        <v>0.1</v>
      </c>
      <c r="P899" s="2" t="s">
        <v>1325</v>
      </c>
      <c r="Q899" s="2"/>
      <c r="R899" s="152">
        <v>45261</v>
      </c>
      <c r="S899" s="152"/>
      <c r="T899" s="152"/>
      <c r="U899" s="152">
        <v>45603</v>
      </c>
      <c r="V899" s="152">
        <v>45534</v>
      </c>
      <c r="W899" s="2">
        <f>VLOOKUP(Table1[[#This Row],[Status]],Auxiliar!$B$16:$D$24,3,0)*Table1[[#This Row],[Estimação (horas)]]</f>
        <v>0.1</v>
      </c>
      <c r="X899" s="2"/>
    </row>
    <row r="900" spans="2:24" ht="17.7" customHeight="1" x14ac:dyDescent="0.25">
      <c r="B900" s="13" t="s">
        <v>26</v>
      </c>
      <c r="C900" s="13" t="s">
        <v>181</v>
      </c>
      <c r="D900" s="13" t="s">
        <v>1309</v>
      </c>
      <c r="E900" s="2" t="s">
        <v>38</v>
      </c>
      <c r="F900" s="13" t="s">
        <v>216</v>
      </c>
      <c r="G900" s="13" t="s">
        <v>259</v>
      </c>
      <c r="H900" s="58" t="str">
        <f>Table1[[#This Row],[Tabela]]&amp;Table1[[#This Row],[Campo]]</f>
        <v>modesg_inp_nfrd_alinhamento_taxccm_capex_own_prfrmnce_algnd</v>
      </c>
      <c r="I900" s="2" t="s">
        <v>614</v>
      </c>
      <c r="J900" s="46">
        <f>VLOOKUP(Table1[[#This Row],[Status]],Auxiliar!$B$16:$C$24,2,0)</f>
        <v>1</v>
      </c>
      <c r="K900" s="21" t="s">
        <v>1263</v>
      </c>
      <c r="L900" s="28"/>
      <c r="M900" s="21" t="s">
        <v>1260</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7" customHeight="1" x14ac:dyDescent="0.25">
      <c r="B901" s="13" t="s">
        <v>26</v>
      </c>
      <c r="C901" s="13" t="s">
        <v>181</v>
      </c>
      <c r="D901" s="13" t="s">
        <v>1309</v>
      </c>
      <c r="E901" s="2" t="s">
        <v>38</v>
      </c>
      <c r="F901" s="13" t="s">
        <v>216</v>
      </c>
      <c r="G901" s="13" t="s">
        <v>260</v>
      </c>
      <c r="H901" s="58" t="str">
        <f>Table1[[#This Row],[Tabela]]&amp;Table1[[#This Row],[Campo]]</f>
        <v>modesg_inp_nfrd_alinhamento_taxppc_trnvr_ttl_elgbl</v>
      </c>
      <c r="I901" s="2" t="s">
        <v>614</v>
      </c>
      <c r="J901" s="46">
        <f>VLOOKUP(Table1[[#This Row],[Status]],Auxiliar!$B$16:$C$24,2,0)</f>
        <v>1</v>
      </c>
      <c r="K901" s="21" t="s">
        <v>1255</v>
      </c>
      <c r="L901" s="2" t="s">
        <v>655</v>
      </c>
      <c r="M901" s="21" t="s">
        <v>1260</v>
      </c>
      <c r="N901" s="48">
        <v>45540</v>
      </c>
      <c r="O901" s="21">
        <f>INDEX(Auxiliar!$D$5:$F$13,MATCH(Table1[[#This Row],[Tipologia_Testes]],Auxiliar!$B$5:$B$13,0),MATCH(Table1[[#This Row],[Complexidade]],Auxiliar!$D$4:$F$4,0))</f>
        <v>0.1</v>
      </c>
      <c r="P901" s="2" t="s">
        <v>1326</v>
      </c>
      <c r="Q901" s="2"/>
      <c r="R901" s="152">
        <v>45261</v>
      </c>
      <c r="S901" s="152"/>
      <c r="T901" s="152"/>
      <c r="U901" s="152">
        <v>45603</v>
      </c>
      <c r="V901" s="152">
        <v>45534</v>
      </c>
      <c r="W901" s="2">
        <f>VLOOKUP(Table1[[#This Row],[Status]],Auxiliar!$B$16:$D$24,3,0)*Table1[[#This Row],[Estimação (horas)]]</f>
        <v>0.1</v>
      </c>
      <c r="X901" s="2"/>
    </row>
    <row r="902" spans="2:24" ht="17.7" customHeight="1" x14ac:dyDescent="0.25">
      <c r="B902" s="13" t="s">
        <v>26</v>
      </c>
      <c r="C902" s="13" t="s">
        <v>181</v>
      </c>
      <c r="D902" s="13" t="s">
        <v>1309</v>
      </c>
      <c r="E902" s="2" t="s">
        <v>38</v>
      </c>
      <c r="F902" s="13" t="s">
        <v>216</v>
      </c>
      <c r="G902" s="13" t="s">
        <v>260</v>
      </c>
      <c r="H902" s="58" t="str">
        <f>Table1[[#This Row],[Tabela]]&amp;Table1[[#This Row],[Campo]]</f>
        <v>modesg_inp_nfrd_alinhamento_taxppc_trnvr_ttl_elgbl</v>
      </c>
      <c r="I902" s="2" t="s">
        <v>614</v>
      </c>
      <c r="J902" s="46">
        <f>VLOOKUP(Table1[[#This Row],[Status]],Auxiliar!$B$16:$C$24,2,0)</f>
        <v>1</v>
      </c>
      <c r="K902" s="21" t="s">
        <v>1263</v>
      </c>
      <c r="L902" s="2" t="s">
        <v>655</v>
      </c>
      <c r="M902" s="21" t="s">
        <v>1260</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7" customHeight="1" x14ac:dyDescent="0.25">
      <c r="B903" s="13" t="s">
        <v>26</v>
      </c>
      <c r="C903" s="13" t="s">
        <v>181</v>
      </c>
      <c r="D903" s="13" t="s">
        <v>1309</v>
      </c>
      <c r="E903" s="2" t="s">
        <v>38</v>
      </c>
      <c r="F903" s="13" t="s">
        <v>216</v>
      </c>
      <c r="G903" s="13" t="s">
        <v>261</v>
      </c>
      <c r="H903" s="58" t="str">
        <f>Table1[[#This Row],[Tabela]]&amp;Table1[[#This Row],[Campo]]</f>
        <v>modesg_inp_nfrd_alinhamento_taxppc_turnover_own_prfrmnce_algnd</v>
      </c>
      <c r="I903" s="2" t="s">
        <v>614</v>
      </c>
      <c r="J903" s="46">
        <f>VLOOKUP(Table1[[#This Row],[Status]],Auxiliar!$B$16:$C$24,2,0)</f>
        <v>1</v>
      </c>
      <c r="K903" s="21" t="s">
        <v>1255</v>
      </c>
      <c r="L903" s="2" t="s">
        <v>655</v>
      </c>
      <c r="M903" s="21" t="s">
        <v>1260</v>
      </c>
      <c r="N903" s="48">
        <v>45540</v>
      </c>
      <c r="O903" s="21">
        <f>INDEX(Auxiliar!$D$5:$F$13,MATCH(Table1[[#This Row],[Tipologia_Testes]],Auxiliar!$B$5:$B$13,0),MATCH(Table1[[#This Row],[Complexidade]],Auxiliar!$D$4:$F$4,0))</f>
        <v>0.1</v>
      </c>
      <c r="P903" s="2" t="s">
        <v>1326</v>
      </c>
      <c r="Q903" s="2"/>
      <c r="R903" s="152">
        <v>45261</v>
      </c>
      <c r="S903" s="152"/>
      <c r="T903" s="152"/>
      <c r="U903" s="152">
        <v>45603</v>
      </c>
      <c r="V903" s="152">
        <v>45534</v>
      </c>
      <c r="W903" s="2">
        <f>VLOOKUP(Table1[[#This Row],[Status]],Auxiliar!$B$16:$D$24,3,0)*Table1[[#This Row],[Estimação (horas)]]</f>
        <v>0.1</v>
      </c>
      <c r="X903" s="2"/>
    </row>
    <row r="904" spans="2:24" ht="17.7" customHeight="1" x14ac:dyDescent="0.25">
      <c r="B904" s="13" t="s">
        <v>26</v>
      </c>
      <c r="C904" s="13" t="s">
        <v>181</v>
      </c>
      <c r="D904" s="13" t="s">
        <v>1309</v>
      </c>
      <c r="E904" s="2" t="s">
        <v>38</v>
      </c>
      <c r="F904" s="13" t="s">
        <v>216</v>
      </c>
      <c r="G904" s="13" t="s">
        <v>261</v>
      </c>
      <c r="H904" s="58" t="str">
        <f>Table1[[#This Row],[Tabela]]&amp;Table1[[#This Row],[Campo]]</f>
        <v>modesg_inp_nfrd_alinhamento_taxppc_turnover_own_prfrmnce_algnd</v>
      </c>
      <c r="I904" s="2" t="s">
        <v>614</v>
      </c>
      <c r="J904" s="46">
        <f>VLOOKUP(Table1[[#This Row],[Status]],Auxiliar!$B$16:$C$24,2,0)</f>
        <v>1</v>
      </c>
      <c r="K904" s="21" t="s">
        <v>1263</v>
      </c>
      <c r="L904" s="2" t="s">
        <v>655</v>
      </c>
      <c r="M904" s="21" t="s">
        <v>1260</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7" customHeight="1" x14ac:dyDescent="0.25">
      <c r="B905" s="13" t="s">
        <v>26</v>
      </c>
      <c r="C905" s="13" t="s">
        <v>181</v>
      </c>
      <c r="D905" s="13" t="s">
        <v>1309</v>
      </c>
      <c r="E905" s="2" t="s">
        <v>38</v>
      </c>
      <c r="F905" s="13" t="s">
        <v>216</v>
      </c>
      <c r="G905" s="13" t="s">
        <v>262</v>
      </c>
      <c r="H905" s="58" t="str">
        <f>Table1[[#This Row],[Tabela]]&amp;Table1[[#This Row],[Campo]]</f>
        <v>modesg_inp_nfrd_alinhamento_taxppc_capex_ttl_elgbl</v>
      </c>
      <c r="I905" s="2" t="s">
        <v>614</v>
      </c>
      <c r="J905" s="46">
        <f>VLOOKUP(Table1[[#This Row],[Status]],Auxiliar!$B$16:$C$24,2,0)</f>
        <v>1</v>
      </c>
      <c r="K905" s="21" t="s">
        <v>1255</v>
      </c>
      <c r="L905" s="2" t="s">
        <v>655</v>
      </c>
      <c r="M905" s="21" t="s">
        <v>1260</v>
      </c>
      <c r="N905" s="48">
        <v>45540</v>
      </c>
      <c r="O905" s="21">
        <f>INDEX(Auxiliar!$D$5:$F$13,MATCH(Table1[[#This Row],[Tipologia_Testes]],Auxiliar!$B$5:$B$13,0),MATCH(Table1[[#This Row],[Complexidade]],Auxiliar!$D$4:$F$4,0))</f>
        <v>0.1</v>
      </c>
      <c r="P905" s="2" t="s">
        <v>1326</v>
      </c>
      <c r="Q905" s="2"/>
      <c r="R905" s="152">
        <v>45261</v>
      </c>
      <c r="S905" s="152"/>
      <c r="T905" s="152"/>
      <c r="U905" s="152">
        <v>45603</v>
      </c>
      <c r="V905" s="152">
        <v>45534</v>
      </c>
      <c r="W905" s="2">
        <f>VLOOKUP(Table1[[#This Row],[Status]],Auxiliar!$B$16:$D$24,3,0)*Table1[[#This Row],[Estimação (horas)]]</f>
        <v>0.1</v>
      </c>
      <c r="X905" s="2"/>
    </row>
    <row r="906" spans="2:24" ht="17.7" customHeight="1" x14ac:dyDescent="0.25">
      <c r="B906" s="13" t="s">
        <v>26</v>
      </c>
      <c r="C906" s="13" t="s">
        <v>181</v>
      </c>
      <c r="D906" s="13" t="s">
        <v>1309</v>
      </c>
      <c r="E906" s="2" t="s">
        <v>38</v>
      </c>
      <c r="F906" s="13" t="s">
        <v>216</v>
      </c>
      <c r="G906" s="13" t="s">
        <v>262</v>
      </c>
      <c r="H906" s="58" t="str">
        <f>Table1[[#This Row],[Tabela]]&amp;Table1[[#This Row],[Campo]]</f>
        <v>modesg_inp_nfrd_alinhamento_taxppc_capex_ttl_elgbl</v>
      </c>
      <c r="I906" s="2" t="s">
        <v>614</v>
      </c>
      <c r="J906" s="46">
        <f>VLOOKUP(Table1[[#This Row],[Status]],Auxiliar!$B$16:$C$24,2,0)</f>
        <v>1</v>
      </c>
      <c r="K906" s="21" t="s">
        <v>1263</v>
      </c>
      <c r="L906" s="2" t="s">
        <v>655</v>
      </c>
      <c r="M906" s="21" t="s">
        <v>1260</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7" customHeight="1" x14ac:dyDescent="0.25">
      <c r="B907" s="13" t="s">
        <v>26</v>
      </c>
      <c r="C907" s="13" t="s">
        <v>181</v>
      </c>
      <c r="D907" s="13" t="s">
        <v>1309</v>
      </c>
      <c r="E907" s="2" t="s">
        <v>38</v>
      </c>
      <c r="F907" s="13" t="s">
        <v>216</v>
      </c>
      <c r="G907" s="13" t="s">
        <v>263</v>
      </c>
      <c r="H907" s="58" t="str">
        <f>Table1[[#This Row],[Tabela]]&amp;Table1[[#This Row],[Campo]]</f>
        <v>modesg_inp_nfrd_alinhamento_taxppc_capex_own_prfrmnce_algnd</v>
      </c>
      <c r="I907" s="2" t="s">
        <v>614</v>
      </c>
      <c r="J907" s="46">
        <f>VLOOKUP(Table1[[#This Row],[Status]],Auxiliar!$B$16:$C$24,2,0)</f>
        <v>1</v>
      </c>
      <c r="K907" s="21" t="s">
        <v>1255</v>
      </c>
      <c r="L907" s="2" t="s">
        <v>655</v>
      </c>
      <c r="M907" s="21" t="s">
        <v>1260</v>
      </c>
      <c r="N907" s="48">
        <v>45540</v>
      </c>
      <c r="O907" s="21">
        <f>INDEX(Auxiliar!$D$5:$F$13,MATCH(Table1[[#This Row],[Tipologia_Testes]],Auxiliar!$B$5:$B$13,0),MATCH(Table1[[#This Row],[Complexidade]],Auxiliar!$D$4:$F$4,0))</f>
        <v>0.1</v>
      </c>
      <c r="P907" s="2" t="s">
        <v>1326</v>
      </c>
      <c r="Q907" s="2"/>
      <c r="R907" s="152">
        <v>45261</v>
      </c>
      <c r="S907" s="152"/>
      <c r="T907" s="152"/>
      <c r="U907" s="152">
        <v>45603</v>
      </c>
      <c r="V907" s="152">
        <v>45534</v>
      </c>
      <c r="W907" s="2">
        <f>VLOOKUP(Table1[[#This Row],[Status]],Auxiliar!$B$16:$D$24,3,0)*Table1[[#This Row],[Estimação (horas)]]</f>
        <v>0.1</v>
      </c>
      <c r="X907" s="2"/>
    </row>
    <row r="908" spans="2:24" ht="17.7" customHeight="1" x14ac:dyDescent="0.25">
      <c r="B908" s="13" t="s">
        <v>26</v>
      </c>
      <c r="C908" s="13" t="s">
        <v>181</v>
      </c>
      <c r="D908" s="13" t="s">
        <v>1309</v>
      </c>
      <c r="E908" s="2" t="s">
        <v>38</v>
      </c>
      <c r="F908" s="13" t="s">
        <v>216</v>
      </c>
      <c r="G908" s="13" t="s">
        <v>263</v>
      </c>
      <c r="H908" s="58" t="str">
        <f>Table1[[#This Row],[Tabela]]&amp;Table1[[#This Row],[Campo]]</f>
        <v>modesg_inp_nfrd_alinhamento_taxppc_capex_own_prfrmnce_algnd</v>
      </c>
      <c r="I908" s="2" t="s">
        <v>614</v>
      </c>
      <c r="J908" s="46">
        <f>VLOOKUP(Table1[[#This Row],[Status]],Auxiliar!$B$16:$C$24,2,0)</f>
        <v>1</v>
      </c>
      <c r="K908" s="21" t="s">
        <v>1263</v>
      </c>
      <c r="L908" s="2" t="s">
        <v>655</v>
      </c>
      <c r="M908" s="21" t="s">
        <v>1260</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7" customHeight="1" x14ac:dyDescent="0.25">
      <c r="B909" s="13" t="s">
        <v>26</v>
      </c>
      <c r="C909" s="13" t="s">
        <v>181</v>
      </c>
      <c r="D909" s="13" t="s">
        <v>1309</v>
      </c>
      <c r="E909" s="2" t="s">
        <v>38</v>
      </c>
      <c r="F909" s="13" t="s">
        <v>216</v>
      </c>
      <c r="G909" s="13" t="s">
        <v>264</v>
      </c>
      <c r="H909" s="58" t="str">
        <f>Table1[[#This Row],[Tabela]]&amp;Table1[[#This Row],[Campo]]</f>
        <v>modesg_inp_nfrd_alinhamento_taxbio_trnvr_ttl_elgbl</v>
      </c>
      <c r="I909" s="2" t="s">
        <v>614</v>
      </c>
      <c r="J909" s="46">
        <f>VLOOKUP(Table1[[#This Row],[Status]],Auxiliar!$B$16:$C$24,2,0)</f>
        <v>1</v>
      </c>
      <c r="K909" s="21" t="s">
        <v>1255</v>
      </c>
      <c r="L909" s="2" t="s">
        <v>655</v>
      </c>
      <c r="M909" s="21" t="s">
        <v>1260</v>
      </c>
      <c r="N909" s="48">
        <v>45540</v>
      </c>
      <c r="O909" s="21">
        <f>INDEX(Auxiliar!$D$5:$F$13,MATCH(Table1[[#This Row],[Tipologia_Testes]],Auxiliar!$B$5:$B$13,0),MATCH(Table1[[#This Row],[Complexidade]],Auxiliar!$D$4:$F$4,0))</f>
        <v>0.1</v>
      </c>
      <c r="P909" s="2" t="s">
        <v>1326</v>
      </c>
      <c r="Q909" s="2"/>
      <c r="R909" s="152">
        <v>45261</v>
      </c>
      <c r="S909" s="152"/>
      <c r="T909" s="152"/>
      <c r="U909" s="152">
        <v>45603</v>
      </c>
      <c r="V909" s="152">
        <v>45534</v>
      </c>
      <c r="W909" s="2">
        <f>VLOOKUP(Table1[[#This Row],[Status]],Auxiliar!$B$16:$D$24,3,0)*Table1[[#This Row],[Estimação (horas)]]</f>
        <v>0.1</v>
      </c>
      <c r="X909" s="2"/>
    </row>
    <row r="910" spans="2:24" ht="17.7" customHeight="1" x14ac:dyDescent="0.25">
      <c r="B910" s="13" t="s">
        <v>26</v>
      </c>
      <c r="C910" s="13" t="s">
        <v>181</v>
      </c>
      <c r="D910" s="13" t="s">
        <v>1309</v>
      </c>
      <c r="E910" s="2" t="s">
        <v>38</v>
      </c>
      <c r="F910" s="13" t="s">
        <v>216</v>
      </c>
      <c r="G910" s="13" t="s">
        <v>264</v>
      </c>
      <c r="H910" s="58" t="str">
        <f>Table1[[#This Row],[Tabela]]&amp;Table1[[#This Row],[Campo]]</f>
        <v>modesg_inp_nfrd_alinhamento_taxbio_trnvr_ttl_elgbl</v>
      </c>
      <c r="I910" s="2" t="s">
        <v>614</v>
      </c>
      <c r="J910" s="46">
        <f>VLOOKUP(Table1[[#This Row],[Status]],Auxiliar!$B$16:$C$24,2,0)</f>
        <v>1</v>
      </c>
      <c r="K910" s="21" t="s">
        <v>1263</v>
      </c>
      <c r="L910" s="2" t="s">
        <v>655</v>
      </c>
      <c r="M910" s="21" t="s">
        <v>1260</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7" customHeight="1" x14ac:dyDescent="0.25">
      <c r="B911" s="13" t="s">
        <v>26</v>
      </c>
      <c r="C911" s="13" t="s">
        <v>181</v>
      </c>
      <c r="D911" s="13" t="s">
        <v>1309</v>
      </c>
      <c r="E911" s="2" t="s">
        <v>38</v>
      </c>
      <c r="F911" s="13" t="s">
        <v>216</v>
      </c>
      <c r="G911" s="13" t="s">
        <v>265</v>
      </c>
      <c r="H911" s="58" t="str">
        <f>Table1[[#This Row],[Tabela]]&amp;Table1[[#This Row],[Campo]]</f>
        <v>modesg_inp_nfrd_alinhamento_taxbio_turnover_own_prfrmnce_algnd</v>
      </c>
      <c r="I911" s="2" t="s">
        <v>614</v>
      </c>
      <c r="J911" s="46">
        <f>VLOOKUP(Table1[[#This Row],[Status]],Auxiliar!$B$16:$C$24,2,0)</f>
        <v>1</v>
      </c>
      <c r="K911" s="21" t="s">
        <v>1255</v>
      </c>
      <c r="L911" s="2" t="s">
        <v>655</v>
      </c>
      <c r="M911" s="21" t="s">
        <v>1260</v>
      </c>
      <c r="N911" s="48">
        <v>45540</v>
      </c>
      <c r="O911" s="21">
        <f>INDEX(Auxiliar!$D$5:$F$13,MATCH(Table1[[#This Row],[Tipologia_Testes]],Auxiliar!$B$5:$B$13,0),MATCH(Table1[[#This Row],[Complexidade]],Auxiliar!$D$4:$F$4,0))</f>
        <v>0.1</v>
      </c>
      <c r="P911" s="2" t="s">
        <v>1326</v>
      </c>
      <c r="Q911" s="2"/>
      <c r="R911" s="152">
        <v>45261</v>
      </c>
      <c r="S911" s="152"/>
      <c r="T911" s="152"/>
      <c r="U911" s="152">
        <v>45603</v>
      </c>
      <c r="V911" s="152">
        <v>45534</v>
      </c>
      <c r="W911" s="2">
        <f>VLOOKUP(Table1[[#This Row],[Status]],Auxiliar!$B$16:$D$24,3,0)*Table1[[#This Row],[Estimação (horas)]]</f>
        <v>0.1</v>
      </c>
      <c r="X911" s="2"/>
    </row>
    <row r="912" spans="2:24" ht="17.7" customHeight="1" x14ac:dyDescent="0.25">
      <c r="B912" s="13" t="s">
        <v>26</v>
      </c>
      <c r="C912" s="13" t="s">
        <v>181</v>
      </c>
      <c r="D912" s="13" t="s">
        <v>1309</v>
      </c>
      <c r="E912" s="2" t="s">
        <v>38</v>
      </c>
      <c r="F912" s="13" t="s">
        <v>216</v>
      </c>
      <c r="G912" s="13" t="s">
        <v>265</v>
      </c>
      <c r="H912" s="58" t="str">
        <f>Table1[[#This Row],[Tabela]]&amp;Table1[[#This Row],[Campo]]</f>
        <v>modesg_inp_nfrd_alinhamento_taxbio_turnover_own_prfrmnce_algnd</v>
      </c>
      <c r="I912" s="2" t="s">
        <v>614</v>
      </c>
      <c r="J912" s="46">
        <f>VLOOKUP(Table1[[#This Row],[Status]],Auxiliar!$B$16:$C$24,2,0)</f>
        <v>1</v>
      </c>
      <c r="K912" s="21" t="s">
        <v>1263</v>
      </c>
      <c r="L912" s="2" t="s">
        <v>655</v>
      </c>
      <c r="M912" s="21" t="s">
        <v>1260</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7" customHeight="1" x14ac:dyDescent="0.25">
      <c r="B913" s="13" t="s">
        <v>26</v>
      </c>
      <c r="C913" s="13" t="s">
        <v>181</v>
      </c>
      <c r="D913" s="13" t="s">
        <v>1309</v>
      </c>
      <c r="E913" s="2" t="s">
        <v>38</v>
      </c>
      <c r="F913" s="13" t="s">
        <v>216</v>
      </c>
      <c r="G913" s="13" t="s">
        <v>266</v>
      </c>
      <c r="H913" s="58" t="str">
        <f>Table1[[#This Row],[Tabela]]&amp;Table1[[#This Row],[Campo]]</f>
        <v>modesg_inp_nfrd_alinhamento_taxbio_capex_ttl_elgbl</v>
      </c>
      <c r="I913" s="2" t="s">
        <v>614</v>
      </c>
      <c r="J913" s="46">
        <f>VLOOKUP(Table1[[#This Row],[Status]],Auxiliar!$B$16:$C$24,2,0)</f>
        <v>1</v>
      </c>
      <c r="K913" s="21" t="s">
        <v>1255</v>
      </c>
      <c r="L913" s="2" t="s">
        <v>655</v>
      </c>
      <c r="M913" s="21" t="s">
        <v>1260</v>
      </c>
      <c r="N913" s="48">
        <v>45540</v>
      </c>
      <c r="O913" s="21">
        <f>INDEX(Auxiliar!$D$5:$F$13,MATCH(Table1[[#This Row],[Tipologia_Testes]],Auxiliar!$B$5:$B$13,0),MATCH(Table1[[#This Row],[Complexidade]],Auxiliar!$D$4:$F$4,0))</f>
        <v>0.1</v>
      </c>
      <c r="P913" s="2" t="s">
        <v>1326</v>
      </c>
      <c r="Q913" s="2"/>
      <c r="R913" s="152">
        <v>45261</v>
      </c>
      <c r="S913" s="152"/>
      <c r="T913" s="152"/>
      <c r="U913" s="152">
        <v>45603</v>
      </c>
      <c r="V913" s="152">
        <v>45534</v>
      </c>
      <c r="W913" s="2">
        <f>VLOOKUP(Table1[[#This Row],[Status]],Auxiliar!$B$16:$D$24,3,0)*Table1[[#This Row],[Estimação (horas)]]</f>
        <v>0.1</v>
      </c>
      <c r="X913" s="2"/>
    </row>
    <row r="914" spans="2:24" ht="17.7" customHeight="1" x14ac:dyDescent="0.25">
      <c r="B914" s="13" t="s">
        <v>26</v>
      </c>
      <c r="C914" s="13" t="s">
        <v>181</v>
      </c>
      <c r="D914" s="13" t="s">
        <v>1309</v>
      </c>
      <c r="E914" s="2" t="s">
        <v>38</v>
      </c>
      <c r="F914" s="13" t="s">
        <v>216</v>
      </c>
      <c r="G914" s="13" t="s">
        <v>266</v>
      </c>
      <c r="H914" s="58" t="str">
        <f>Table1[[#This Row],[Tabela]]&amp;Table1[[#This Row],[Campo]]</f>
        <v>modesg_inp_nfrd_alinhamento_taxbio_capex_ttl_elgbl</v>
      </c>
      <c r="I914" s="2" t="s">
        <v>614</v>
      </c>
      <c r="J914" s="46">
        <f>VLOOKUP(Table1[[#This Row],[Status]],Auxiliar!$B$16:$C$24,2,0)</f>
        <v>1</v>
      </c>
      <c r="K914" s="21" t="s">
        <v>1263</v>
      </c>
      <c r="L914" s="2" t="s">
        <v>655</v>
      </c>
      <c r="M914" s="21" t="s">
        <v>1260</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7" customHeight="1" x14ac:dyDescent="0.25">
      <c r="B915" s="13" t="s">
        <v>26</v>
      </c>
      <c r="C915" s="13" t="s">
        <v>181</v>
      </c>
      <c r="D915" s="13" t="s">
        <v>1309</v>
      </c>
      <c r="E915" s="2" t="s">
        <v>38</v>
      </c>
      <c r="F915" s="13" t="s">
        <v>216</v>
      </c>
      <c r="G915" s="13" t="s">
        <v>267</v>
      </c>
      <c r="H915" s="58" t="str">
        <f>Table1[[#This Row],[Tabela]]&amp;Table1[[#This Row],[Campo]]</f>
        <v>modesg_inp_nfrd_alinhamento_taxbio_capex_own_prfrmnce_algnd</v>
      </c>
      <c r="I915" s="2" t="s">
        <v>614</v>
      </c>
      <c r="J915" s="46">
        <f>VLOOKUP(Table1[[#This Row],[Status]],Auxiliar!$B$16:$C$24,2,0)</f>
        <v>1</v>
      </c>
      <c r="K915" s="21" t="s">
        <v>1255</v>
      </c>
      <c r="L915" s="2" t="s">
        <v>655</v>
      </c>
      <c r="M915" s="21" t="s">
        <v>1260</v>
      </c>
      <c r="N915" s="48">
        <v>45540</v>
      </c>
      <c r="O915" s="21">
        <f>INDEX(Auxiliar!$D$5:$F$13,MATCH(Table1[[#This Row],[Tipologia_Testes]],Auxiliar!$B$5:$B$13,0),MATCH(Table1[[#This Row],[Complexidade]],Auxiliar!$D$4:$F$4,0))</f>
        <v>0.1</v>
      </c>
      <c r="P915" s="2" t="s">
        <v>1326</v>
      </c>
      <c r="Q915" s="2"/>
      <c r="R915" s="152">
        <v>45261</v>
      </c>
      <c r="S915" s="152"/>
      <c r="T915" s="152"/>
      <c r="U915" s="152">
        <v>45603</v>
      </c>
      <c r="V915" s="152">
        <v>45534</v>
      </c>
      <c r="W915" s="2">
        <f>VLOOKUP(Table1[[#This Row],[Status]],Auxiliar!$B$16:$D$24,3,0)*Table1[[#This Row],[Estimação (horas)]]</f>
        <v>0.1</v>
      </c>
      <c r="X915" s="2"/>
    </row>
    <row r="916" spans="2:24" ht="17.7" customHeight="1" x14ac:dyDescent="0.25">
      <c r="B916" s="13" t="s">
        <v>26</v>
      </c>
      <c r="C916" s="13" t="s">
        <v>181</v>
      </c>
      <c r="D916" s="13" t="s">
        <v>1309</v>
      </c>
      <c r="E916" s="2" t="s">
        <v>38</v>
      </c>
      <c r="F916" s="13" t="s">
        <v>216</v>
      </c>
      <c r="G916" s="13" t="s">
        <v>267</v>
      </c>
      <c r="H916" s="58" t="str">
        <f>Table1[[#This Row],[Tabela]]&amp;Table1[[#This Row],[Campo]]</f>
        <v>modesg_inp_nfrd_alinhamento_taxbio_capex_own_prfrmnce_algnd</v>
      </c>
      <c r="I916" s="2" t="s">
        <v>614</v>
      </c>
      <c r="J916" s="46">
        <f>VLOOKUP(Table1[[#This Row],[Status]],Auxiliar!$B$16:$C$24,2,0)</f>
        <v>1</v>
      </c>
      <c r="K916" s="21" t="s">
        <v>1263</v>
      </c>
      <c r="L916" s="2" t="s">
        <v>655</v>
      </c>
      <c r="M916" s="21" t="s">
        <v>1260</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7" customHeight="1" x14ac:dyDescent="0.25">
      <c r="B917" s="13" t="s">
        <v>26</v>
      </c>
      <c r="C917" s="13" t="s">
        <v>181</v>
      </c>
      <c r="D917" s="13" t="s">
        <v>1309</v>
      </c>
      <c r="E917" s="2" t="s">
        <v>38</v>
      </c>
      <c r="F917" s="13" t="s">
        <v>216</v>
      </c>
      <c r="G917" s="13" t="s">
        <v>268</v>
      </c>
      <c r="H917" s="58" t="str">
        <f>Table1[[#This Row],[Tabela]]&amp;Table1[[#This Row],[Campo]]</f>
        <v>modesg_inp_nfrd_alinhamento_taxwtr_trnvr_ttl_elgbl</v>
      </c>
      <c r="I917" s="2" t="s">
        <v>614</v>
      </c>
      <c r="J917" s="46">
        <f>VLOOKUP(Table1[[#This Row],[Status]],Auxiliar!$B$16:$C$24,2,0)</f>
        <v>1</v>
      </c>
      <c r="K917" s="21" t="s">
        <v>1255</v>
      </c>
      <c r="L917" s="2" t="s">
        <v>655</v>
      </c>
      <c r="M917" s="21" t="s">
        <v>1260</v>
      </c>
      <c r="N917" s="48">
        <v>45540</v>
      </c>
      <c r="O917" s="21">
        <f>INDEX(Auxiliar!$D$5:$F$13,MATCH(Table1[[#This Row],[Tipologia_Testes]],Auxiliar!$B$5:$B$13,0),MATCH(Table1[[#This Row],[Complexidade]],Auxiliar!$D$4:$F$4,0))</f>
        <v>0.1</v>
      </c>
      <c r="P917" s="2" t="s">
        <v>1326</v>
      </c>
      <c r="Q917" s="2"/>
      <c r="R917" s="152">
        <v>45261</v>
      </c>
      <c r="S917" s="152"/>
      <c r="T917" s="152"/>
      <c r="U917" s="152">
        <v>45603</v>
      </c>
      <c r="V917" s="152">
        <v>45534</v>
      </c>
      <c r="W917" s="2">
        <f>VLOOKUP(Table1[[#This Row],[Status]],Auxiliar!$B$16:$D$24,3,0)*Table1[[#This Row],[Estimação (horas)]]</f>
        <v>0.1</v>
      </c>
      <c r="X917" s="2"/>
    </row>
    <row r="918" spans="2:24" ht="17.7" customHeight="1" x14ac:dyDescent="0.25">
      <c r="B918" s="13" t="s">
        <v>26</v>
      </c>
      <c r="C918" s="13" t="s">
        <v>181</v>
      </c>
      <c r="D918" s="13" t="s">
        <v>1309</v>
      </c>
      <c r="E918" s="2" t="s">
        <v>38</v>
      </c>
      <c r="F918" s="13" t="s">
        <v>216</v>
      </c>
      <c r="G918" s="13" t="s">
        <v>268</v>
      </c>
      <c r="H918" s="58" t="str">
        <f>Table1[[#This Row],[Tabela]]&amp;Table1[[#This Row],[Campo]]</f>
        <v>modesg_inp_nfrd_alinhamento_taxwtr_trnvr_ttl_elgbl</v>
      </c>
      <c r="I918" s="2" t="s">
        <v>614</v>
      </c>
      <c r="J918" s="46">
        <f>VLOOKUP(Table1[[#This Row],[Status]],Auxiliar!$B$16:$C$24,2,0)</f>
        <v>1</v>
      </c>
      <c r="K918" s="21" t="s">
        <v>1263</v>
      </c>
      <c r="L918" s="2" t="s">
        <v>655</v>
      </c>
      <c r="M918" s="21" t="s">
        <v>1260</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7" customHeight="1" x14ac:dyDescent="0.25">
      <c r="B919" s="13" t="s">
        <v>26</v>
      </c>
      <c r="C919" s="13" t="s">
        <v>181</v>
      </c>
      <c r="D919" s="13" t="s">
        <v>1309</v>
      </c>
      <c r="E919" s="2" t="s">
        <v>38</v>
      </c>
      <c r="F919" s="13" t="s">
        <v>216</v>
      </c>
      <c r="G919" s="13" t="s">
        <v>269</v>
      </c>
      <c r="H919" s="58" t="str">
        <f>Table1[[#This Row],[Tabela]]&amp;Table1[[#This Row],[Campo]]</f>
        <v>modesg_inp_nfrd_alinhamento_taxwtr_trnvr_enblng_alignd</v>
      </c>
      <c r="I919" s="2" t="s">
        <v>614</v>
      </c>
      <c r="J919" s="46">
        <f>VLOOKUP(Table1[[#This Row],[Status]],Auxiliar!$B$16:$C$24,2,0)</f>
        <v>1</v>
      </c>
      <c r="K919" s="21" t="s">
        <v>1255</v>
      </c>
      <c r="L919" s="2" t="s">
        <v>655</v>
      </c>
      <c r="M919" s="21" t="s">
        <v>1260</v>
      </c>
      <c r="N919" s="48">
        <v>45540</v>
      </c>
      <c r="O919" s="21">
        <f>INDEX(Auxiliar!$D$5:$F$13,MATCH(Table1[[#This Row],[Tipologia_Testes]],Auxiliar!$B$5:$B$13,0),MATCH(Table1[[#This Row],[Complexidade]],Auxiliar!$D$4:$F$4,0))</f>
        <v>0.1</v>
      </c>
      <c r="P919" s="2" t="s">
        <v>1326</v>
      </c>
      <c r="Q919" s="2"/>
      <c r="R919" s="152">
        <v>45261</v>
      </c>
      <c r="S919" s="152"/>
      <c r="T919" s="152"/>
      <c r="U919" s="152">
        <v>45603</v>
      </c>
      <c r="V919" s="152">
        <v>45534</v>
      </c>
      <c r="W919" s="2">
        <f>VLOOKUP(Table1[[#This Row],[Status]],Auxiliar!$B$16:$D$24,3,0)*Table1[[#This Row],[Estimação (horas)]]</f>
        <v>0.1</v>
      </c>
      <c r="X919" s="2"/>
    </row>
    <row r="920" spans="2:24" ht="17.7" customHeight="1" x14ac:dyDescent="0.25">
      <c r="B920" s="13" t="s">
        <v>26</v>
      </c>
      <c r="C920" s="13" t="s">
        <v>181</v>
      </c>
      <c r="D920" s="13" t="s">
        <v>1309</v>
      </c>
      <c r="E920" s="2" t="s">
        <v>38</v>
      </c>
      <c r="F920" s="13" t="s">
        <v>216</v>
      </c>
      <c r="G920" s="13" t="s">
        <v>269</v>
      </c>
      <c r="H920" s="58" t="str">
        <f>Table1[[#This Row],[Tabela]]&amp;Table1[[#This Row],[Campo]]</f>
        <v>modesg_inp_nfrd_alinhamento_taxwtr_trnvr_enblng_alignd</v>
      </c>
      <c r="I920" s="2" t="s">
        <v>614</v>
      </c>
      <c r="J920" s="46">
        <f>VLOOKUP(Table1[[#This Row],[Status]],Auxiliar!$B$16:$C$24,2,0)</f>
        <v>1</v>
      </c>
      <c r="K920" s="21" t="s">
        <v>1263</v>
      </c>
      <c r="L920" s="2" t="s">
        <v>655</v>
      </c>
      <c r="M920" s="21" t="s">
        <v>1260</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7" customHeight="1" x14ac:dyDescent="0.25">
      <c r="B921" s="13" t="s">
        <v>26</v>
      </c>
      <c r="C921" s="13" t="s">
        <v>181</v>
      </c>
      <c r="D921" s="13" t="s">
        <v>1309</v>
      </c>
      <c r="E921" s="2" t="s">
        <v>38</v>
      </c>
      <c r="F921" s="13" t="s">
        <v>216</v>
      </c>
      <c r="G921" s="13" t="s">
        <v>270</v>
      </c>
      <c r="H921" s="58" t="str">
        <f>Table1[[#This Row],[Tabela]]&amp;Table1[[#This Row],[Campo]]</f>
        <v>modesg_inp_nfrd_alinhamento_taxwtr_turnover_own_prfrmnce_algnd</v>
      </c>
      <c r="I921" s="2" t="s">
        <v>614</v>
      </c>
      <c r="J921" s="46">
        <f>VLOOKUP(Table1[[#This Row],[Status]],Auxiliar!$B$16:$C$24,2,0)</f>
        <v>1</v>
      </c>
      <c r="K921" s="21" t="s">
        <v>1255</v>
      </c>
      <c r="L921" s="2" t="s">
        <v>655</v>
      </c>
      <c r="M921" s="21" t="s">
        <v>1260</v>
      </c>
      <c r="N921" s="48">
        <v>45540</v>
      </c>
      <c r="O921" s="21">
        <f>INDEX(Auxiliar!$D$5:$F$13,MATCH(Table1[[#This Row],[Tipologia_Testes]],Auxiliar!$B$5:$B$13,0),MATCH(Table1[[#This Row],[Complexidade]],Auxiliar!$D$4:$F$4,0))</f>
        <v>0.1</v>
      </c>
      <c r="P921" s="2" t="s">
        <v>1326</v>
      </c>
      <c r="Q921" s="2"/>
      <c r="R921" s="152">
        <v>45261</v>
      </c>
      <c r="S921" s="152"/>
      <c r="T921" s="152"/>
      <c r="U921" s="152">
        <v>45603</v>
      </c>
      <c r="V921" s="152">
        <v>45534</v>
      </c>
      <c r="W921" s="2">
        <f>VLOOKUP(Table1[[#This Row],[Status]],Auxiliar!$B$16:$D$24,3,0)*Table1[[#This Row],[Estimação (horas)]]</f>
        <v>0.1</v>
      </c>
      <c r="X921" s="2"/>
    </row>
    <row r="922" spans="2:24" ht="17.7" customHeight="1" x14ac:dyDescent="0.25">
      <c r="B922" s="13" t="s">
        <v>26</v>
      </c>
      <c r="C922" s="13" t="s">
        <v>181</v>
      </c>
      <c r="D922" s="13" t="s">
        <v>1309</v>
      </c>
      <c r="E922" s="2" t="s">
        <v>38</v>
      </c>
      <c r="F922" s="13" t="s">
        <v>216</v>
      </c>
      <c r="G922" s="13" t="s">
        <v>270</v>
      </c>
      <c r="H922" s="58" t="str">
        <f>Table1[[#This Row],[Tabela]]&amp;Table1[[#This Row],[Campo]]</f>
        <v>modesg_inp_nfrd_alinhamento_taxwtr_turnover_own_prfrmnce_algnd</v>
      </c>
      <c r="I922" s="2" t="s">
        <v>614</v>
      </c>
      <c r="J922" s="46">
        <f>VLOOKUP(Table1[[#This Row],[Status]],Auxiliar!$B$16:$C$24,2,0)</f>
        <v>1</v>
      </c>
      <c r="K922" s="21" t="s">
        <v>1263</v>
      </c>
      <c r="L922" s="2" t="s">
        <v>655</v>
      </c>
      <c r="M922" s="21" t="s">
        <v>1260</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7" customHeight="1" x14ac:dyDescent="0.25">
      <c r="B923" s="13" t="s">
        <v>26</v>
      </c>
      <c r="C923" s="13" t="s">
        <v>181</v>
      </c>
      <c r="D923" s="13" t="s">
        <v>1309</v>
      </c>
      <c r="E923" s="2" t="s">
        <v>38</v>
      </c>
      <c r="F923" s="13" t="s">
        <v>216</v>
      </c>
      <c r="G923" s="13" t="s">
        <v>271</v>
      </c>
      <c r="H923" s="58" t="str">
        <f>Table1[[#This Row],[Tabela]]&amp;Table1[[#This Row],[Campo]]</f>
        <v>modesg_inp_nfrd_alinhamento_taxwtr_capex_ttl_elgbl</v>
      </c>
      <c r="I923" s="2" t="s">
        <v>614</v>
      </c>
      <c r="J923" s="46">
        <f>VLOOKUP(Table1[[#This Row],[Status]],Auxiliar!$B$16:$C$24,2,0)</f>
        <v>1</v>
      </c>
      <c r="K923" s="21" t="s">
        <v>1255</v>
      </c>
      <c r="L923" s="2" t="s">
        <v>655</v>
      </c>
      <c r="M923" s="21" t="s">
        <v>1260</v>
      </c>
      <c r="N923" s="48">
        <v>45540</v>
      </c>
      <c r="O923" s="21">
        <f>INDEX(Auxiliar!$D$5:$F$13,MATCH(Table1[[#This Row],[Tipologia_Testes]],Auxiliar!$B$5:$B$13,0),MATCH(Table1[[#This Row],[Complexidade]],Auxiliar!$D$4:$F$4,0))</f>
        <v>0.1</v>
      </c>
      <c r="P923" s="2" t="s">
        <v>1326</v>
      </c>
      <c r="Q923" s="2"/>
      <c r="R923" s="152">
        <v>45261</v>
      </c>
      <c r="S923" s="152"/>
      <c r="T923" s="152"/>
      <c r="U923" s="152">
        <v>45603</v>
      </c>
      <c r="V923" s="152">
        <v>45534</v>
      </c>
      <c r="W923" s="2">
        <f>VLOOKUP(Table1[[#This Row],[Status]],Auxiliar!$B$16:$D$24,3,0)*Table1[[#This Row],[Estimação (horas)]]</f>
        <v>0.1</v>
      </c>
      <c r="X923" s="2"/>
    </row>
    <row r="924" spans="2:24" ht="17.7" customHeight="1" x14ac:dyDescent="0.25">
      <c r="B924" s="13" t="s">
        <v>26</v>
      </c>
      <c r="C924" s="13" t="s">
        <v>181</v>
      </c>
      <c r="D924" s="13" t="s">
        <v>1309</v>
      </c>
      <c r="E924" s="2" t="s">
        <v>38</v>
      </c>
      <c r="F924" s="13" t="s">
        <v>216</v>
      </c>
      <c r="G924" s="13" t="s">
        <v>271</v>
      </c>
      <c r="H924" s="58" t="str">
        <f>Table1[[#This Row],[Tabela]]&amp;Table1[[#This Row],[Campo]]</f>
        <v>modesg_inp_nfrd_alinhamento_taxwtr_capex_ttl_elgbl</v>
      </c>
      <c r="I924" s="2" t="s">
        <v>614</v>
      </c>
      <c r="J924" s="46">
        <f>VLOOKUP(Table1[[#This Row],[Status]],Auxiliar!$B$16:$C$24,2,0)</f>
        <v>1</v>
      </c>
      <c r="K924" s="21" t="s">
        <v>1263</v>
      </c>
      <c r="L924" s="2" t="s">
        <v>655</v>
      </c>
      <c r="M924" s="21" t="s">
        <v>1260</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7" customHeight="1" x14ac:dyDescent="0.25">
      <c r="B925" s="13" t="s">
        <v>26</v>
      </c>
      <c r="C925" s="13" t="s">
        <v>181</v>
      </c>
      <c r="D925" s="13" t="s">
        <v>1309</v>
      </c>
      <c r="E925" s="2" t="s">
        <v>38</v>
      </c>
      <c r="F925" s="13" t="s">
        <v>216</v>
      </c>
      <c r="G925" s="13" t="s">
        <v>272</v>
      </c>
      <c r="H925" s="58" t="str">
        <f>Table1[[#This Row],[Tabela]]&amp;Table1[[#This Row],[Campo]]</f>
        <v>modesg_inp_nfrd_alinhamento_taxwtr_capex_enblng_algnd</v>
      </c>
      <c r="I925" s="2" t="s">
        <v>614</v>
      </c>
      <c r="J925" s="46">
        <f>VLOOKUP(Table1[[#This Row],[Status]],Auxiliar!$B$16:$C$24,2,0)</f>
        <v>1</v>
      </c>
      <c r="K925" s="21" t="s">
        <v>1255</v>
      </c>
      <c r="L925" s="2" t="s">
        <v>655</v>
      </c>
      <c r="M925" s="21" t="s">
        <v>1260</v>
      </c>
      <c r="N925" s="48">
        <v>45540</v>
      </c>
      <c r="O925" s="21">
        <f>INDEX(Auxiliar!$D$5:$F$13,MATCH(Table1[[#This Row],[Tipologia_Testes]],Auxiliar!$B$5:$B$13,0),MATCH(Table1[[#This Row],[Complexidade]],Auxiliar!$D$4:$F$4,0))</f>
        <v>0.1</v>
      </c>
      <c r="P925" s="2" t="s">
        <v>1326</v>
      </c>
      <c r="Q925" s="2"/>
      <c r="R925" s="152">
        <v>45261</v>
      </c>
      <c r="S925" s="152"/>
      <c r="T925" s="152"/>
      <c r="U925" s="152">
        <v>45603</v>
      </c>
      <c r="V925" s="152">
        <v>45534</v>
      </c>
      <c r="W925" s="2">
        <f>VLOOKUP(Table1[[#This Row],[Status]],Auxiliar!$B$16:$D$24,3,0)*Table1[[#This Row],[Estimação (horas)]]</f>
        <v>0.1</v>
      </c>
      <c r="X925" s="2"/>
    </row>
    <row r="926" spans="2:24" ht="17.7" customHeight="1" x14ac:dyDescent="0.25">
      <c r="B926" s="13" t="s">
        <v>26</v>
      </c>
      <c r="C926" s="13" t="s">
        <v>181</v>
      </c>
      <c r="D926" s="13" t="s">
        <v>1309</v>
      </c>
      <c r="E926" s="2" t="s">
        <v>38</v>
      </c>
      <c r="F926" s="13" t="s">
        <v>216</v>
      </c>
      <c r="G926" s="13" t="s">
        <v>272</v>
      </c>
      <c r="H926" s="58" t="str">
        <f>Table1[[#This Row],[Tabela]]&amp;Table1[[#This Row],[Campo]]</f>
        <v>modesg_inp_nfrd_alinhamento_taxwtr_capex_enblng_algnd</v>
      </c>
      <c r="I926" s="2" t="s">
        <v>614</v>
      </c>
      <c r="J926" s="46">
        <f>VLOOKUP(Table1[[#This Row],[Status]],Auxiliar!$B$16:$C$24,2,0)</f>
        <v>1</v>
      </c>
      <c r="K926" s="21" t="s">
        <v>1263</v>
      </c>
      <c r="L926" s="2" t="s">
        <v>655</v>
      </c>
      <c r="M926" s="21" t="s">
        <v>1260</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7" customHeight="1" x14ac:dyDescent="0.25">
      <c r="B927" s="13" t="s">
        <v>26</v>
      </c>
      <c r="C927" s="13" t="s">
        <v>181</v>
      </c>
      <c r="D927" s="13" t="s">
        <v>1309</v>
      </c>
      <c r="E927" s="2" t="s">
        <v>38</v>
      </c>
      <c r="F927" s="13" t="s">
        <v>216</v>
      </c>
      <c r="G927" s="13" t="s">
        <v>273</v>
      </c>
      <c r="H927" s="58" t="str">
        <f>Table1[[#This Row],[Tabela]]&amp;Table1[[#This Row],[Campo]]</f>
        <v>modesg_inp_nfrd_alinhamento_taxwtr_capex_own_prfrmnce_algnd</v>
      </c>
      <c r="I927" s="2" t="s">
        <v>614</v>
      </c>
      <c r="J927" s="46">
        <f>VLOOKUP(Table1[[#This Row],[Status]],Auxiliar!$B$16:$C$24,2,0)</f>
        <v>1</v>
      </c>
      <c r="K927" s="21" t="s">
        <v>1255</v>
      </c>
      <c r="L927" s="2" t="s">
        <v>655</v>
      </c>
      <c r="M927" s="21" t="s">
        <v>1260</v>
      </c>
      <c r="N927" s="48">
        <v>45540</v>
      </c>
      <c r="O927" s="21">
        <f>INDEX(Auxiliar!$D$5:$F$13,MATCH(Table1[[#This Row],[Tipologia_Testes]],Auxiliar!$B$5:$B$13,0),MATCH(Table1[[#This Row],[Complexidade]],Auxiliar!$D$4:$F$4,0))</f>
        <v>0.1</v>
      </c>
      <c r="P927" s="2" t="s">
        <v>1326</v>
      </c>
      <c r="Q927" s="2"/>
      <c r="R927" s="152">
        <v>45261</v>
      </c>
      <c r="S927" s="152"/>
      <c r="T927" s="152"/>
      <c r="U927" s="152">
        <v>45603</v>
      </c>
      <c r="V927" s="152">
        <v>45534</v>
      </c>
      <c r="W927" s="2">
        <f>VLOOKUP(Table1[[#This Row],[Status]],Auxiliar!$B$16:$D$24,3,0)*Table1[[#This Row],[Estimação (horas)]]</f>
        <v>0.1</v>
      </c>
      <c r="X927" s="2"/>
    </row>
    <row r="928" spans="2:24" ht="17.7" customHeight="1" x14ac:dyDescent="0.25">
      <c r="B928" s="13" t="s">
        <v>26</v>
      </c>
      <c r="C928" s="13" t="s">
        <v>181</v>
      </c>
      <c r="D928" s="13" t="s">
        <v>1309</v>
      </c>
      <c r="E928" s="2" t="s">
        <v>38</v>
      </c>
      <c r="F928" s="13" t="s">
        <v>216</v>
      </c>
      <c r="G928" s="13" t="s">
        <v>273</v>
      </c>
      <c r="H928" s="58" t="str">
        <f>Table1[[#This Row],[Tabela]]&amp;Table1[[#This Row],[Campo]]</f>
        <v>modesg_inp_nfrd_alinhamento_taxwtr_capex_own_prfrmnce_algnd</v>
      </c>
      <c r="I928" s="2" t="s">
        <v>614</v>
      </c>
      <c r="J928" s="46">
        <f>VLOOKUP(Table1[[#This Row],[Status]],Auxiliar!$B$16:$C$24,2,0)</f>
        <v>1</v>
      </c>
      <c r="K928" s="21" t="s">
        <v>1263</v>
      </c>
      <c r="L928" s="2" t="s">
        <v>655</v>
      </c>
      <c r="M928" s="21" t="s">
        <v>1260</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7" customHeight="1" x14ac:dyDescent="0.25">
      <c r="B929" s="13" t="s">
        <v>26</v>
      </c>
      <c r="C929" s="13" t="s">
        <v>181</v>
      </c>
      <c r="D929" s="13" t="s">
        <v>1309</v>
      </c>
      <c r="E929" s="2" t="s">
        <v>38</v>
      </c>
      <c r="F929" s="13" t="s">
        <v>216</v>
      </c>
      <c r="G929" s="13" t="s">
        <v>274</v>
      </c>
      <c r="H929" s="58" t="str">
        <f>Table1[[#This Row],[Tabela]]&amp;Table1[[#This Row],[Campo]]</f>
        <v>modesg_inp_nfrd_alinhamento_taxce_trnvr_ttl_elgbl</v>
      </c>
      <c r="I929" s="2" t="s">
        <v>614</v>
      </c>
      <c r="J929" s="46">
        <f>VLOOKUP(Table1[[#This Row],[Status]],Auxiliar!$B$16:$C$24,2,0)</f>
        <v>1</v>
      </c>
      <c r="K929" s="21" t="s">
        <v>1255</v>
      </c>
      <c r="L929" s="2" t="s">
        <v>655</v>
      </c>
      <c r="M929" s="21" t="s">
        <v>1260</v>
      </c>
      <c r="N929" s="48">
        <v>45540</v>
      </c>
      <c r="O929" s="21">
        <f>INDEX(Auxiliar!$D$5:$F$13,MATCH(Table1[[#This Row],[Tipologia_Testes]],Auxiliar!$B$5:$B$13,0),MATCH(Table1[[#This Row],[Complexidade]],Auxiliar!$D$4:$F$4,0))</f>
        <v>0.1</v>
      </c>
      <c r="P929" s="2" t="s">
        <v>1326</v>
      </c>
      <c r="Q929" s="2"/>
      <c r="R929" s="152">
        <v>45261</v>
      </c>
      <c r="S929" s="152"/>
      <c r="T929" s="152"/>
      <c r="U929" s="152">
        <v>45603</v>
      </c>
      <c r="V929" s="152">
        <v>45534</v>
      </c>
      <c r="W929" s="2">
        <f>VLOOKUP(Table1[[#This Row],[Status]],Auxiliar!$B$16:$D$24,3,0)*Table1[[#This Row],[Estimação (horas)]]</f>
        <v>0.1</v>
      </c>
      <c r="X929" s="2"/>
    </row>
    <row r="930" spans="2:24" ht="17.7" customHeight="1" x14ac:dyDescent="0.25">
      <c r="B930" s="13" t="s">
        <v>26</v>
      </c>
      <c r="C930" s="13" t="s">
        <v>181</v>
      </c>
      <c r="D930" s="13" t="s">
        <v>1309</v>
      </c>
      <c r="E930" s="2" t="s">
        <v>38</v>
      </c>
      <c r="F930" s="13" t="s">
        <v>216</v>
      </c>
      <c r="G930" s="13" t="s">
        <v>274</v>
      </c>
      <c r="H930" s="58" t="str">
        <f>Table1[[#This Row],[Tabela]]&amp;Table1[[#This Row],[Campo]]</f>
        <v>modesg_inp_nfrd_alinhamento_taxce_trnvr_ttl_elgbl</v>
      </c>
      <c r="I930" s="2" t="s">
        <v>614</v>
      </c>
      <c r="J930" s="46">
        <f>VLOOKUP(Table1[[#This Row],[Status]],Auxiliar!$B$16:$C$24,2,0)</f>
        <v>1</v>
      </c>
      <c r="K930" s="21" t="s">
        <v>1263</v>
      </c>
      <c r="L930" s="2" t="s">
        <v>655</v>
      </c>
      <c r="M930" s="21" t="s">
        <v>1260</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7" customHeight="1" x14ac:dyDescent="0.25">
      <c r="B931" s="13" t="s">
        <v>26</v>
      </c>
      <c r="C931" s="13" t="s">
        <v>181</v>
      </c>
      <c r="D931" s="13" t="s">
        <v>1309</v>
      </c>
      <c r="E931" s="2" t="s">
        <v>38</v>
      </c>
      <c r="F931" s="13" t="s">
        <v>216</v>
      </c>
      <c r="G931" s="13" t="s">
        <v>275</v>
      </c>
      <c r="H931" s="58" t="str">
        <f>Table1[[#This Row],[Tabela]]&amp;Table1[[#This Row],[Campo]]</f>
        <v>modesg_inp_nfrd_alinhamento_taxce_trnvr_enblng_alignd</v>
      </c>
      <c r="I931" s="2" t="s">
        <v>614</v>
      </c>
      <c r="J931" s="46">
        <f>VLOOKUP(Table1[[#This Row],[Status]],Auxiliar!$B$16:$C$24,2,0)</f>
        <v>1</v>
      </c>
      <c r="K931" s="21" t="s">
        <v>1255</v>
      </c>
      <c r="L931" s="2" t="s">
        <v>655</v>
      </c>
      <c r="M931" s="21" t="s">
        <v>1260</v>
      </c>
      <c r="N931" s="48">
        <v>45540</v>
      </c>
      <c r="O931" s="21">
        <f>INDEX(Auxiliar!$D$5:$F$13,MATCH(Table1[[#This Row],[Tipologia_Testes]],Auxiliar!$B$5:$B$13,0),MATCH(Table1[[#This Row],[Complexidade]],Auxiliar!$D$4:$F$4,0))</f>
        <v>0.1</v>
      </c>
      <c r="P931" s="2" t="s">
        <v>1326</v>
      </c>
      <c r="Q931" s="2"/>
      <c r="R931" s="152">
        <v>45261</v>
      </c>
      <c r="S931" s="152"/>
      <c r="T931" s="152"/>
      <c r="U931" s="152">
        <v>45603</v>
      </c>
      <c r="V931" s="152">
        <v>45534</v>
      </c>
      <c r="W931" s="2">
        <f>VLOOKUP(Table1[[#This Row],[Status]],Auxiliar!$B$16:$D$24,3,0)*Table1[[#This Row],[Estimação (horas)]]</f>
        <v>0.1</v>
      </c>
      <c r="X931" s="2"/>
    </row>
    <row r="932" spans="2:24" ht="17.7" customHeight="1" x14ac:dyDescent="0.25">
      <c r="B932" s="13" t="s">
        <v>26</v>
      </c>
      <c r="C932" s="13" t="s">
        <v>181</v>
      </c>
      <c r="D932" s="13" t="s">
        <v>1309</v>
      </c>
      <c r="E932" s="2" t="s">
        <v>38</v>
      </c>
      <c r="F932" s="13" t="s">
        <v>216</v>
      </c>
      <c r="G932" s="13" t="s">
        <v>275</v>
      </c>
      <c r="H932" s="58" t="str">
        <f>Table1[[#This Row],[Tabela]]&amp;Table1[[#This Row],[Campo]]</f>
        <v>modesg_inp_nfrd_alinhamento_taxce_trnvr_enblng_alignd</v>
      </c>
      <c r="I932" s="2" t="s">
        <v>614</v>
      </c>
      <c r="J932" s="46">
        <f>VLOOKUP(Table1[[#This Row],[Status]],Auxiliar!$B$16:$C$24,2,0)</f>
        <v>1</v>
      </c>
      <c r="K932" s="21" t="s">
        <v>1263</v>
      </c>
      <c r="L932" s="2" t="s">
        <v>655</v>
      </c>
      <c r="M932" s="21" t="s">
        <v>1260</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7" customHeight="1" x14ac:dyDescent="0.25">
      <c r="B933" s="13" t="s">
        <v>26</v>
      </c>
      <c r="C933" s="13" t="s">
        <v>181</v>
      </c>
      <c r="D933" s="13" t="s">
        <v>1309</v>
      </c>
      <c r="E933" s="2" t="s">
        <v>38</v>
      </c>
      <c r="F933" s="13" t="s">
        <v>216</v>
      </c>
      <c r="G933" s="13" t="s">
        <v>276</v>
      </c>
      <c r="H933" s="58" t="str">
        <f>Table1[[#This Row],[Tabela]]&amp;Table1[[#This Row],[Campo]]</f>
        <v>modesg_inp_nfrd_alinhamento_taxce_turnover_own_prfrmnce_algnd</v>
      </c>
      <c r="I933" s="2" t="s">
        <v>614</v>
      </c>
      <c r="J933" s="46">
        <f>VLOOKUP(Table1[[#This Row],[Status]],Auxiliar!$B$16:$C$24,2,0)</f>
        <v>1</v>
      </c>
      <c r="K933" s="21" t="s">
        <v>1255</v>
      </c>
      <c r="L933" s="2" t="s">
        <v>655</v>
      </c>
      <c r="M933" s="21" t="s">
        <v>1260</v>
      </c>
      <c r="N933" s="48">
        <v>45540</v>
      </c>
      <c r="O933" s="21">
        <f>INDEX(Auxiliar!$D$5:$F$13,MATCH(Table1[[#This Row],[Tipologia_Testes]],Auxiliar!$B$5:$B$13,0),MATCH(Table1[[#This Row],[Complexidade]],Auxiliar!$D$4:$F$4,0))</f>
        <v>0.1</v>
      </c>
      <c r="P933" s="2" t="s">
        <v>1326</v>
      </c>
      <c r="Q933" s="2"/>
      <c r="R933" s="152">
        <v>45261</v>
      </c>
      <c r="S933" s="152"/>
      <c r="T933" s="152"/>
      <c r="U933" s="152">
        <v>45603</v>
      </c>
      <c r="V933" s="152">
        <v>45534</v>
      </c>
      <c r="W933" s="2">
        <f>VLOOKUP(Table1[[#This Row],[Status]],Auxiliar!$B$16:$D$24,3,0)*Table1[[#This Row],[Estimação (horas)]]</f>
        <v>0.1</v>
      </c>
      <c r="X933" s="2"/>
    </row>
    <row r="934" spans="2:24" ht="17.7" customHeight="1" x14ac:dyDescent="0.25">
      <c r="B934" s="13" t="s">
        <v>26</v>
      </c>
      <c r="C934" s="13" t="s">
        <v>181</v>
      </c>
      <c r="D934" s="13" t="s">
        <v>1309</v>
      </c>
      <c r="E934" s="2" t="s">
        <v>38</v>
      </c>
      <c r="F934" s="13" t="s">
        <v>216</v>
      </c>
      <c r="G934" s="13" t="s">
        <v>276</v>
      </c>
      <c r="H934" s="58" t="str">
        <f>Table1[[#This Row],[Tabela]]&amp;Table1[[#This Row],[Campo]]</f>
        <v>modesg_inp_nfrd_alinhamento_taxce_turnover_own_prfrmnce_algnd</v>
      </c>
      <c r="I934" s="2" t="s">
        <v>614</v>
      </c>
      <c r="J934" s="46">
        <f>VLOOKUP(Table1[[#This Row],[Status]],Auxiliar!$B$16:$C$24,2,0)</f>
        <v>1</v>
      </c>
      <c r="K934" s="21" t="s">
        <v>1263</v>
      </c>
      <c r="L934" s="2" t="s">
        <v>655</v>
      </c>
      <c r="M934" s="21" t="s">
        <v>1260</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7" customHeight="1" x14ac:dyDescent="0.25">
      <c r="B935" s="13" t="s">
        <v>26</v>
      </c>
      <c r="C935" s="13" t="s">
        <v>181</v>
      </c>
      <c r="D935" s="13" t="s">
        <v>1309</v>
      </c>
      <c r="E935" s="2" t="s">
        <v>38</v>
      </c>
      <c r="F935" s="13" t="s">
        <v>216</v>
      </c>
      <c r="G935" s="13" t="s">
        <v>277</v>
      </c>
      <c r="H935" s="58" t="str">
        <f>Table1[[#This Row],[Tabela]]&amp;Table1[[#This Row],[Campo]]</f>
        <v>modesg_inp_nfrd_alinhamento_taxce_capex_ttl_elgbl</v>
      </c>
      <c r="I935" s="2" t="s">
        <v>614</v>
      </c>
      <c r="J935" s="46">
        <f>VLOOKUP(Table1[[#This Row],[Status]],Auxiliar!$B$16:$C$24,2,0)</f>
        <v>1</v>
      </c>
      <c r="K935" s="21" t="s">
        <v>1255</v>
      </c>
      <c r="L935" s="2" t="s">
        <v>655</v>
      </c>
      <c r="M935" s="21" t="s">
        <v>1260</v>
      </c>
      <c r="N935" s="48">
        <v>45540</v>
      </c>
      <c r="O935" s="21">
        <f>INDEX(Auxiliar!$D$5:$F$13,MATCH(Table1[[#This Row],[Tipologia_Testes]],Auxiliar!$B$5:$B$13,0),MATCH(Table1[[#This Row],[Complexidade]],Auxiliar!$D$4:$F$4,0))</f>
        <v>0.1</v>
      </c>
      <c r="P935" s="2" t="s">
        <v>1326</v>
      </c>
      <c r="Q935" s="2"/>
      <c r="R935" s="152">
        <v>45261</v>
      </c>
      <c r="S935" s="152"/>
      <c r="T935" s="152"/>
      <c r="U935" s="152">
        <v>45603</v>
      </c>
      <c r="V935" s="152">
        <v>45534</v>
      </c>
      <c r="W935" s="2">
        <f>VLOOKUP(Table1[[#This Row],[Status]],Auxiliar!$B$16:$D$24,3,0)*Table1[[#This Row],[Estimação (horas)]]</f>
        <v>0.1</v>
      </c>
      <c r="X935" s="2"/>
    </row>
    <row r="936" spans="2:24" ht="17.7" customHeight="1" x14ac:dyDescent="0.25">
      <c r="B936" s="13" t="s">
        <v>26</v>
      </c>
      <c r="C936" s="13" t="s">
        <v>181</v>
      </c>
      <c r="D936" s="13" t="s">
        <v>1309</v>
      </c>
      <c r="E936" s="2" t="s">
        <v>38</v>
      </c>
      <c r="F936" s="13" t="s">
        <v>216</v>
      </c>
      <c r="G936" s="13" t="s">
        <v>277</v>
      </c>
      <c r="H936" s="58" t="str">
        <f>Table1[[#This Row],[Tabela]]&amp;Table1[[#This Row],[Campo]]</f>
        <v>modesg_inp_nfrd_alinhamento_taxce_capex_ttl_elgbl</v>
      </c>
      <c r="I936" s="2" t="s">
        <v>614</v>
      </c>
      <c r="J936" s="46">
        <f>VLOOKUP(Table1[[#This Row],[Status]],Auxiliar!$B$16:$C$24,2,0)</f>
        <v>1</v>
      </c>
      <c r="K936" s="21" t="s">
        <v>1263</v>
      </c>
      <c r="L936" s="2" t="s">
        <v>655</v>
      </c>
      <c r="M936" s="21" t="s">
        <v>1260</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7" customHeight="1" x14ac:dyDescent="0.25">
      <c r="B937" s="13" t="s">
        <v>26</v>
      </c>
      <c r="C937" s="13" t="s">
        <v>181</v>
      </c>
      <c r="D937" s="13" t="s">
        <v>1309</v>
      </c>
      <c r="E937" s="2" t="s">
        <v>38</v>
      </c>
      <c r="F937" s="13" t="s">
        <v>216</v>
      </c>
      <c r="G937" s="13" t="s">
        <v>278</v>
      </c>
      <c r="H937" s="58" t="str">
        <f>Table1[[#This Row],[Tabela]]&amp;Table1[[#This Row],[Campo]]</f>
        <v>modesg_inp_nfrd_alinhamento_taxce_capex_enblng_algnd</v>
      </c>
      <c r="I937" s="2" t="s">
        <v>614</v>
      </c>
      <c r="J937" s="46">
        <f>VLOOKUP(Table1[[#This Row],[Status]],Auxiliar!$B$16:$C$24,2,0)</f>
        <v>1</v>
      </c>
      <c r="K937" s="21" t="s">
        <v>1255</v>
      </c>
      <c r="L937" s="2" t="s">
        <v>655</v>
      </c>
      <c r="M937" s="21" t="s">
        <v>1260</v>
      </c>
      <c r="N937" s="48">
        <v>45540</v>
      </c>
      <c r="O937" s="21">
        <f>INDEX(Auxiliar!$D$5:$F$13,MATCH(Table1[[#This Row],[Tipologia_Testes]],Auxiliar!$B$5:$B$13,0),MATCH(Table1[[#This Row],[Complexidade]],Auxiliar!$D$4:$F$4,0))</f>
        <v>0.1</v>
      </c>
      <c r="P937" s="2" t="s">
        <v>1326</v>
      </c>
      <c r="Q937" s="2"/>
      <c r="R937" s="152">
        <v>45261</v>
      </c>
      <c r="S937" s="152"/>
      <c r="T937" s="152"/>
      <c r="U937" s="152">
        <v>45603</v>
      </c>
      <c r="V937" s="152">
        <v>45534</v>
      </c>
      <c r="W937" s="2">
        <f>VLOOKUP(Table1[[#This Row],[Status]],Auxiliar!$B$16:$D$24,3,0)*Table1[[#This Row],[Estimação (horas)]]</f>
        <v>0.1</v>
      </c>
      <c r="X937" s="2"/>
    </row>
    <row r="938" spans="2:24" ht="17.7" customHeight="1" x14ac:dyDescent="0.25">
      <c r="B938" s="13" t="s">
        <v>26</v>
      </c>
      <c r="C938" s="13" t="s">
        <v>181</v>
      </c>
      <c r="D938" s="13" t="s">
        <v>1309</v>
      </c>
      <c r="E938" s="2" t="s">
        <v>38</v>
      </c>
      <c r="F938" s="13" t="s">
        <v>216</v>
      </c>
      <c r="G938" s="13" t="s">
        <v>278</v>
      </c>
      <c r="H938" s="58" t="str">
        <f>Table1[[#This Row],[Tabela]]&amp;Table1[[#This Row],[Campo]]</f>
        <v>modesg_inp_nfrd_alinhamento_taxce_capex_enblng_algnd</v>
      </c>
      <c r="I938" s="2" t="s">
        <v>614</v>
      </c>
      <c r="J938" s="46">
        <f>VLOOKUP(Table1[[#This Row],[Status]],Auxiliar!$B$16:$C$24,2,0)</f>
        <v>1</v>
      </c>
      <c r="K938" s="21" t="s">
        <v>1263</v>
      </c>
      <c r="L938" s="2" t="s">
        <v>655</v>
      </c>
      <c r="M938" s="21" t="s">
        <v>1260</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7" customHeight="1" x14ac:dyDescent="0.25">
      <c r="B939" s="13" t="s">
        <v>26</v>
      </c>
      <c r="C939" s="13" t="s">
        <v>181</v>
      </c>
      <c r="D939" s="13" t="s">
        <v>1309</v>
      </c>
      <c r="E939" s="2" t="s">
        <v>38</v>
      </c>
      <c r="F939" s="13" t="s">
        <v>216</v>
      </c>
      <c r="G939" s="13" t="s">
        <v>279</v>
      </c>
      <c r="H939" s="58" t="str">
        <f>Table1[[#This Row],[Tabela]]&amp;Table1[[#This Row],[Campo]]</f>
        <v>modesg_inp_nfrd_alinhamento_taxce_capex_own_prfrmnce_algnd</v>
      </c>
      <c r="I939" s="2" t="s">
        <v>614</v>
      </c>
      <c r="J939" s="46">
        <f>VLOOKUP(Table1[[#This Row],[Status]],Auxiliar!$B$16:$C$24,2,0)</f>
        <v>1</v>
      </c>
      <c r="K939" s="21" t="s">
        <v>1255</v>
      </c>
      <c r="L939" s="2" t="s">
        <v>655</v>
      </c>
      <c r="M939" s="21" t="s">
        <v>1260</v>
      </c>
      <c r="N939" s="48">
        <v>45540</v>
      </c>
      <c r="O939" s="21">
        <f>INDEX(Auxiliar!$D$5:$F$13,MATCH(Table1[[#This Row],[Tipologia_Testes]],Auxiliar!$B$5:$B$13,0),MATCH(Table1[[#This Row],[Complexidade]],Auxiliar!$D$4:$F$4,0))</f>
        <v>0.1</v>
      </c>
      <c r="P939" s="2" t="s">
        <v>1326</v>
      </c>
      <c r="Q939" s="2"/>
      <c r="R939" s="152">
        <v>45261</v>
      </c>
      <c r="S939" s="152"/>
      <c r="T939" s="152"/>
      <c r="U939" s="152">
        <v>45603</v>
      </c>
      <c r="V939" s="152">
        <v>45534</v>
      </c>
      <c r="W939" s="2">
        <f>VLOOKUP(Table1[[#This Row],[Status]],Auxiliar!$B$16:$D$24,3,0)*Table1[[#This Row],[Estimação (horas)]]</f>
        <v>0.1</v>
      </c>
      <c r="X939" s="2"/>
    </row>
    <row r="940" spans="2:24" ht="17.7" customHeight="1" x14ac:dyDescent="0.25">
      <c r="B940" s="13" t="s">
        <v>26</v>
      </c>
      <c r="C940" s="13" t="s">
        <v>181</v>
      </c>
      <c r="D940" s="13" t="s">
        <v>1309</v>
      </c>
      <c r="E940" s="2" t="s">
        <v>38</v>
      </c>
      <c r="F940" s="13" t="s">
        <v>216</v>
      </c>
      <c r="G940" s="13" t="s">
        <v>279</v>
      </c>
      <c r="H940" s="58" t="str">
        <f>Table1[[#This Row],[Tabela]]&amp;Table1[[#This Row],[Campo]]</f>
        <v>modesg_inp_nfrd_alinhamento_taxce_capex_own_prfrmnce_algnd</v>
      </c>
      <c r="I940" s="2" t="s">
        <v>614</v>
      </c>
      <c r="J940" s="46">
        <f>VLOOKUP(Table1[[#This Row],[Status]],Auxiliar!$B$16:$C$24,2,0)</f>
        <v>1</v>
      </c>
      <c r="K940" s="21" t="s">
        <v>1263</v>
      </c>
      <c r="L940" s="2" t="s">
        <v>655</v>
      </c>
      <c r="M940" s="21" t="s">
        <v>1260</v>
      </c>
      <c r="N940" s="48">
        <v>45540</v>
      </c>
      <c r="O940" s="21">
        <f>INDEX(Auxiliar!$D$5:$F$13,MATCH(Table1[[#This Row],[Tipologia_Testes]],Auxiliar!$B$5:$B$13,0),MATCH(Table1[[#This Row],[Complexidade]],Auxiliar!$D$4:$F$4,0))</f>
        <v>0.5</v>
      </c>
      <c r="P940" s="2"/>
      <c r="Q940" s="2"/>
      <c r="R940" s="152">
        <v>45261</v>
      </c>
      <c r="S940" s="152"/>
      <c r="T940" s="152"/>
      <c r="U940" s="152">
        <v>45603</v>
      </c>
      <c r="V940" s="152">
        <v>45534</v>
      </c>
      <c r="W940" s="2">
        <f>VLOOKUP(Table1[[#This Row],[Status]],Auxiliar!$B$16:$D$24,3,0)*Table1[[#This Row],[Estimação (horas)]]</f>
        <v>0.5</v>
      </c>
      <c r="X940" s="2"/>
    </row>
    <row r="941" spans="2:24" ht="17.7" customHeight="1" x14ac:dyDescent="0.25">
      <c r="B941" s="13" t="s">
        <v>26</v>
      </c>
      <c r="C941" s="13" t="s">
        <v>181</v>
      </c>
      <c r="D941" s="13" t="s">
        <v>1310</v>
      </c>
      <c r="E941" s="2" t="s">
        <v>38</v>
      </c>
      <c r="F941" s="13" t="s">
        <v>217</v>
      </c>
      <c r="G941" s="13" t="s">
        <v>208</v>
      </c>
      <c r="H941" s="58" t="str">
        <f>Table1[[#This Row],[Tabela]]&amp;Table1[[#This Row],[Campo]]</f>
        <v>modesg_inp_risco_fisicoref_date</v>
      </c>
      <c r="I941" s="3" t="s">
        <v>614</v>
      </c>
      <c r="J941" s="54">
        <f>VLOOKUP(Table1[[#This Row],[Status]],Auxiliar!$B$16:$C$24,2,0)</f>
        <v>1</v>
      </c>
      <c r="K941" s="21" t="s">
        <v>1263</v>
      </c>
      <c r="L941" s="2" t="s">
        <v>655</v>
      </c>
      <c r="M941" s="21" t="s">
        <v>1260</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1321</v>
      </c>
    </row>
    <row r="942" spans="2:24" ht="17.7" customHeight="1" x14ac:dyDescent="0.25">
      <c r="B942" s="13" t="s">
        <v>26</v>
      </c>
      <c r="C942" s="13" t="s">
        <v>181</v>
      </c>
      <c r="D942" s="13" t="s">
        <v>1310</v>
      </c>
      <c r="E942" s="2" t="s">
        <v>38</v>
      </c>
      <c r="F942" s="13" t="s">
        <v>217</v>
      </c>
      <c r="G942" s="13" t="s">
        <v>280</v>
      </c>
      <c r="H942" s="58" t="str">
        <f>Table1[[#This Row],[Tabela]]&amp;Table1[[#This Row],[Campo]]</f>
        <v>modesg_inp_risco_fisicocod_pais</v>
      </c>
      <c r="I942" s="3" t="s">
        <v>614</v>
      </c>
      <c r="J942" s="54">
        <f>VLOOKUP(Table1[[#This Row],[Status]],Auxiliar!$B$16:$C$24,2,0)</f>
        <v>1</v>
      </c>
      <c r="K942" s="21" t="s">
        <v>1255</v>
      </c>
      <c r="L942" s="2" t="s">
        <v>1258</v>
      </c>
      <c r="M942" s="21" t="s">
        <v>1260</v>
      </c>
      <c r="N942" s="48">
        <v>45485</v>
      </c>
      <c r="O942" s="21">
        <f>INDEX(Auxiliar!$D$5:$F$13,MATCH(Table1[[#This Row],[Tipologia_Testes]],Auxiliar!$B$5:$B$13,0),MATCH(Table1[[#This Row],[Complexidade]],Auxiliar!$D$4:$F$4,0))</f>
        <v>0.1</v>
      </c>
      <c r="P942" s="2" t="s">
        <v>1327</v>
      </c>
      <c r="Q942" s="2"/>
      <c r="R942" s="152">
        <v>45261</v>
      </c>
      <c r="S942" s="152"/>
      <c r="T942" s="152"/>
      <c r="U942" s="152">
        <v>45603</v>
      </c>
      <c r="V942" s="152"/>
      <c r="W942" s="2">
        <f>VLOOKUP(Table1[[#This Row],[Status]],Auxiliar!$B$16:$D$24,3,0)*Table1[[#This Row],[Estimação (horas)]]</f>
        <v>0.1</v>
      </c>
      <c r="X942" s="2" t="s">
        <v>1321</v>
      </c>
    </row>
    <row r="943" spans="2:24" ht="17.7" customHeight="1" x14ac:dyDescent="0.25">
      <c r="B943" s="13" t="s">
        <v>26</v>
      </c>
      <c r="C943" s="13" t="s">
        <v>181</v>
      </c>
      <c r="D943" s="13" t="s">
        <v>1310</v>
      </c>
      <c r="E943" s="2" t="s">
        <v>38</v>
      </c>
      <c r="F943" s="13" t="s">
        <v>217</v>
      </c>
      <c r="G943" s="13" t="s">
        <v>280</v>
      </c>
      <c r="H943" s="58" t="str">
        <f>Table1[[#This Row],[Tabela]]&amp;Table1[[#This Row],[Campo]]</f>
        <v>modesg_inp_risco_fisicocod_pais</v>
      </c>
      <c r="I943" s="3" t="s">
        <v>614</v>
      </c>
      <c r="J943" s="54">
        <f>VLOOKUP(Table1[[#This Row],[Status]],Auxiliar!$B$16:$C$24,2,0)</f>
        <v>1</v>
      </c>
      <c r="K943" s="21" t="s">
        <v>1263</v>
      </c>
      <c r="L943" s="2" t="s">
        <v>1258</v>
      </c>
      <c r="M943" s="21" t="s">
        <v>1260</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1321</v>
      </c>
    </row>
    <row r="944" spans="2:24" ht="17.7" customHeight="1" x14ac:dyDescent="0.25">
      <c r="B944" s="13" t="s">
        <v>26</v>
      </c>
      <c r="C944" s="13" t="s">
        <v>181</v>
      </c>
      <c r="D944" s="13" t="s">
        <v>1310</v>
      </c>
      <c r="E944" s="2" t="s">
        <v>38</v>
      </c>
      <c r="F944" s="13" t="s">
        <v>217</v>
      </c>
      <c r="G944" s="13" t="s">
        <v>281</v>
      </c>
      <c r="H944" s="58" t="str">
        <f>Table1[[#This Row],[Tabela]]&amp;Table1[[#This Row],[Campo]]</f>
        <v>modesg_inp_risco_fisicocod_nutiii</v>
      </c>
      <c r="I944" s="3" t="s">
        <v>614</v>
      </c>
      <c r="J944" s="54">
        <f>VLOOKUP(Table1[[#This Row],[Status]],Auxiliar!$B$16:$C$24,2,0)</f>
        <v>1</v>
      </c>
      <c r="K944" s="21" t="s">
        <v>1263</v>
      </c>
      <c r="L944" s="2" t="s">
        <v>1258</v>
      </c>
      <c r="M944" s="21" t="s">
        <v>1260</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1321</v>
      </c>
    </row>
    <row r="945" spans="2:24" ht="17.7" customHeight="1" x14ac:dyDescent="0.25">
      <c r="B945" s="13" t="s">
        <v>26</v>
      </c>
      <c r="C945" s="13" t="s">
        <v>181</v>
      </c>
      <c r="D945" s="13" t="s">
        <v>1310</v>
      </c>
      <c r="E945" s="2" t="s">
        <v>38</v>
      </c>
      <c r="F945" s="13" t="s">
        <v>217</v>
      </c>
      <c r="G945" s="13" t="s">
        <v>282</v>
      </c>
      <c r="H945" s="58" t="str">
        <f>Table1[[#This Row],[Tabela]]&amp;Table1[[#This Row],[Campo]]</f>
        <v>modesg_inp_risco_fisicocod_nace_esg</v>
      </c>
      <c r="I945" s="3" t="s">
        <v>614</v>
      </c>
      <c r="J945" s="54">
        <f>VLOOKUP(Table1[[#This Row],[Status]],Auxiliar!$B$16:$C$24,2,0)</f>
        <v>1</v>
      </c>
      <c r="K945" s="21" t="s">
        <v>1255</v>
      </c>
      <c r="L945" s="2" t="s">
        <v>1258</v>
      </c>
      <c r="M945" s="21" t="s">
        <v>1260</v>
      </c>
      <c r="N945" s="48">
        <v>45569</v>
      </c>
      <c r="O945" s="21">
        <f>INDEX(Auxiliar!$D$5:$F$13,MATCH(Table1[[#This Row],[Tipologia_Testes]],Auxiliar!$B$5:$B$13,0),MATCH(Table1[[#This Row],[Complexidade]],Auxiliar!$D$4:$F$4,0))</f>
        <v>0.1</v>
      </c>
      <c r="P945" s="2" t="s">
        <v>1327</v>
      </c>
      <c r="Q945" s="2"/>
      <c r="R945" s="152">
        <v>45261</v>
      </c>
      <c r="S945" s="152"/>
      <c r="T945" s="152"/>
      <c r="U945" s="152">
        <v>45603</v>
      </c>
      <c r="V945" s="152"/>
      <c r="W945" s="2">
        <f>VLOOKUP(Table1[[#This Row],[Status]],Auxiliar!$B$16:$D$24,3,0)*Table1[[#This Row],[Estimação (horas)]]</f>
        <v>0.1</v>
      </c>
      <c r="X945" s="2" t="s">
        <v>1321</v>
      </c>
    </row>
    <row r="946" spans="2:24" ht="17.7" customHeight="1" x14ac:dyDescent="0.25">
      <c r="B946" s="13" t="s">
        <v>26</v>
      </c>
      <c r="C946" s="13" t="s">
        <v>181</v>
      </c>
      <c r="D946" s="13" t="s">
        <v>1310</v>
      </c>
      <c r="E946" s="2" t="s">
        <v>38</v>
      </c>
      <c r="F946" s="13" t="s">
        <v>217</v>
      </c>
      <c r="G946" s="13" t="s">
        <v>282</v>
      </c>
      <c r="H946" s="58" t="str">
        <f>Table1[[#This Row],[Tabela]]&amp;Table1[[#This Row],[Campo]]</f>
        <v>modesg_inp_risco_fisicocod_nace_esg</v>
      </c>
      <c r="I946" s="3" t="s">
        <v>614</v>
      </c>
      <c r="J946" s="54">
        <f>VLOOKUP(Table1[[#This Row],[Status]],Auxiliar!$B$16:$C$24,2,0)</f>
        <v>1</v>
      </c>
      <c r="K946" s="21" t="s">
        <v>1263</v>
      </c>
      <c r="L946" s="2" t="s">
        <v>1258</v>
      </c>
      <c r="M946" s="21" t="s">
        <v>1260</v>
      </c>
      <c r="N946" s="48">
        <v>45569</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1321</v>
      </c>
    </row>
    <row r="947" spans="2:24" ht="17.7" customHeight="1" x14ac:dyDescent="0.25">
      <c r="B947" s="13" t="s">
        <v>26</v>
      </c>
      <c r="C947" s="13" t="s">
        <v>181</v>
      </c>
      <c r="D947" s="13" t="s">
        <v>1310</v>
      </c>
      <c r="E947" s="2" t="s">
        <v>38</v>
      </c>
      <c r="F947" s="13" t="s">
        <v>217</v>
      </c>
      <c r="G947" s="13" t="s">
        <v>283</v>
      </c>
      <c r="H947" s="58" t="str">
        <f>Table1[[#This Row],[Tabela]]&amp;Table1[[#This Row],[Campo]]</f>
        <v>modesg_inp_risco_fisicoflg_rsc_fsc_agd</v>
      </c>
      <c r="I947" s="3" t="s">
        <v>614</v>
      </c>
      <c r="J947" s="54">
        <f>VLOOKUP(Table1[[#This Row],[Status]],Auxiliar!$B$16:$C$24,2,0)</f>
        <v>1</v>
      </c>
      <c r="K947" s="21" t="s">
        <v>1255</v>
      </c>
      <c r="L947" s="2" t="s">
        <v>1258</v>
      </c>
      <c r="M947" s="21" t="s">
        <v>1260</v>
      </c>
      <c r="N947" s="48">
        <v>45485</v>
      </c>
      <c r="O947" s="21">
        <f>INDEX(Auxiliar!$D$5:$F$13,MATCH(Table1[[#This Row],[Tipologia_Testes]],Auxiliar!$B$5:$B$13,0),MATCH(Table1[[#This Row],[Complexidade]],Auxiliar!$D$4:$F$4,0))</f>
        <v>0.1</v>
      </c>
      <c r="P947" s="2" t="s">
        <v>1328</v>
      </c>
      <c r="Q947" s="2"/>
      <c r="R947" s="152">
        <v>45261</v>
      </c>
      <c r="S947" s="152"/>
      <c r="T947" s="152"/>
      <c r="U947" s="152">
        <v>45603</v>
      </c>
      <c r="V947" s="152"/>
      <c r="W947" s="2">
        <f>VLOOKUP(Table1[[#This Row],[Status]],Auxiliar!$B$16:$D$24,3,0)*Table1[[#This Row],[Estimação (horas)]]</f>
        <v>0.1</v>
      </c>
      <c r="X947" s="2" t="s">
        <v>1321</v>
      </c>
    </row>
    <row r="948" spans="2:24" ht="17.7" customHeight="1" x14ac:dyDescent="0.25">
      <c r="B948" s="13" t="s">
        <v>26</v>
      </c>
      <c r="C948" s="13" t="s">
        <v>181</v>
      </c>
      <c r="D948" s="13" t="s">
        <v>1310</v>
      </c>
      <c r="E948" s="2" t="s">
        <v>38</v>
      </c>
      <c r="F948" s="13" t="s">
        <v>217</v>
      </c>
      <c r="G948" s="13" t="s">
        <v>283</v>
      </c>
      <c r="H948" s="58" t="str">
        <f>Table1[[#This Row],[Tabela]]&amp;Table1[[#This Row],[Campo]]</f>
        <v>modesg_inp_risco_fisicoflg_rsc_fsc_agd</v>
      </c>
      <c r="I948" s="3" t="s">
        <v>614</v>
      </c>
      <c r="J948" s="54">
        <f>VLOOKUP(Table1[[#This Row],[Status]],Auxiliar!$B$16:$C$24,2,0)</f>
        <v>1</v>
      </c>
      <c r="K948" s="21" t="s">
        <v>1263</v>
      </c>
      <c r="L948" s="2" t="s">
        <v>1258</v>
      </c>
      <c r="M948" s="21" t="s">
        <v>1260</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1321</v>
      </c>
    </row>
    <row r="949" spans="2:24" ht="17.7" customHeight="1" x14ac:dyDescent="0.25">
      <c r="B949" s="13" t="s">
        <v>26</v>
      </c>
      <c r="C949" s="13" t="s">
        <v>181</v>
      </c>
      <c r="D949" s="13" t="s">
        <v>1310</v>
      </c>
      <c r="E949" s="2" t="s">
        <v>38</v>
      </c>
      <c r="F949" s="13" t="s">
        <v>217</v>
      </c>
      <c r="G949" s="13" t="s">
        <v>284</v>
      </c>
      <c r="H949" s="58" t="str">
        <f>Table1[[#This Row],[Tabela]]&amp;Table1[[#This Row],[Campo]]</f>
        <v>modesg_inp_risco_fisicoflg_rsc_fsc_crnc</v>
      </c>
      <c r="I949" s="3" t="s">
        <v>614</v>
      </c>
      <c r="J949" s="54">
        <f>VLOOKUP(Table1[[#This Row],[Status]],Auxiliar!$B$16:$C$24,2,0)</f>
        <v>1</v>
      </c>
      <c r="K949" s="21" t="s">
        <v>1255</v>
      </c>
      <c r="L949" s="2" t="s">
        <v>1258</v>
      </c>
      <c r="M949" s="21" t="s">
        <v>1260</v>
      </c>
      <c r="N949" s="48">
        <v>45485</v>
      </c>
      <c r="O949" s="21">
        <f>INDEX(Auxiliar!$D$5:$F$13,MATCH(Table1[[#This Row],[Tipologia_Testes]],Auxiliar!$B$5:$B$13,0),MATCH(Table1[[#This Row],[Complexidade]],Auxiliar!$D$4:$F$4,0))</f>
        <v>0.1</v>
      </c>
      <c r="P949" s="2" t="s">
        <v>1328</v>
      </c>
      <c r="Q949" s="2"/>
      <c r="R949" s="152">
        <v>45261</v>
      </c>
      <c r="S949" s="152"/>
      <c r="T949" s="152"/>
      <c r="U949" s="152">
        <v>45603</v>
      </c>
      <c r="V949" s="152"/>
      <c r="W949" s="2">
        <f>VLOOKUP(Table1[[#This Row],[Status]],Auxiliar!$B$16:$D$24,3,0)*Table1[[#This Row],[Estimação (horas)]]</f>
        <v>0.1</v>
      </c>
      <c r="X949" s="2" t="s">
        <v>1321</v>
      </c>
    </row>
    <row r="950" spans="2:24" ht="17.7" customHeight="1" x14ac:dyDescent="0.25">
      <c r="B950" s="13" t="s">
        <v>26</v>
      </c>
      <c r="C950" s="13" t="s">
        <v>181</v>
      </c>
      <c r="D950" s="13" t="s">
        <v>1310</v>
      </c>
      <c r="E950" s="2" t="s">
        <v>38</v>
      </c>
      <c r="F950" s="13" t="s">
        <v>217</v>
      </c>
      <c r="G950" s="13" t="s">
        <v>284</v>
      </c>
      <c r="H950" s="58" t="str">
        <f>Table1[[#This Row],[Tabela]]&amp;Table1[[#This Row],[Campo]]</f>
        <v>modesg_inp_risco_fisicoflg_rsc_fsc_crnc</v>
      </c>
      <c r="I950" s="3" t="s">
        <v>614</v>
      </c>
      <c r="J950" s="54">
        <f>VLOOKUP(Table1[[#This Row],[Status]],Auxiliar!$B$16:$C$24,2,0)</f>
        <v>1</v>
      </c>
      <c r="K950" s="21" t="s">
        <v>1263</v>
      </c>
      <c r="L950" s="2" t="s">
        <v>1258</v>
      </c>
      <c r="M950" s="21" t="s">
        <v>1260</v>
      </c>
      <c r="N950" s="48">
        <v>45485</v>
      </c>
      <c r="O950" s="21">
        <f>INDEX(Auxiliar!$D$5:$F$13,MATCH(Table1[[#This Row],[Tipologia_Testes]],Auxiliar!$B$5:$B$13,0),MATCH(Table1[[#This Row],[Complexidade]],Auxiliar!$D$4:$F$4,0))</f>
        <v>0.5</v>
      </c>
      <c r="P950" s="2"/>
      <c r="Q950" s="2"/>
      <c r="R950" s="152">
        <v>45261</v>
      </c>
      <c r="S950" s="152"/>
      <c r="T950" s="152"/>
      <c r="U950" s="152">
        <v>45603</v>
      </c>
      <c r="V950" s="152"/>
      <c r="W950" s="2">
        <f>VLOOKUP(Table1[[#This Row],[Status]],Auxiliar!$B$16:$D$24,3,0)*Table1[[#This Row],[Estimação (horas)]]</f>
        <v>0.5</v>
      </c>
      <c r="X950" s="2" t="s">
        <v>1321</v>
      </c>
    </row>
    <row r="951" spans="2:24" ht="17.7" customHeight="1" x14ac:dyDescent="0.25">
      <c r="B951" s="13" t="s">
        <v>26</v>
      </c>
      <c r="C951" s="13" t="s">
        <v>181</v>
      </c>
      <c r="D951" s="13" t="s">
        <v>1302</v>
      </c>
      <c r="E951" s="2" t="s">
        <v>38</v>
      </c>
      <c r="F951" s="13" t="s">
        <v>218</v>
      </c>
      <c r="G951" s="13" t="s">
        <v>208</v>
      </c>
      <c r="H951" s="58" t="str">
        <f>Table1[[#This Row],[Tabela]]&amp;Table1[[#This Row],[Campo]]</f>
        <v>modesg_inp_emss_scibref_date</v>
      </c>
      <c r="I951" s="2" t="s">
        <v>614</v>
      </c>
      <c r="J951" s="46">
        <f>VLOOKUP(Table1[[#This Row],[Status]],Auxiliar!$B$16:$C$24,2,0)</f>
        <v>1</v>
      </c>
      <c r="K951" s="21" t="s">
        <v>1263</v>
      </c>
      <c r="L951" s="2" t="s">
        <v>1258</v>
      </c>
      <c r="M951" s="21" t="s">
        <v>1260</v>
      </c>
      <c r="N951" s="48">
        <v>45490</v>
      </c>
      <c r="O951" s="21">
        <f>INDEX(Auxiliar!$D$5:$F$13,MATCH(Table1[[#This Row],[Tipologia_Testes]],Auxiliar!$B$5:$B$13,0),MATCH(Table1[[#This Row],[Complexidade]],Auxiliar!$D$4:$F$4,0))</f>
        <v>0.5</v>
      </c>
      <c r="P951" s="2"/>
      <c r="Q951" s="2" t="s">
        <v>1305</v>
      </c>
      <c r="R951" s="152">
        <v>45261</v>
      </c>
      <c r="S951" s="152"/>
      <c r="T951" s="152"/>
      <c r="U951" s="152">
        <v>45603</v>
      </c>
      <c r="V951" s="152"/>
      <c r="W951" s="2">
        <f>VLOOKUP(Table1[[#This Row],[Status]],Auxiliar!$B$16:$D$24,3,0)*Table1[[#This Row],[Estimação (horas)]]</f>
        <v>0.5</v>
      </c>
      <c r="X951" s="2"/>
    </row>
    <row r="952" spans="2:24" ht="17.7" customHeight="1" x14ac:dyDescent="0.25">
      <c r="B952" s="13" t="s">
        <v>26</v>
      </c>
      <c r="C952" s="13" t="s">
        <v>181</v>
      </c>
      <c r="D952" s="13" t="s">
        <v>1302</v>
      </c>
      <c r="E952" s="2" t="s">
        <v>38</v>
      </c>
      <c r="F952" s="13" t="s">
        <v>218</v>
      </c>
      <c r="G952" s="13" t="s">
        <v>241</v>
      </c>
      <c r="H952" s="58" t="str">
        <f>Table1[[#This Row],[Tabela]]&amp;Table1[[#This Row],[Campo]]</f>
        <v>modesg_inp_emss_scibccli_kgl</v>
      </c>
      <c r="I952" s="2" t="s">
        <v>614</v>
      </c>
      <c r="J952" s="46">
        <f>VLOOKUP(Table1[[#This Row],[Status]],Auxiliar!$B$16:$C$24,2,0)</f>
        <v>1</v>
      </c>
      <c r="K952" s="21" t="s">
        <v>1255</v>
      </c>
      <c r="L952" s="2" t="s">
        <v>1258</v>
      </c>
      <c r="M952" s="21" t="s">
        <v>1260</v>
      </c>
      <c r="N952" s="48">
        <v>45490</v>
      </c>
      <c r="O952" s="21">
        <f>INDEX(Auxiliar!$D$5:$F$13,MATCH(Table1[[#This Row],[Tipologia_Testes]],Auxiliar!$B$5:$B$13,0),MATCH(Table1[[#This Row],[Complexidade]],Auxiliar!$D$4:$F$4,0))</f>
        <v>0.1</v>
      </c>
      <c r="P952" s="2" t="s">
        <v>1322</v>
      </c>
      <c r="Q952" s="2" t="s">
        <v>1305</v>
      </c>
      <c r="R952" s="152">
        <v>45261</v>
      </c>
      <c r="S952" s="152"/>
      <c r="T952" s="152"/>
      <c r="U952" s="152">
        <v>45603</v>
      </c>
      <c r="V952" s="152"/>
      <c r="W952" s="2">
        <f>VLOOKUP(Table1[[#This Row],[Status]],Auxiliar!$B$16:$D$24,3,0)*Table1[[#This Row],[Estimação (horas)]]</f>
        <v>0.1</v>
      </c>
      <c r="X952" s="2"/>
    </row>
    <row r="953" spans="2:24" ht="17.7" customHeight="1" x14ac:dyDescent="0.25">
      <c r="B953" s="13" t="s">
        <v>26</v>
      </c>
      <c r="C953" s="13" t="s">
        <v>181</v>
      </c>
      <c r="D953" s="13" t="s">
        <v>1302</v>
      </c>
      <c r="E953" s="2" t="s">
        <v>38</v>
      </c>
      <c r="F953" s="13" t="s">
        <v>218</v>
      </c>
      <c r="G953" s="13" t="s">
        <v>241</v>
      </c>
      <c r="H953" s="58" t="str">
        <f>Table1[[#This Row],[Tabela]]&amp;Table1[[#This Row],[Campo]]</f>
        <v>modesg_inp_emss_scibccli_kgl</v>
      </c>
      <c r="I953" s="2" t="s">
        <v>614</v>
      </c>
      <c r="J953" s="46">
        <f>VLOOKUP(Table1[[#This Row],[Status]],Auxiliar!$B$16:$C$24,2,0)</f>
        <v>1</v>
      </c>
      <c r="K953" s="21" t="s">
        <v>1263</v>
      </c>
      <c r="L953" s="2" t="s">
        <v>1258</v>
      </c>
      <c r="M953" s="21" t="s">
        <v>1260</v>
      </c>
      <c r="N953" s="48">
        <v>45490</v>
      </c>
      <c r="O953" s="21">
        <f>INDEX(Auxiliar!$D$5:$F$13,MATCH(Table1[[#This Row],[Tipologia_Testes]],Auxiliar!$B$5:$B$13,0),MATCH(Table1[[#This Row],[Complexidade]],Auxiliar!$D$4:$F$4,0))</f>
        <v>0.5</v>
      </c>
      <c r="P953" s="2"/>
      <c r="Q953" s="2" t="s">
        <v>1305</v>
      </c>
      <c r="R953" s="152">
        <v>45261</v>
      </c>
      <c r="S953" s="152"/>
      <c r="T953" s="152"/>
      <c r="U953" s="152">
        <v>45603</v>
      </c>
      <c r="V953" s="152"/>
      <c r="W953" s="2">
        <f>VLOOKUP(Table1[[#This Row],[Status]],Auxiliar!$B$16:$D$24,3,0)*Table1[[#This Row],[Estimação (horas)]]</f>
        <v>0.5</v>
      </c>
      <c r="X953" s="2"/>
    </row>
    <row r="954" spans="2:24" ht="17.7" customHeight="1" x14ac:dyDescent="0.25">
      <c r="B954" s="13" t="s">
        <v>26</v>
      </c>
      <c r="C954" s="13" t="s">
        <v>181</v>
      </c>
      <c r="D954" s="13" t="s">
        <v>1302</v>
      </c>
      <c r="E954" s="2" t="s">
        <v>38</v>
      </c>
      <c r="F954" s="13" t="s">
        <v>218</v>
      </c>
      <c r="G954" s="13" t="s">
        <v>285</v>
      </c>
      <c r="H954" s="58" t="str">
        <f>Table1[[#This Row],[Tabela]]&amp;Table1[[#This Row],[Campo]]</f>
        <v>modesg_inp_emss_scibnome_grupo</v>
      </c>
      <c r="I954" s="2" t="s">
        <v>614</v>
      </c>
      <c r="J954" s="46">
        <f>VLOOKUP(Table1[[#This Row],[Status]],Auxiliar!$B$16:$C$24,2,0)</f>
        <v>1</v>
      </c>
      <c r="K954" s="21" t="s">
        <v>1263</v>
      </c>
      <c r="L954" s="2" t="s">
        <v>1258</v>
      </c>
      <c r="M954" s="21" t="s">
        <v>1260</v>
      </c>
      <c r="N954" s="48">
        <v>45490</v>
      </c>
      <c r="O954" s="21">
        <f>INDEX(Auxiliar!$D$5:$F$13,MATCH(Table1[[#This Row],[Tipologia_Testes]],Auxiliar!$B$5:$B$13,0),MATCH(Table1[[#This Row],[Complexidade]],Auxiliar!$D$4:$F$4,0))</f>
        <v>0.5</v>
      </c>
      <c r="P954" s="2"/>
      <c r="Q954" s="2" t="s">
        <v>1305</v>
      </c>
      <c r="R954" s="152">
        <v>45261</v>
      </c>
      <c r="S954" s="152"/>
      <c r="T954" s="152"/>
      <c r="U954" s="152">
        <v>45603</v>
      </c>
      <c r="V954" s="152"/>
      <c r="W954" s="2">
        <f>VLOOKUP(Table1[[#This Row],[Status]],Auxiliar!$B$16:$D$24,3,0)*Table1[[#This Row],[Estimação (horas)]]</f>
        <v>0.5</v>
      </c>
      <c r="X954" s="2"/>
    </row>
    <row r="955" spans="2:24" ht="17.7" customHeight="1" x14ac:dyDescent="0.25">
      <c r="B955" s="13" t="s">
        <v>26</v>
      </c>
      <c r="C955" s="13" t="s">
        <v>181</v>
      </c>
      <c r="D955" s="13" t="s">
        <v>1302</v>
      </c>
      <c r="E955" s="2" t="s">
        <v>38</v>
      </c>
      <c r="F955" s="13" t="s">
        <v>218</v>
      </c>
      <c r="G955" s="13" t="s">
        <v>239</v>
      </c>
      <c r="H955" s="58" t="str">
        <f>Table1[[#This Row],[Tabela]]&amp;Table1[[#This Row],[Campo]]</f>
        <v>modesg_inp_emss_scibisin</v>
      </c>
      <c r="I955" s="2" t="s">
        <v>614</v>
      </c>
      <c r="J955" s="46">
        <f>VLOOKUP(Table1[[#This Row],[Status]],Auxiliar!$B$16:$C$24,2,0)</f>
        <v>1</v>
      </c>
      <c r="K955" s="21" t="s">
        <v>1255</v>
      </c>
      <c r="L955" s="2" t="s">
        <v>1258</v>
      </c>
      <c r="M955" s="21" t="s">
        <v>1260</v>
      </c>
      <c r="N955" s="48">
        <v>45490</v>
      </c>
      <c r="O955" s="21">
        <f>INDEX(Auxiliar!$D$5:$F$13,MATCH(Table1[[#This Row],[Tipologia_Testes]],Auxiliar!$B$5:$B$13,0),MATCH(Table1[[#This Row],[Complexidade]],Auxiliar!$D$4:$F$4,0))</f>
        <v>0.1</v>
      </c>
      <c r="P955" s="2" t="s">
        <v>1322</v>
      </c>
      <c r="Q955" s="2" t="s">
        <v>1305</v>
      </c>
      <c r="R955" s="152">
        <v>45261</v>
      </c>
      <c r="S955" s="152"/>
      <c r="T955" s="152"/>
      <c r="U955" s="152">
        <v>45603</v>
      </c>
      <c r="V955" s="152"/>
      <c r="W955" s="2">
        <f>VLOOKUP(Table1[[#This Row],[Status]],Auxiliar!$B$16:$D$24,3,0)*Table1[[#This Row],[Estimação (horas)]]</f>
        <v>0.1</v>
      </c>
      <c r="X955" s="2"/>
    </row>
    <row r="956" spans="2:24" ht="17.7" customHeight="1" x14ac:dyDescent="0.25">
      <c r="B956" s="13" t="s">
        <v>26</v>
      </c>
      <c r="C956" s="13" t="s">
        <v>181</v>
      </c>
      <c r="D956" s="13" t="s">
        <v>1302</v>
      </c>
      <c r="E956" s="2" t="s">
        <v>38</v>
      </c>
      <c r="F956" s="13" t="s">
        <v>218</v>
      </c>
      <c r="G956" s="13" t="s">
        <v>239</v>
      </c>
      <c r="H956" s="58" t="str">
        <f>Table1[[#This Row],[Tabela]]&amp;Table1[[#This Row],[Campo]]</f>
        <v>modesg_inp_emss_scibisin</v>
      </c>
      <c r="I956" s="2" t="s">
        <v>614</v>
      </c>
      <c r="J956" s="46">
        <f>VLOOKUP(Table1[[#This Row],[Status]],Auxiliar!$B$16:$C$24,2,0)</f>
        <v>1</v>
      </c>
      <c r="K956" s="21" t="s">
        <v>1263</v>
      </c>
      <c r="L956" s="2" t="s">
        <v>1258</v>
      </c>
      <c r="M956" s="21" t="s">
        <v>1260</v>
      </c>
      <c r="N956" s="48">
        <v>45490</v>
      </c>
      <c r="O956" s="21">
        <f>INDEX(Auxiliar!$D$5:$F$13,MATCH(Table1[[#This Row],[Tipologia_Testes]],Auxiliar!$B$5:$B$13,0),MATCH(Table1[[#This Row],[Complexidade]],Auxiliar!$D$4:$F$4,0))</f>
        <v>0.5</v>
      </c>
      <c r="P956" s="2"/>
      <c r="Q956" s="2" t="s">
        <v>1305</v>
      </c>
      <c r="R956" s="152">
        <v>45261</v>
      </c>
      <c r="S956" s="152"/>
      <c r="T956" s="152"/>
      <c r="U956" s="152">
        <v>45603</v>
      </c>
      <c r="V956" s="152"/>
      <c r="W956" s="2">
        <f>VLOOKUP(Table1[[#This Row],[Status]],Auxiliar!$B$16:$D$24,3,0)*Table1[[#This Row],[Estimação (horas)]]</f>
        <v>0.5</v>
      </c>
      <c r="X956" s="2"/>
    </row>
    <row r="957" spans="2:24" ht="17.7" customHeight="1" x14ac:dyDescent="0.25">
      <c r="B957" s="13" t="s">
        <v>26</v>
      </c>
      <c r="C957" s="13" t="s">
        <v>181</v>
      </c>
      <c r="D957" s="13" t="s">
        <v>1302</v>
      </c>
      <c r="E957" s="2" t="s">
        <v>38</v>
      </c>
      <c r="F957" s="13" t="s">
        <v>218</v>
      </c>
      <c r="G957" s="13" t="s">
        <v>240</v>
      </c>
      <c r="H957" s="58" t="str">
        <f>Table1[[#This Row],[Tabela]]&amp;Table1[[#This Row],[Campo]]</f>
        <v>modesg_inp_emss_scibclei</v>
      </c>
      <c r="I957" s="2" t="s">
        <v>614</v>
      </c>
      <c r="J957" s="46">
        <f>VLOOKUP(Table1[[#This Row],[Status]],Auxiliar!$B$16:$C$24,2,0)</f>
        <v>1</v>
      </c>
      <c r="K957" s="21" t="s">
        <v>1255</v>
      </c>
      <c r="L957" s="2" t="s">
        <v>1258</v>
      </c>
      <c r="M957" s="21" t="s">
        <v>1260</v>
      </c>
      <c r="N957" s="48">
        <v>45490</v>
      </c>
      <c r="O957" s="21">
        <f>INDEX(Auxiliar!$D$5:$F$13,MATCH(Table1[[#This Row],[Tipologia_Testes]],Auxiliar!$B$5:$B$13,0),MATCH(Table1[[#This Row],[Complexidade]],Auxiliar!$D$4:$F$4,0))</f>
        <v>0.1</v>
      </c>
      <c r="P957" s="2" t="s">
        <v>1322</v>
      </c>
      <c r="Q957" s="2" t="s">
        <v>1305</v>
      </c>
      <c r="R957" s="152">
        <v>45261</v>
      </c>
      <c r="S957" s="152"/>
      <c r="T957" s="152"/>
      <c r="U957" s="152">
        <v>45603</v>
      </c>
      <c r="V957" s="152"/>
      <c r="W957" s="2">
        <f>VLOOKUP(Table1[[#This Row],[Status]],Auxiliar!$B$16:$D$24,3,0)*Table1[[#This Row],[Estimação (horas)]]</f>
        <v>0.1</v>
      </c>
      <c r="X957" s="2"/>
    </row>
    <row r="958" spans="2:24" ht="17.7" customHeight="1" x14ac:dyDescent="0.25">
      <c r="B958" s="13" t="s">
        <v>26</v>
      </c>
      <c r="C958" s="13" t="s">
        <v>181</v>
      </c>
      <c r="D958" s="13" t="s">
        <v>1302</v>
      </c>
      <c r="E958" s="2" t="s">
        <v>38</v>
      </c>
      <c r="F958" s="13" t="s">
        <v>218</v>
      </c>
      <c r="G958" s="13" t="s">
        <v>240</v>
      </c>
      <c r="H958" s="58" t="str">
        <f>Table1[[#This Row],[Tabela]]&amp;Table1[[#This Row],[Campo]]</f>
        <v>modesg_inp_emss_scibclei</v>
      </c>
      <c r="I958" s="2" t="s">
        <v>614</v>
      </c>
      <c r="J958" s="46">
        <f>VLOOKUP(Table1[[#This Row],[Status]],Auxiliar!$B$16:$C$24,2,0)</f>
        <v>1</v>
      </c>
      <c r="K958" s="21" t="s">
        <v>1263</v>
      </c>
      <c r="L958" s="2" t="s">
        <v>1258</v>
      </c>
      <c r="M958" s="21" t="s">
        <v>1260</v>
      </c>
      <c r="N958" s="48">
        <v>45490</v>
      </c>
      <c r="O958" s="21">
        <f>INDEX(Auxiliar!$D$5:$F$13,MATCH(Table1[[#This Row],[Tipologia_Testes]],Auxiliar!$B$5:$B$13,0),MATCH(Table1[[#This Row],[Complexidade]],Auxiliar!$D$4:$F$4,0))</f>
        <v>0.5</v>
      </c>
      <c r="P958" s="2"/>
      <c r="Q958" s="2" t="s">
        <v>1305</v>
      </c>
      <c r="R958" s="152">
        <v>45261</v>
      </c>
      <c r="S958" s="152"/>
      <c r="T958" s="152"/>
      <c r="U958" s="152">
        <v>45603</v>
      </c>
      <c r="V958" s="152"/>
      <c r="W958" s="2">
        <f>VLOOKUP(Table1[[#This Row],[Status]],Auxiliar!$B$16:$D$24,3,0)*Table1[[#This Row],[Estimação (horas)]]</f>
        <v>0.5</v>
      </c>
      <c r="X958" s="2"/>
    </row>
    <row r="959" spans="2:24" ht="17.7" customHeight="1" x14ac:dyDescent="0.25">
      <c r="B959" s="13" t="s">
        <v>26</v>
      </c>
      <c r="C959" s="13" t="s">
        <v>181</v>
      </c>
      <c r="D959" s="13" t="s">
        <v>1302</v>
      </c>
      <c r="E959" s="2" t="s">
        <v>38</v>
      </c>
      <c r="F959" s="13" t="s">
        <v>218</v>
      </c>
      <c r="G959" s="13" t="s">
        <v>286</v>
      </c>
      <c r="H959" s="58" t="str">
        <f>Table1[[#This Row],[Tabela]]&amp;Table1[[#This Row],[Campo]]</f>
        <v>modesg_inp_emss_scibscp1_emss</v>
      </c>
      <c r="I959" s="2" t="s">
        <v>614</v>
      </c>
      <c r="J959" s="46">
        <f>VLOOKUP(Table1[[#This Row],[Status]],Auxiliar!$B$16:$C$24,2,0)</f>
        <v>1</v>
      </c>
      <c r="K959" s="21" t="s">
        <v>1255</v>
      </c>
      <c r="L959" s="2" t="s">
        <v>1258</v>
      </c>
      <c r="M959" s="21" t="s">
        <v>1260</v>
      </c>
      <c r="N959" s="48">
        <v>45499</v>
      </c>
      <c r="O959" s="21">
        <f>INDEX(Auxiliar!$D$5:$F$13,MATCH(Table1[[#This Row],[Tipologia_Testes]],Auxiliar!$B$5:$B$13,0),MATCH(Table1[[#This Row],[Complexidade]],Auxiliar!$D$4:$F$4,0))</f>
        <v>0.1</v>
      </c>
      <c r="P959" s="2" t="s">
        <v>1329</v>
      </c>
      <c r="Q959" s="2" t="s">
        <v>1305</v>
      </c>
      <c r="R959" s="152">
        <v>45136</v>
      </c>
      <c r="S959" s="152">
        <v>45439</v>
      </c>
      <c r="T959" s="152">
        <v>45491</v>
      </c>
      <c r="U959" s="152">
        <v>45603</v>
      </c>
      <c r="V959" s="152">
        <v>45499</v>
      </c>
      <c r="W959" s="2">
        <f>VLOOKUP(Table1[[#This Row],[Status]],Auxiliar!$B$16:$D$24,3,0)*Table1[[#This Row],[Estimação (horas)]]</f>
        <v>0.1</v>
      </c>
      <c r="X959" s="2"/>
    </row>
    <row r="960" spans="2:24" ht="17.7" customHeight="1" x14ac:dyDescent="0.25">
      <c r="B960" s="13" t="s">
        <v>26</v>
      </c>
      <c r="C960" s="13" t="s">
        <v>181</v>
      </c>
      <c r="D960" s="13" t="s">
        <v>1302</v>
      </c>
      <c r="E960" s="2" t="s">
        <v>38</v>
      </c>
      <c r="F960" s="13" t="s">
        <v>218</v>
      </c>
      <c r="G960" s="13" t="s">
        <v>286</v>
      </c>
      <c r="H960" s="58" t="str">
        <f>Table1[[#This Row],[Tabela]]&amp;Table1[[#This Row],[Campo]]</f>
        <v>modesg_inp_emss_scibscp1_emss</v>
      </c>
      <c r="I960" s="2" t="s">
        <v>614</v>
      </c>
      <c r="J960" s="46">
        <f>VLOOKUP(Table1[[#This Row],[Status]],Auxiliar!$B$16:$C$24,2,0)</f>
        <v>1</v>
      </c>
      <c r="K960" s="21" t="s">
        <v>1263</v>
      </c>
      <c r="L960" s="2" t="s">
        <v>1258</v>
      </c>
      <c r="M960" s="21" t="s">
        <v>1260</v>
      </c>
      <c r="N960" s="48">
        <v>45490</v>
      </c>
      <c r="O960" s="21">
        <f>INDEX(Auxiliar!$D$5:$F$13,MATCH(Table1[[#This Row],[Tipologia_Testes]],Auxiliar!$B$5:$B$13,0),MATCH(Table1[[#This Row],[Complexidade]],Auxiliar!$D$4:$F$4,0))</f>
        <v>0.5</v>
      </c>
      <c r="P960" s="2"/>
      <c r="Q960" s="2" t="s">
        <v>1305</v>
      </c>
      <c r="R960" s="152">
        <v>45261</v>
      </c>
      <c r="S960" s="152"/>
      <c r="T960" s="152"/>
      <c r="U960" s="152">
        <v>45603</v>
      </c>
      <c r="V960" s="152"/>
      <c r="W960" s="2">
        <f>VLOOKUP(Table1[[#This Row],[Status]],Auxiliar!$B$16:$D$24,3,0)*Table1[[#This Row],[Estimação (horas)]]</f>
        <v>0.5</v>
      </c>
      <c r="X960" s="2"/>
    </row>
    <row r="961" spans="2:24" ht="17.7" customHeight="1" x14ac:dyDescent="0.25">
      <c r="B961" s="13" t="s">
        <v>26</v>
      </c>
      <c r="C961" s="13" t="s">
        <v>181</v>
      </c>
      <c r="D961" s="13" t="s">
        <v>1302</v>
      </c>
      <c r="E961" s="2" t="s">
        <v>38</v>
      </c>
      <c r="F961" s="13" t="s">
        <v>218</v>
      </c>
      <c r="G961" s="13" t="s">
        <v>287</v>
      </c>
      <c r="H961" s="58" t="str">
        <f>Table1[[#This Row],[Tabela]]&amp;Table1[[#This Row],[Campo]]</f>
        <v>modesg_inp_emss_scibscp2_emss</v>
      </c>
      <c r="I961" s="2" t="s">
        <v>614</v>
      </c>
      <c r="J961" s="46">
        <f>VLOOKUP(Table1[[#This Row],[Status]],Auxiliar!$B$16:$C$24,2,0)</f>
        <v>1</v>
      </c>
      <c r="K961" s="21" t="s">
        <v>1255</v>
      </c>
      <c r="L961" s="2" t="s">
        <v>1258</v>
      </c>
      <c r="M961" s="21" t="s">
        <v>1260</v>
      </c>
      <c r="N961" s="48">
        <v>45499</v>
      </c>
      <c r="O961" s="21">
        <f>INDEX(Auxiliar!$D$5:$F$13,MATCH(Table1[[#This Row],[Tipologia_Testes]],Auxiliar!$B$5:$B$13,0),MATCH(Table1[[#This Row],[Complexidade]],Auxiliar!$D$4:$F$4,0))</f>
        <v>0.1</v>
      </c>
      <c r="P961" s="2" t="s">
        <v>1329</v>
      </c>
      <c r="Q961" s="2" t="s">
        <v>1305</v>
      </c>
      <c r="R961" s="152">
        <v>45136</v>
      </c>
      <c r="S961" s="152">
        <v>45439</v>
      </c>
      <c r="T961" s="152">
        <v>45491</v>
      </c>
      <c r="U961" s="152">
        <v>45603</v>
      </c>
      <c r="V961" s="152">
        <v>45499</v>
      </c>
      <c r="W961" s="2">
        <f>VLOOKUP(Table1[[#This Row],[Status]],Auxiliar!$B$16:$D$24,3,0)*Table1[[#This Row],[Estimação (horas)]]</f>
        <v>0.1</v>
      </c>
      <c r="X961" s="2"/>
    </row>
    <row r="962" spans="2:24" ht="17.7" customHeight="1" x14ac:dyDescent="0.25">
      <c r="B962" s="13" t="s">
        <v>26</v>
      </c>
      <c r="C962" s="13" t="s">
        <v>181</v>
      </c>
      <c r="D962" s="13" t="s">
        <v>1302</v>
      </c>
      <c r="E962" s="2" t="s">
        <v>38</v>
      </c>
      <c r="F962" s="13" t="s">
        <v>218</v>
      </c>
      <c r="G962" s="13" t="s">
        <v>287</v>
      </c>
      <c r="H962" s="58" t="str">
        <f>Table1[[#This Row],[Tabela]]&amp;Table1[[#This Row],[Campo]]</f>
        <v>modesg_inp_emss_scibscp2_emss</v>
      </c>
      <c r="I962" s="2" t="s">
        <v>614</v>
      </c>
      <c r="J962" s="46">
        <f>VLOOKUP(Table1[[#This Row],[Status]],Auxiliar!$B$16:$C$24,2,0)</f>
        <v>1</v>
      </c>
      <c r="K962" s="21" t="s">
        <v>1263</v>
      </c>
      <c r="L962" s="2" t="s">
        <v>1258</v>
      </c>
      <c r="M962" s="21" t="s">
        <v>1260</v>
      </c>
      <c r="N962" s="48">
        <v>45490</v>
      </c>
      <c r="O962" s="21">
        <f>INDEX(Auxiliar!$D$5:$F$13,MATCH(Table1[[#This Row],[Tipologia_Testes]],Auxiliar!$B$5:$B$13,0),MATCH(Table1[[#This Row],[Complexidade]],Auxiliar!$D$4:$F$4,0))</f>
        <v>0.5</v>
      </c>
      <c r="P962" s="2"/>
      <c r="Q962" s="2" t="s">
        <v>1305</v>
      </c>
      <c r="R962" s="152">
        <v>45261</v>
      </c>
      <c r="S962" s="152"/>
      <c r="T962" s="152"/>
      <c r="U962" s="152">
        <v>45603</v>
      </c>
      <c r="V962" s="152"/>
      <c r="W962" s="2">
        <f>VLOOKUP(Table1[[#This Row],[Status]],Auxiliar!$B$16:$D$24,3,0)*Table1[[#This Row],[Estimação (horas)]]</f>
        <v>0.5</v>
      </c>
      <c r="X962" s="2"/>
    </row>
    <row r="963" spans="2:24" ht="17.7" customHeight="1" x14ac:dyDescent="0.25">
      <c r="B963" s="13" t="s">
        <v>26</v>
      </c>
      <c r="C963" s="13" t="s">
        <v>181</v>
      </c>
      <c r="D963" s="13" t="s">
        <v>1302</v>
      </c>
      <c r="E963" s="2" t="s">
        <v>38</v>
      </c>
      <c r="F963" s="13" t="s">
        <v>218</v>
      </c>
      <c r="G963" s="13" t="s">
        <v>288</v>
      </c>
      <c r="H963" s="58" t="str">
        <f>Table1[[#This Row],[Tabela]]&amp;Table1[[#This Row],[Campo]]</f>
        <v>modesg_inp_emss_scibscp3_emss</v>
      </c>
      <c r="I963" s="2" t="s">
        <v>614</v>
      </c>
      <c r="J963" s="46">
        <f>VLOOKUP(Table1[[#This Row],[Status]],Auxiliar!$B$16:$C$24,2,0)</f>
        <v>1</v>
      </c>
      <c r="K963" s="21" t="s">
        <v>1255</v>
      </c>
      <c r="L963" s="2" t="s">
        <v>1258</v>
      </c>
      <c r="M963" s="21" t="s">
        <v>1260</v>
      </c>
      <c r="N963" s="48">
        <v>45490</v>
      </c>
      <c r="O963" s="21">
        <f>INDEX(Auxiliar!$D$5:$F$13,MATCH(Table1[[#This Row],[Tipologia_Testes]],Auxiliar!$B$5:$B$13,0),MATCH(Table1[[#This Row],[Complexidade]],Auxiliar!$D$4:$F$4,0))</f>
        <v>0.1</v>
      </c>
      <c r="P963" s="2" t="s">
        <v>1329</v>
      </c>
      <c r="Q963" s="2" t="s">
        <v>1305</v>
      </c>
      <c r="R963" s="152">
        <v>45261</v>
      </c>
      <c r="S963" s="152"/>
      <c r="T963" s="152"/>
      <c r="U963" s="152">
        <v>45603</v>
      </c>
      <c r="V963" s="152"/>
      <c r="W963" s="2">
        <f>VLOOKUP(Table1[[#This Row],[Status]],Auxiliar!$B$16:$D$24,3,0)*Table1[[#This Row],[Estimação (horas)]]</f>
        <v>0.1</v>
      </c>
      <c r="X963" s="2"/>
    </row>
    <row r="964" spans="2:24" ht="17.7" customHeight="1" x14ac:dyDescent="0.25">
      <c r="B964" s="13" t="s">
        <v>26</v>
      </c>
      <c r="C964" s="13" t="s">
        <v>181</v>
      </c>
      <c r="D964" s="13" t="s">
        <v>1302</v>
      </c>
      <c r="E964" s="2" t="s">
        <v>38</v>
      </c>
      <c r="F964" s="13" t="s">
        <v>218</v>
      </c>
      <c r="G964" s="13" t="s">
        <v>288</v>
      </c>
      <c r="H964" s="58" t="str">
        <f>Table1[[#This Row],[Tabela]]&amp;Table1[[#This Row],[Campo]]</f>
        <v>modesg_inp_emss_scibscp3_emss</v>
      </c>
      <c r="I964" s="2" t="s">
        <v>614</v>
      </c>
      <c r="J964" s="46">
        <f>VLOOKUP(Table1[[#This Row],[Status]],Auxiliar!$B$16:$C$24,2,0)</f>
        <v>1</v>
      </c>
      <c r="K964" s="21" t="s">
        <v>1263</v>
      </c>
      <c r="L964" s="2" t="s">
        <v>1258</v>
      </c>
      <c r="M964" s="21" t="s">
        <v>1260</v>
      </c>
      <c r="N964" s="48">
        <v>45490</v>
      </c>
      <c r="O964" s="21">
        <f>INDEX(Auxiliar!$D$5:$F$13,MATCH(Table1[[#This Row],[Tipologia_Testes]],Auxiliar!$B$5:$B$13,0),MATCH(Table1[[#This Row],[Complexidade]],Auxiliar!$D$4:$F$4,0))</f>
        <v>0.5</v>
      </c>
      <c r="P964" s="2"/>
      <c r="Q964" s="2" t="s">
        <v>1305</v>
      </c>
      <c r="R964" s="152">
        <v>45261</v>
      </c>
      <c r="S964" s="152"/>
      <c r="T964" s="152"/>
      <c r="U964" s="152">
        <v>45603</v>
      </c>
      <c r="V964" s="152"/>
      <c r="W964" s="2">
        <f>VLOOKUP(Table1[[#This Row],[Status]],Auxiliar!$B$16:$D$24,3,0)*Table1[[#This Row],[Estimação (horas)]]</f>
        <v>0.5</v>
      </c>
      <c r="X964" s="2"/>
    </row>
    <row r="965" spans="2:24" ht="17.7" customHeight="1" x14ac:dyDescent="0.25">
      <c r="B965" s="13" t="s">
        <v>26</v>
      </c>
      <c r="C965" s="13" t="s">
        <v>181</v>
      </c>
      <c r="D965" s="13" t="s">
        <v>1302</v>
      </c>
      <c r="E965" s="2" t="s">
        <v>38</v>
      </c>
      <c r="F965" s="13" t="s">
        <v>218</v>
      </c>
      <c r="G965" s="13" t="s">
        <v>289</v>
      </c>
      <c r="H965" s="58" t="str">
        <f>Table1[[#This Row],[Tabela]]&amp;Table1[[#This Row],[Campo]]</f>
        <v>modesg_inp_emss_scibscore_scp1</v>
      </c>
      <c r="I965" s="2" t="s">
        <v>614</v>
      </c>
      <c r="J965" s="46">
        <f>VLOOKUP(Table1[[#This Row],[Status]],Auxiliar!$B$16:$C$24,2,0)</f>
        <v>1</v>
      </c>
      <c r="K965" s="21" t="s">
        <v>1263</v>
      </c>
      <c r="L965" s="2" t="s">
        <v>1258</v>
      </c>
      <c r="M965" s="21" t="s">
        <v>1260</v>
      </c>
      <c r="N965" s="48">
        <v>45490</v>
      </c>
      <c r="O965" s="21">
        <f>INDEX(Auxiliar!$D$5:$F$13,MATCH(Table1[[#This Row],[Tipologia_Testes]],Auxiliar!$B$5:$B$13,0),MATCH(Table1[[#This Row],[Complexidade]],Auxiliar!$D$4:$F$4,0))</f>
        <v>0.5</v>
      </c>
      <c r="P965" s="2"/>
      <c r="Q965" s="2" t="s">
        <v>1305</v>
      </c>
      <c r="R965" s="152">
        <v>45261</v>
      </c>
      <c r="S965" s="152"/>
      <c r="T965" s="152"/>
      <c r="U965" s="152">
        <v>45603</v>
      </c>
      <c r="V965" s="152"/>
      <c r="W965" s="2">
        <f>VLOOKUP(Table1[[#This Row],[Status]],Auxiliar!$B$16:$D$24,3,0)*Table1[[#This Row],[Estimação (horas)]]</f>
        <v>0.5</v>
      </c>
      <c r="X965" s="2"/>
    </row>
    <row r="966" spans="2:24" ht="17.7" customHeight="1" x14ac:dyDescent="0.25">
      <c r="B966" s="13" t="s">
        <v>26</v>
      </c>
      <c r="C966" s="13" t="s">
        <v>181</v>
      </c>
      <c r="D966" s="13" t="s">
        <v>1302</v>
      </c>
      <c r="E966" s="2" t="s">
        <v>38</v>
      </c>
      <c r="F966" s="13" t="s">
        <v>218</v>
      </c>
      <c r="G966" s="13" t="s">
        <v>290</v>
      </c>
      <c r="H966" s="58" t="str">
        <f>Table1[[#This Row],[Tabela]]&amp;Table1[[#This Row],[Campo]]</f>
        <v>modesg_inp_emss_scibscore_scp2</v>
      </c>
      <c r="I966" s="2" t="s">
        <v>614</v>
      </c>
      <c r="J966" s="46">
        <f>VLOOKUP(Table1[[#This Row],[Status]],Auxiliar!$B$16:$C$24,2,0)</f>
        <v>1</v>
      </c>
      <c r="K966" s="21" t="s">
        <v>1263</v>
      </c>
      <c r="L966" s="2" t="s">
        <v>1258</v>
      </c>
      <c r="M966" s="21" t="s">
        <v>1260</v>
      </c>
      <c r="N966" s="48">
        <v>45490</v>
      </c>
      <c r="O966" s="21">
        <f>INDEX(Auxiliar!$D$5:$F$13,MATCH(Table1[[#This Row],[Tipologia_Testes]],Auxiliar!$B$5:$B$13,0),MATCH(Table1[[#This Row],[Complexidade]],Auxiliar!$D$4:$F$4,0))</f>
        <v>0.5</v>
      </c>
      <c r="P966" s="2"/>
      <c r="Q966" s="2" t="s">
        <v>1305</v>
      </c>
      <c r="R966" s="152">
        <v>45261</v>
      </c>
      <c r="S966" s="152"/>
      <c r="T966" s="152"/>
      <c r="U966" s="152">
        <v>45603</v>
      </c>
      <c r="V966" s="152"/>
      <c r="W966" s="2">
        <f>VLOOKUP(Table1[[#This Row],[Status]],Auxiliar!$B$16:$D$24,3,0)*Table1[[#This Row],[Estimação (horas)]]</f>
        <v>0.5</v>
      </c>
      <c r="X966" s="2"/>
    </row>
    <row r="967" spans="2:24" ht="17.7" customHeight="1" x14ac:dyDescent="0.25">
      <c r="B967" s="13" t="s">
        <v>26</v>
      </c>
      <c r="C967" s="13" t="s">
        <v>181</v>
      </c>
      <c r="D967" s="13" t="s">
        <v>1302</v>
      </c>
      <c r="E967" s="2" t="s">
        <v>38</v>
      </c>
      <c r="F967" s="13" t="s">
        <v>218</v>
      </c>
      <c r="G967" s="13" t="s">
        <v>291</v>
      </c>
      <c r="H967" s="58" t="str">
        <f>Table1[[#This Row],[Tabela]]&amp;Table1[[#This Row],[Campo]]</f>
        <v>modesg_inp_emss_scibscore_scp3</v>
      </c>
      <c r="I967" s="2" t="s">
        <v>614</v>
      </c>
      <c r="J967" s="46">
        <f>VLOOKUP(Table1[[#This Row],[Status]],Auxiliar!$B$16:$C$24,2,0)</f>
        <v>1</v>
      </c>
      <c r="K967" s="21" t="s">
        <v>1263</v>
      </c>
      <c r="L967" s="2" t="s">
        <v>1258</v>
      </c>
      <c r="M967" s="21" t="s">
        <v>1260</v>
      </c>
      <c r="N967" s="48">
        <v>45490</v>
      </c>
      <c r="O967" s="21">
        <f>INDEX(Auxiliar!$D$5:$F$13,MATCH(Table1[[#This Row],[Tipologia_Testes]],Auxiliar!$B$5:$B$13,0),MATCH(Table1[[#This Row],[Complexidade]],Auxiliar!$D$4:$F$4,0))</f>
        <v>0.5</v>
      </c>
      <c r="P967" s="2"/>
      <c r="Q967" s="2" t="s">
        <v>1305</v>
      </c>
      <c r="R967" s="152">
        <v>45261</v>
      </c>
      <c r="S967" s="152"/>
      <c r="T967" s="152"/>
      <c r="U967" s="152">
        <v>45603</v>
      </c>
      <c r="V967" s="152"/>
      <c r="W967" s="2">
        <f>VLOOKUP(Table1[[#This Row],[Status]],Auxiliar!$B$16:$D$24,3,0)*Table1[[#This Row],[Estimação (horas)]]</f>
        <v>0.5</v>
      </c>
      <c r="X967" s="2"/>
    </row>
    <row r="968" spans="2:24" ht="17.7" customHeight="1" x14ac:dyDescent="0.25">
      <c r="B968" s="13" t="s">
        <v>26</v>
      </c>
      <c r="C968" s="13" t="s">
        <v>181</v>
      </c>
      <c r="D968" s="13" t="s">
        <v>1302</v>
      </c>
      <c r="E968" s="2" t="s">
        <v>38</v>
      </c>
      <c r="F968" s="13" t="s">
        <v>218</v>
      </c>
      <c r="G968" s="13" t="s">
        <v>292</v>
      </c>
      <c r="H968" s="58" t="str">
        <f>Table1[[#This Row],[Tabela]]&amp;Table1[[#This Row],[Campo]]</f>
        <v>modesg_inp_emss_sciborigem_scp1</v>
      </c>
      <c r="I968" s="2" t="s">
        <v>614</v>
      </c>
      <c r="J968" s="46">
        <f>VLOOKUP(Table1[[#This Row],[Status]],Auxiliar!$B$16:$C$24,2,0)</f>
        <v>1</v>
      </c>
      <c r="K968" s="21" t="s">
        <v>1263</v>
      </c>
      <c r="L968" s="2" t="s">
        <v>1258</v>
      </c>
      <c r="M968" s="21" t="s">
        <v>1260</v>
      </c>
      <c r="N968" s="48">
        <v>45490</v>
      </c>
      <c r="O968" s="21">
        <f>INDEX(Auxiliar!$D$5:$F$13,MATCH(Table1[[#This Row],[Tipologia_Testes]],Auxiliar!$B$5:$B$13,0),MATCH(Table1[[#This Row],[Complexidade]],Auxiliar!$D$4:$F$4,0))</f>
        <v>0.5</v>
      </c>
      <c r="P968" s="2"/>
      <c r="Q968" s="2" t="s">
        <v>1305</v>
      </c>
      <c r="R968" s="152">
        <v>45261</v>
      </c>
      <c r="S968" s="152"/>
      <c r="T968" s="152"/>
      <c r="U968" s="152">
        <v>45603</v>
      </c>
      <c r="V968" s="152"/>
      <c r="W968" s="2">
        <f>VLOOKUP(Table1[[#This Row],[Status]],Auxiliar!$B$16:$D$24,3,0)*Table1[[#This Row],[Estimação (horas)]]</f>
        <v>0.5</v>
      </c>
      <c r="X968" s="2"/>
    </row>
    <row r="969" spans="2:24" ht="17.7" customHeight="1" x14ac:dyDescent="0.25">
      <c r="B969" s="13" t="s">
        <v>26</v>
      </c>
      <c r="C969" s="13" t="s">
        <v>181</v>
      </c>
      <c r="D969" s="13" t="s">
        <v>1302</v>
      </c>
      <c r="E969" s="2" t="s">
        <v>38</v>
      </c>
      <c r="F969" s="13" t="s">
        <v>218</v>
      </c>
      <c r="G969" s="13" t="s">
        <v>293</v>
      </c>
      <c r="H969" s="58" t="str">
        <f>Table1[[#This Row],[Tabela]]&amp;Table1[[#This Row],[Campo]]</f>
        <v>modesg_inp_emss_sciborigem_scp2</v>
      </c>
      <c r="I969" s="2" t="s">
        <v>614</v>
      </c>
      <c r="J969" s="46">
        <f>VLOOKUP(Table1[[#This Row],[Status]],Auxiliar!$B$16:$C$24,2,0)</f>
        <v>1</v>
      </c>
      <c r="K969" s="21" t="s">
        <v>1263</v>
      </c>
      <c r="L969" s="2" t="s">
        <v>1258</v>
      </c>
      <c r="M969" s="21" t="s">
        <v>1260</v>
      </c>
      <c r="N969" s="48">
        <v>45490</v>
      </c>
      <c r="O969" s="21">
        <f>INDEX(Auxiliar!$D$5:$F$13,MATCH(Table1[[#This Row],[Tipologia_Testes]],Auxiliar!$B$5:$B$13,0),MATCH(Table1[[#This Row],[Complexidade]],Auxiliar!$D$4:$F$4,0))</f>
        <v>0.5</v>
      </c>
      <c r="P969" s="2"/>
      <c r="Q969" s="2" t="s">
        <v>1305</v>
      </c>
      <c r="R969" s="152">
        <v>45261</v>
      </c>
      <c r="S969" s="152"/>
      <c r="T969" s="152"/>
      <c r="U969" s="152">
        <v>45603</v>
      </c>
      <c r="V969" s="152"/>
      <c r="W969" s="2">
        <f>VLOOKUP(Table1[[#This Row],[Status]],Auxiliar!$B$16:$D$24,3,0)*Table1[[#This Row],[Estimação (horas)]]</f>
        <v>0.5</v>
      </c>
      <c r="X969" s="2"/>
    </row>
    <row r="970" spans="2:24" ht="17.7" customHeight="1" x14ac:dyDescent="0.25">
      <c r="B970" s="13" t="s">
        <v>26</v>
      </c>
      <c r="C970" s="13" t="s">
        <v>181</v>
      </c>
      <c r="D970" s="13" t="s">
        <v>1302</v>
      </c>
      <c r="E970" s="2" t="s">
        <v>38</v>
      </c>
      <c r="F970" s="13" t="s">
        <v>218</v>
      </c>
      <c r="G970" s="13" t="s">
        <v>294</v>
      </c>
      <c r="H970" s="58" t="str">
        <f>Table1[[#This Row],[Tabela]]&amp;Table1[[#This Row],[Campo]]</f>
        <v>modesg_inp_emss_sciborigem_scp3</v>
      </c>
      <c r="I970" s="2" t="s">
        <v>614</v>
      </c>
      <c r="J970" s="46">
        <f>VLOOKUP(Table1[[#This Row],[Status]],Auxiliar!$B$16:$C$24,2,0)</f>
        <v>1</v>
      </c>
      <c r="K970" s="21" t="s">
        <v>1263</v>
      </c>
      <c r="L970" s="2" t="s">
        <v>1258</v>
      </c>
      <c r="M970" s="21" t="s">
        <v>1260</v>
      </c>
      <c r="N970" s="48">
        <v>45490</v>
      </c>
      <c r="O970" s="21">
        <f>INDEX(Auxiliar!$D$5:$F$13,MATCH(Table1[[#This Row],[Tipologia_Testes]],Auxiliar!$B$5:$B$13,0),MATCH(Table1[[#This Row],[Complexidade]],Auxiliar!$D$4:$F$4,0))</f>
        <v>0.5</v>
      </c>
      <c r="P970" s="2"/>
      <c r="Q970" s="2" t="s">
        <v>1305</v>
      </c>
      <c r="R970" s="152">
        <v>45261</v>
      </c>
      <c r="S970" s="152"/>
      <c r="T970" s="152"/>
      <c r="U970" s="152">
        <v>45603</v>
      </c>
      <c r="V970" s="152"/>
      <c r="W970" s="2">
        <f>VLOOKUP(Table1[[#This Row],[Status]],Auxiliar!$B$16:$D$24,3,0)*Table1[[#This Row],[Estimação (horas)]]</f>
        <v>0.5</v>
      </c>
      <c r="X970" s="2"/>
    </row>
    <row r="971" spans="2:24" ht="17.7" customHeight="1" x14ac:dyDescent="0.25">
      <c r="B971" s="13" t="s">
        <v>26</v>
      </c>
      <c r="C971" s="13" t="s">
        <v>181</v>
      </c>
      <c r="D971" s="13" t="s">
        <v>1302</v>
      </c>
      <c r="E971" s="2" t="s">
        <v>38</v>
      </c>
      <c r="F971" s="13" t="s">
        <v>218</v>
      </c>
      <c r="G971" s="13" t="s">
        <v>295</v>
      </c>
      <c r="H971" s="58" t="str">
        <f>Table1[[#This Row],[Tabela]]&amp;Table1[[#This Row],[Campo]]</f>
        <v>modesg_inp_emss_scibano_info</v>
      </c>
      <c r="I971" s="2" t="s">
        <v>614</v>
      </c>
      <c r="J971" s="46">
        <f>VLOOKUP(Table1[[#This Row],[Status]],Auxiliar!$B$16:$C$24,2,0)</f>
        <v>1</v>
      </c>
      <c r="K971" s="21" t="s">
        <v>1263</v>
      </c>
      <c r="L971" s="2" t="s">
        <v>1250</v>
      </c>
      <c r="M971" s="21" t="s">
        <v>1260</v>
      </c>
      <c r="N971" s="48">
        <v>45490</v>
      </c>
      <c r="O971" s="21">
        <f>INDEX(Auxiliar!$D$5:$F$13,MATCH(Table1[[#This Row],[Tipologia_Testes]],Auxiliar!$B$5:$B$13,0),MATCH(Table1[[#This Row],[Complexidade]],Auxiliar!$D$4:$F$4,0))</f>
        <v>0.5</v>
      </c>
      <c r="P971" s="2" t="s">
        <v>1330</v>
      </c>
      <c r="Q971" s="2" t="s">
        <v>1305</v>
      </c>
      <c r="R971" s="152">
        <v>45261</v>
      </c>
      <c r="S971" s="152"/>
      <c r="T971" s="152"/>
      <c r="U971" s="152">
        <v>45603</v>
      </c>
      <c r="V971" s="152"/>
      <c r="W971" s="2">
        <f>VLOOKUP(Table1[[#This Row],[Status]],Auxiliar!$B$16:$D$24,3,0)*Table1[[#This Row],[Estimação (horas)]]</f>
        <v>0.5</v>
      </c>
      <c r="X971" s="2"/>
    </row>
    <row r="972" spans="2:24" ht="17.7" customHeight="1" x14ac:dyDescent="0.25">
      <c r="B972" s="13" t="s">
        <v>26</v>
      </c>
      <c r="C972" s="13" t="s">
        <v>181</v>
      </c>
      <c r="D972" s="13" t="s">
        <v>1302</v>
      </c>
      <c r="E972" s="2" t="s">
        <v>38</v>
      </c>
      <c r="F972" s="13" t="s">
        <v>218</v>
      </c>
      <c r="G972" s="13" t="s">
        <v>296</v>
      </c>
      <c r="H972" s="58" t="str">
        <f>Table1[[#This Row],[Tabela]]&amp;Table1[[#This Row],[Campo]]</f>
        <v>modesg_inp_emss_scibdivida_total</v>
      </c>
      <c r="I972" s="2" t="s">
        <v>614</v>
      </c>
      <c r="J972" s="46">
        <f>VLOOKUP(Table1[[#This Row],[Status]],Auxiliar!$B$16:$C$24,2,0)</f>
        <v>1</v>
      </c>
      <c r="K972" s="21" t="s">
        <v>1263</v>
      </c>
      <c r="L972" s="2" t="s">
        <v>1258</v>
      </c>
      <c r="M972" s="21" t="s">
        <v>1260</v>
      </c>
      <c r="N972" s="48">
        <v>45490</v>
      </c>
      <c r="O972" s="21">
        <f>INDEX(Auxiliar!$D$5:$F$13,MATCH(Table1[[#This Row],[Tipologia_Testes]],Auxiliar!$B$5:$B$13,0),MATCH(Table1[[#This Row],[Complexidade]],Auxiliar!$D$4:$F$4,0))</f>
        <v>0.5</v>
      </c>
      <c r="P972" s="2"/>
      <c r="Q972" s="2" t="s">
        <v>1305</v>
      </c>
      <c r="R972" s="152">
        <v>45261</v>
      </c>
      <c r="S972" s="152"/>
      <c r="T972" s="152"/>
      <c r="U972" s="152">
        <v>45603</v>
      </c>
      <c r="V972" s="152"/>
      <c r="W972" s="2">
        <f>VLOOKUP(Table1[[#This Row],[Status]],Auxiliar!$B$16:$D$24,3,0)*Table1[[#This Row],[Estimação (horas)]]</f>
        <v>0.5</v>
      </c>
      <c r="X972" s="2"/>
    </row>
    <row r="973" spans="2:24" ht="17.7" customHeight="1" x14ac:dyDescent="0.25">
      <c r="B973" s="13" t="s">
        <v>26</v>
      </c>
      <c r="C973" s="13" t="s">
        <v>181</v>
      </c>
      <c r="D973" s="13" t="s">
        <v>1302</v>
      </c>
      <c r="E973" s="2" t="s">
        <v>38</v>
      </c>
      <c r="F973" s="13" t="s">
        <v>218</v>
      </c>
      <c r="G973" s="13" t="s">
        <v>297</v>
      </c>
      <c r="H973" s="58" t="str">
        <f>Table1[[#This Row],[Tabela]]&amp;Table1[[#This Row],[Campo]]</f>
        <v>modesg_inp_emss_scibcapital_proprio</v>
      </c>
      <c r="I973" s="2" t="s">
        <v>614</v>
      </c>
      <c r="J973" s="46">
        <f>VLOOKUP(Table1[[#This Row],[Status]],Auxiliar!$B$16:$C$24,2,0)</f>
        <v>1</v>
      </c>
      <c r="K973" s="21" t="s">
        <v>1263</v>
      </c>
      <c r="L973" s="2" t="s">
        <v>1258</v>
      </c>
      <c r="M973" s="21" t="s">
        <v>1260</v>
      </c>
      <c r="N973" s="48">
        <v>45490</v>
      </c>
      <c r="O973" s="21">
        <f>INDEX(Auxiliar!$D$5:$F$13,MATCH(Table1[[#This Row],[Tipologia_Testes]],Auxiliar!$B$5:$B$13,0),MATCH(Table1[[#This Row],[Complexidade]],Auxiliar!$D$4:$F$4,0))</f>
        <v>0.5</v>
      </c>
      <c r="P973" s="2"/>
      <c r="Q973" s="2" t="s">
        <v>1305</v>
      </c>
      <c r="R973" s="152">
        <v>45261</v>
      </c>
      <c r="S973" s="152"/>
      <c r="T973" s="152"/>
      <c r="U973" s="152">
        <v>45603</v>
      </c>
      <c r="V973" s="152"/>
      <c r="W973" s="2">
        <f>VLOOKUP(Table1[[#This Row],[Status]],Auxiliar!$B$16:$D$24,3,0)*Table1[[#This Row],[Estimação (horas)]]</f>
        <v>0.5</v>
      </c>
      <c r="X973" s="2"/>
    </row>
    <row r="974" spans="2:24" ht="17.7" customHeight="1" x14ac:dyDescent="0.25">
      <c r="B974" s="13" t="s">
        <v>26</v>
      </c>
      <c r="C974" s="13" t="s">
        <v>181</v>
      </c>
      <c r="D974" s="13" t="s">
        <v>1302</v>
      </c>
      <c r="E974" s="2" t="s">
        <v>38</v>
      </c>
      <c r="F974" s="13" t="s">
        <v>219</v>
      </c>
      <c r="G974" s="13" t="s">
        <v>208</v>
      </c>
      <c r="H974" s="58" t="str">
        <f>Table1[[#This Row],[Tabela]]&amp;Table1[[#This Row],[Campo]]</f>
        <v>modesg_inp_emss_naceref_date</v>
      </c>
      <c r="I974" s="2" t="s">
        <v>614</v>
      </c>
      <c r="J974" s="46">
        <f>VLOOKUP(Table1[[#This Row],[Status]],Auxiliar!$B$16:$C$24,2,0)</f>
        <v>1</v>
      </c>
      <c r="K974" s="21" t="s">
        <v>1263</v>
      </c>
      <c r="L974" s="2" t="s">
        <v>1258</v>
      </c>
      <c r="M974" s="21" t="s">
        <v>1260</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7" customHeight="1" x14ac:dyDescent="0.25">
      <c r="B975" s="13" t="s">
        <v>26</v>
      </c>
      <c r="C975" s="13" t="s">
        <v>181</v>
      </c>
      <c r="D975" s="13" t="s">
        <v>1302</v>
      </c>
      <c r="E975" s="2" t="s">
        <v>38</v>
      </c>
      <c r="F975" s="13" t="s">
        <v>219</v>
      </c>
      <c r="G975" s="13" t="s">
        <v>298</v>
      </c>
      <c r="H975" s="58" t="str">
        <f>Table1[[#This Row],[Tabela]]&amp;Table1[[#This Row],[Campo]]</f>
        <v>modesg_inp_emss_naceano</v>
      </c>
      <c r="I975" s="2" t="s">
        <v>614</v>
      </c>
      <c r="J975" s="46">
        <f>VLOOKUP(Table1[[#This Row],[Status]],Auxiliar!$B$16:$C$24,2,0)</f>
        <v>1</v>
      </c>
      <c r="K975" s="21" t="s">
        <v>1263</v>
      </c>
      <c r="L975" s="2" t="s">
        <v>655</v>
      </c>
      <c r="M975" s="21" t="s">
        <v>1260</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17.7" customHeight="1" x14ac:dyDescent="0.25">
      <c r="B976" s="13" t="s">
        <v>26</v>
      </c>
      <c r="C976" s="13" t="s">
        <v>181</v>
      </c>
      <c r="D976" s="13" t="s">
        <v>1302</v>
      </c>
      <c r="E976" s="2" t="s">
        <v>38</v>
      </c>
      <c r="F976" s="13" t="s">
        <v>219</v>
      </c>
      <c r="G976" s="13" t="s">
        <v>222</v>
      </c>
      <c r="H976" s="58" t="str">
        <f>Table1[[#This Row],[Tabela]]&amp;Table1[[#This Row],[Campo]]</f>
        <v>modesg_inp_emss_nacenome_pais</v>
      </c>
      <c r="I976" s="2" t="s">
        <v>614</v>
      </c>
      <c r="J976" s="46">
        <f>VLOOKUP(Table1[[#This Row],[Status]],Auxiliar!$B$16:$C$24,2,0)</f>
        <v>1</v>
      </c>
      <c r="K976" s="21" t="s">
        <v>1263</v>
      </c>
      <c r="L976" s="2" t="s">
        <v>655</v>
      </c>
      <c r="M976" s="21" t="s">
        <v>1260</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87" customHeight="1" x14ac:dyDescent="0.25">
      <c r="B977" s="13" t="s">
        <v>26</v>
      </c>
      <c r="C977" s="13" t="s">
        <v>181</v>
      </c>
      <c r="D977" s="13" t="s">
        <v>1302</v>
      </c>
      <c r="E977" s="2" t="s">
        <v>38</v>
      </c>
      <c r="F977" s="13" t="s">
        <v>219</v>
      </c>
      <c r="G977" s="13" t="s">
        <v>282</v>
      </c>
      <c r="H977" s="58" t="str">
        <f>Table1[[#This Row],[Tabela]]&amp;Table1[[#This Row],[Campo]]</f>
        <v>modesg_inp_emss_nacecod_nace_esg</v>
      </c>
      <c r="I977" s="2" t="s">
        <v>614</v>
      </c>
      <c r="J977" s="46">
        <f>VLOOKUP(Table1[[#This Row],[Status]],Auxiliar!$B$16:$C$24,2,0)</f>
        <v>1</v>
      </c>
      <c r="K977" s="21" t="s">
        <v>1255</v>
      </c>
      <c r="L977" s="2" t="s">
        <v>1258</v>
      </c>
      <c r="M977" s="21" t="s">
        <v>1260</v>
      </c>
      <c r="N977" s="48">
        <v>45562</v>
      </c>
      <c r="O977" s="21">
        <f>INDEX(Auxiliar!$D$5:$F$13,MATCH(Table1[[#This Row],[Tipologia_Testes]],Auxiliar!$B$5:$B$13,0),MATCH(Table1[[#This Row],[Complexidade]],Auxiliar!$D$4:$F$4,0))</f>
        <v>0.1</v>
      </c>
      <c r="P977" s="23" t="s">
        <v>1331</v>
      </c>
      <c r="Q977" s="2"/>
      <c r="R977" s="152">
        <v>45261</v>
      </c>
      <c r="S977" s="152"/>
      <c r="T977" s="152"/>
      <c r="U977" s="152">
        <v>45603</v>
      </c>
      <c r="V977" s="152"/>
      <c r="W977" s="2">
        <f>VLOOKUP(Table1[[#This Row],[Status]],Auxiliar!$B$16:$D$24,3,0)*Table1[[#This Row],[Estimação (horas)]]</f>
        <v>0.1</v>
      </c>
      <c r="X977" s="2"/>
    </row>
    <row r="978" spans="2:24" ht="87" customHeight="1" x14ac:dyDescent="0.25">
      <c r="B978" s="13" t="s">
        <v>26</v>
      </c>
      <c r="C978" s="13" t="s">
        <v>181</v>
      </c>
      <c r="D978" s="13" t="s">
        <v>1302</v>
      </c>
      <c r="E978" s="2" t="s">
        <v>38</v>
      </c>
      <c r="F978" s="13" t="s">
        <v>219</v>
      </c>
      <c r="G978" s="13" t="s">
        <v>282</v>
      </c>
      <c r="H978" s="58" t="str">
        <f>Table1[[#This Row],[Tabela]]&amp;Table1[[#This Row],[Campo]]</f>
        <v>modesg_inp_emss_nacecod_nace_esg</v>
      </c>
      <c r="I978" s="2" t="s">
        <v>614</v>
      </c>
      <c r="J978" s="46">
        <f>VLOOKUP(Table1[[#This Row],[Status]],Auxiliar!$B$16:$C$24,2,0)</f>
        <v>1</v>
      </c>
      <c r="K978" s="21" t="s">
        <v>1263</v>
      </c>
      <c r="L978" s="2" t="s">
        <v>1258</v>
      </c>
      <c r="M978" s="21" t="s">
        <v>1260</v>
      </c>
      <c r="N978" s="48">
        <v>45562</v>
      </c>
      <c r="O978" s="21">
        <f>INDEX(Auxiliar!$D$5:$F$13,MATCH(Table1[[#This Row],[Tipologia_Testes]],Auxiliar!$B$5:$B$13,0),MATCH(Table1[[#This Row],[Complexidade]],Auxiliar!$D$4:$F$4,0))</f>
        <v>0.5</v>
      </c>
      <c r="P978" s="23" t="s">
        <v>1331</v>
      </c>
      <c r="Q978" s="2"/>
      <c r="R978" s="152">
        <v>45261</v>
      </c>
      <c r="S978" s="152"/>
      <c r="T978" s="152"/>
      <c r="U978" s="152">
        <v>45603</v>
      </c>
      <c r="V978" s="152"/>
      <c r="W978" s="2">
        <f>VLOOKUP(Table1[[#This Row],[Status]],Auxiliar!$B$16:$D$24,3,0)*Table1[[#This Row],[Estimação (horas)]]</f>
        <v>0.5</v>
      </c>
      <c r="X978" s="2"/>
    </row>
    <row r="979" spans="2:24" ht="17.7" customHeight="1" x14ac:dyDescent="0.25">
      <c r="B979" s="13" t="s">
        <v>26</v>
      </c>
      <c r="C979" s="13" t="s">
        <v>181</v>
      </c>
      <c r="D979" s="13" t="s">
        <v>1302</v>
      </c>
      <c r="E979" s="2" t="s">
        <v>38</v>
      </c>
      <c r="F979" s="13" t="s">
        <v>219</v>
      </c>
      <c r="G979" s="13" t="s">
        <v>299</v>
      </c>
      <c r="H979" s="58" t="str">
        <f>Table1[[#This Row],[Tabela]]&amp;Table1[[#This Row],[Campo]]</f>
        <v>modesg_inp_emss_nacecod_class_indust</v>
      </c>
      <c r="I979" s="2" t="s">
        <v>614</v>
      </c>
      <c r="J979" s="46">
        <f>VLOOKUP(Table1[[#This Row],[Status]],Auxiliar!$B$16:$C$24,2,0)</f>
        <v>1</v>
      </c>
      <c r="K979" s="21" t="s">
        <v>1263</v>
      </c>
      <c r="L979" s="2" t="s">
        <v>1258</v>
      </c>
      <c r="M979" s="21" t="s">
        <v>1260</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customHeight="1" x14ac:dyDescent="0.25">
      <c r="B980" s="13" t="s">
        <v>26</v>
      </c>
      <c r="C980" s="13" t="s">
        <v>181</v>
      </c>
      <c r="D980" s="13" t="s">
        <v>1302</v>
      </c>
      <c r="E980" s="2" t="s">
        <v>38</v>
      </c>
      <c r="F980" s="13" t="s">
        <v>219</v>
      </c>
      <c r="G980" s="13" t="s">
        <v>300</v>
      </c>
      <c r="H980" s="58" t="str">
        <f>Table1[[#This Row],[Tabela]]&amp;Table1[[#This Row],[Campo]]</f>
        <v>modesg_inp_emss_nacenivel_classificacao_1</v>
      </c>
      <c r="I980" s="2" t="s">
        <v>614</v>
      </c>
      <c r="J980" s="46">
        <f>VLOOKUP(Table1[[#This Row],[Status]],Auxiliar!$B$16:$C$24,2,0)</f>
        <v>1</v>
      </c>
      <c r="K980" s="21" t="s">
        <v>1263</v>
      </c>
      <c r="L980" s="2" t="s">
        <v>655</v>
      </c>
      <c r="M980" s="21" t="s">
        <v>1260</v>
      </c>
      <c r="N980" s="48">
        <v>45537</v>
      </c>
      <c r="O980" s="21">
        <f>INDEX(Auxiliar!$D$5:$F$13,MATCH(Table1[[#This Row],[Tipologia_Testes]],Auxiliar!$B$5:$B$13,0),MATCH(Table1[[#This Row],[Complexidade]],Auxiliar!$D$4:$F$4,0))</f>
        <v>0.5</v>
      </c>
      <c r="P980" s="2" t="s">
        <v>1332</v>
      </c>
      <c r="Q980" s="2"/>
      <c r="R980" s="152">
        <v>45261</v>
      </c>
      <c r="S980" s="152"/>
      <c r="T980" s="152"/>
      <c r="U980" s="152">
        <v>45603</v>
      </c>
      <c r="V980" s="152"/>
      <c r="W980" s="2">
        <f>VLOOKUP(Table1[[#This Row],[Status]],Auxiliar!$B$16:$D$24,3,0)*Table1[[#This Row],[Estimação (horas)]]</f>
        <v>0.5</v>
      </c>
      <c r="X980" s="2"/>
    </row>
    <row r="981" spans="2:24" ht="17.7" customHeight="1" x14ac:dyDescent="0.25">
      <c r="B981" s="13" t="s">
        <v>26</v>
      </c>
      <c r="C981" s="13" t="s">
        <v>181</v>
      </c>
      <c r="D981" s="13" t="s">
        <v>1302</v>
      </c>
      <c r="E981" s="2" t="s">
        <v>38</v>
      </c>
      <c r="F981" s="13" t="s">
        <v>219</v>
      </c>
      <c r="G981" s="13" t="s">
        <v>301</v>
      </c>
      <c r="H981" s="58" t="str">
        <f>Table1[[#This Row],[Tabela]]&amp;Table1[[#This Row],[Campo]]</f>
        <v>modesg_inp_emss_naceclasse_ativo</v>
      </c>
      <c r="I981" s="2" t="s">
        <v>614</v>
      </c>
      <c r="J981" s="46">
        <f>VLOOKUP(Table1[[#This Row],[Status]],Auxiliar!$B$16:$C$24,2,0)</f>
        <v>1</v>
      </c>
      <c r="K981" s="21" t="s">
        <v>1263</v>
      </c>
      <c r="L981" s="2" t="s">
        <v>655</v>
      </c>
      <c r="M981" s="21" t="s">
        <v>1260</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customHeight="1" x14ac:dyDescent="0.25">
      <c r="B982" s="13" t="s">
        <v>26</v>
      </c>
      <c r="C982" s="13" t="s">
        <v>181</v>
      </c>
      <c r="D982" s="13" t="s">
        <v>1302</v>
      </c>
      <c r="E982" s="2" t="s">
        <v>38</v>
      </c>
      <c r="F982" s="13" t="s">
        <v>219</v>
      </c>
      <c r="G982" s="13" t="s">
        <v>302</v>
      </c>
      <c r="H982" s="58" t="str">
        <f>Table1[[#This Row],[Tabela]]&amp;Table1[[#This Row],[Campo]]</f>
        <v>modesg_inp_emss_naceopcao_metodologia</v>
      </c>
      <c r="I982" s="2" t="s">
        <v>614</v>
      </c>
      <c r="J982" s="46">
        <f>VLOOKUP(Table1[[#This Row],[Status]],Auxiliar!$B$16:$C$24,2,0)</f>
        <v>1</v>
      </c>
      <c r="K982" s="21" t="s">
        <v>1263</v>
      </c>
      <c r="L982" s="2" t="s">
        <v>655</v>
      </c>
      <c r="M982" s="21" t="s">
        <v>1260</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customHeight="1" x14ac:dyDescent="0.25">
      <c r="B983" s="13" t="s">
        <v>26</v>
      </c>
      <c r="C983" s="13" t="s">
        <v>181</v>
      </c>
      <c r="D983" s="13" t="s">
        <v>1302</v>
      </c>
      <c r="E983" s="2" t="s">
        <v>38</v>
      </c>
      <c r="F983" s="13" t="s">
        <v>219</v>
      </c>
      <c r="G983" s="13" t="s">
        <v>230</v>
      </c>
      <c r="H983" s="58" t="str">
        <f>Table1[[#This Row],[Tabela]]&amp;Table1[[#This Row],[Campo]]</f>
        <v>modesg_inp_emss_naceunidade_funcional</v>
      </c>
      <c r="I983" s="2" t="s">
        <v>614</v>
      </c>
      <c r="J983" s="46">
        <f>VLOOKUP(Table1[[#This Row],[Status]],Auxiliar!$B$16:$C$24,2,0)</f>
        <v>1</v>
      </c>
      <c r="K983" s="21" t="s">
        <v>1255</v>
      </c>
      <c r="L983" s="2" t="s">
        <v>1258</v>
      </c>
      <c r="M983" s="21" t="s">
        <v>1260</v>
      </c>
      <c r="N983" s="48">
        <v>45540</v>
      </c>
      <c r="O983" s="21">
        <f>INDEX(Auxiliar!$D$5:$F$13,MATCH(Table1[[#This Row],[Tipologia_Testes]],Auxiliar!$B$5:$B$13,0),MATCH(Table1[[#This Row],[Complexidade]],Auxiliar!$D$4:$F$4,0))</f>
        <v>0.1</v>
      </c>
      <c r="P983" s="2" t="s">
        <v>1333</v>
      </c>
      <c r="Q983" s="2"/>
      <c r="R983" s="152">
        <v>45261</v>
      </c>
      <c r="S983" s="152"/>
      <c r="T983" s="152"/>
      <c r="U983" s="152">
        <v>45603</v>
      </c>
      <c r="V983" s="152"/>
      <c r="W983" s="2">
        <f>VLOOKUP(Table1[[#This Row],[Status]],Auxiliar!$B$16:$D$24,3,0)*Table1[[#This Row],[Estimação (horas)]]</f>
        <v>0.1</v>
      </c>
      <c r="X983" s="2"/>
    </row>
    <row r="984" spans="2:24" ht="17.7" customHeight="1" x14ac:dyDescent="0.25">
      <c r="B984" s="13" t="s">
        <v>26</v>
      </c>
      <c r="C984" s="13" t="s">
        <v>181</v>
      </c>
      <c r="D984" s="13" t="s">
        <v>1302</v>
      </c>
      <c r="E984" s="2" t="s">
        <v>38</v>
      </c>
      <c r="F984" s="13" t="s">
        <v>219</v>
      </c>
      <c r="G984" s="13" t="s">
        <v>230</v>
      </c>
      <c r="H984" s="58" t="str">
        <f>Table1[[#This Row],[Tabela]]&amp;Table1[[#This Row],[Campo]]</f>
        <v>modesg_inp_emss_naceunidade_funcional</v>
      </c>
      <c r="I984" s="2" t="s">
        <v>614</v>
      </c>
      <c r="J984" s="46">
        <f>VLOOKUP(Table1[[#This Row],[Status]],Auxiliar!$B$16:$C$24,2,0)</f>
        <v>1</v>
      </c>
      <c r="K984" s="21" t="s">
        <v>1263</v>
      </c>
      <c r="L984" s="2" t="s">
        <v>1258</v>
      </c>
      <c r="M984" s="21" t="s">
        <v>1260</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customHeight="1" x14ac:dyDescent="0.25">
      <c r="B985" s="13" t="s">
        <v>26</v>
      </c>
      <c r="C985" s="13" t="s">
        <v>181</v>
      </c>
      <c r="D985" s="13" t="s">
        <v>1302</v>
      </c>
      <c r="E985" s="2" t="s">
        <v>38</v>
      </c>
      <c r="F985" s="13" t="s">
        <v>219</v>
      </c>
      <c r="G985" s="13" t="s">
        <v>303</v>
      </c>
      <c r="H985" s="58" t="str">
        <f>Table1[[#This Row],[Tabela]]&amp;Table1[[#This Row],[Campo]]</f>
        <v>modesg_inp_emss_naceunidades_fator_de_emissao</v>
      </c>
      <c r="I985" s="2" t="s">
        <v>614</v>
      </c>
      <c r="J985" s="46">
        <f>VLOOKUP(Table1[[#This Row],[Status]],Auxiliar!$B$16:$C$24,2,0)</f>
        <v>1</v>
      </c>
      <c r="K985" s="21" t="s">
        <v>1263</v>
      </c>
      <c r="L985" s="2" t="s">
        <v>1258</v>
      </c>
      <c r="M985" s="21" t="s">
        <v>1260</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customHeight="1" x14ac:dyDescent="0.25">
      <c r="B986" s="13" t="s">
        <v>26</v>
      </c>
      <c r="C986" s="13" t="s">
        <v>181</v>
      </c>
      <c r="D986" s="13" t="s">
        <v>1302</v>
      </c>
      <c r="E986" s="2" t="s">
        <v>38</v>
      </c>
      <c r="F986" s="13" t="s">
        <v>219</v>
      </c>
      <c r="G986" s="13" t="s">
        <v>233</v>
      </c>
      <c r="H986" s="58" t="str">
        <f>Table1[[#This Row],[Tabela]]&amp;Table1[[#This Row],[Campo]]</f>
        <v>modesg_inp_emss_nacescore_qualidade</v>
      </c>
      <c r="I986" s="2" t="s">
        <v>614</v>
      </c>
      <c r="J986" s="46">
        <f>VLOOKUP(Table1[[#This Row],[Status]],Auxiliar!$B$16:$C$24,2,0)</f>
        <v>1</v>
      </c>
      <c r="K986" s="21" t="s">
        <v>1263</v>
      </c>
      <c r="L986" s="2" t="s">
        <v>1250</v>
      </c>
      <c r="M986" s="21" t="s">
        <v>1260</v>
      </c>
      <c r="N986" s="48">
        <v>45540</v>
      </c>
      <c r="O986" s="21">
        <f>INDEX(Auxiliar!$D$5:$F$13,MATCH(Table1[[#This Row],[Tipologia_Testes]],Auxiliar!$B$5:$B$13,0),MATCH(Table1[[#This Row],[Complexidade]],Auxiliar!$D$4:$F$4,0))</f>
        <v>0.5</v>
      </c>
      <c r="P986" s="2" t="s">
        <v>1330</v>
      </c>
      <c r="Q986" s="2"/>
      <c r="R986" s="152">
        <v>45261</v>
      </c>
      <c r="S986" s="152"/>
      <c r="T986" s="152"/>
      <c r="U986" s="152">
        <v>45603</v>
      </c>
      <c r="V986" s="152"/>
      <c r="W986" s="2">
        <f>VLOOKUP(Table1[[#This Row],[Status]],Auxiliar!$B$16:$D$24,3,0)*Table1[[#This Row],[Estimação (horas)]]</f>
        <v>0.5</v>
      </c>
      <c r="X986" s="2"/>
    </row>
    <row r="987" spans="2:24" ht="17.7" customHeight="1" x14ac:dyDescent="0.25">
      <c r="B987" s="13" t="s">
        <v>26</v>
      </c>
      <c r="C987" s="13" t="s">
        <v>181</v>
      </c>
      <c r="D987" s="13" t="s">
        <v>1302</v>
      </c>
      <c r="E987" s="2" t="s">
        <v>38</v>
      </c>
      <c r="F987" s="13" t="s">
        <v>219</v>
      </c>
      <c r="G987" s="13" t="s">
        <v>234</v>
      </c>
      <c r="H987" s="58" t="str">
        <f>Table1[[#This Row],[Tabela]]&amp;Table1[[#This Row],[Campo]]</f>
        <v>modesg_inp_emss_nacescp1_ftr_emss</v>
      </c>
      <c r="I987" s="2" t="s">
        <v>614</v>
      </c>
      <c r="J987" s="46">
        <f>VLOOKUP(Table1[[#This Row],[Status]],Auxiliar!$B$16:$C$24,2,0)</f>
        <v>1</v>
      </c>
      <c r="K987" s="21" t="s">
        <v>1255</v>
      </c>
      <c r="L987" s="2" t="s">
        <v>1258</v>
      </c>
      <c r="M987" s="21" t="s">
        <v>1260</v>
      </c>
      <c r="N987" s="48">
        <v>45562</v>
      </c>
      <c r="O987" s="21">
        <f>INDEX(Auxiliar!$D$5:$F$13,MATCH(Table1[[#This Row],[Tipologia_Testes]],Auxiliar!$B$5:$B$13,0),MATCH(Table1[[#This Row],[Complexidade]],Auxiliar!$D$4:$F$4,0))</f>
        <v>0.1</v>
      </c>
      <c r="P987" s="2" t="s">
        <v>1334</v>
      </c>
      <c r="Q987" s="2"/>
      <c r="R987" s="152">
        <v>45261</v>
      </c>
      <c r="S987" s="152"/>
      <c r="T987" s="152"/>
      <c r="U987" s="152">
        <v>45603</v>
      </c>
      <c r="V987" s="152"/>
      <c r="W987" s="2">
        <f>VLOOKUP(Table1[[#This Row],[Status]],Auxiliar!$B$16:$D$24,3,0)*Table1[[#This Row],[Estimação (horas)]]</f>
        <v>0.1</v>
      </c>
      <c r="X987" s="2"/>
    </row>
    <row r="988" spans="2:24" ht="17.7" customHeight="1" x14ac:dyDescent="0.25">
      <c r="B988" s="13" t="s">
        <v>26</v>
      </c>
      <c r="C988" s="13" t="s">
        <v>181</v>
      </c>
      <c r="D988" s="13" t="s">
        <v>1302</v>
      </c>
      <c r="E988" s="2" t="s">
        <v>38</v>
      </c>
      <c r="F988" s="13" t="s">
        <v>219</v>
      </c>
      <c r="G988" s="13" t="s">
        <v>234</v>
      </c>
      <c r="H988" s="58" t="str">
        <f>Table1[[#This Row],[Tabela]]&amp;Table1[[#This Row],[Campo]]</f>
        <v>modesg_inp_emss_nacescp1_ftr_emss</v>
      </c>
      <c r="I988" s="2" t="s">
        <v>614</v>
      </c>
      <c r="J988" s="46">
        <f>VLOOKUP(Table1[[#This Row],[Status]],Auxiliar!$B$16:$C$24,2,0)</f>
        <v>1</v>
      </c>
      <c r="K988" s="21" t="s">
        <v>1263</v>
      </c>
      <c r="L988" s="2" t="s">
        <v>1258</v>
      </c>
      <c r="M988" s="21" t="s">
        <v>1260</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customHeight="1" x14ac:dyDescent="0.25">
      <c r="B989" s="13" t="s">
        <v>26</v>
      </c>
      <c r="C989" s="13" t="s">
        <v>181</v>
      </c>
      <c r="D989" s="13" t="s">
        <v>1302</v>
      </c>
      <c r="E989" s="2" t="s">
        <v>38</v>
      </c>
      <c r="F989" s="13" t="s">
        <v>219</v>
      </c>
      <c r="G989" s="13" t="s">
        <v>235</v>
      </c>
      <c r="H989" s="58" t="str">
        <f>Table1[[#This Row],[Tabela]]&amp;Table1[[#This Row],[Campo]]</f>
        <v>modesg_inp_emss_nacescp2_ftr_emss</v>
      </c>
      <c r="I989" s="2" t="s">
        <v>614</v>
      </c>
      <c r="J989" s="46">
        <f>VLOOKUP(Table1[[#This Row],[Status]],Auxiliar!$B$16:$C$24,2,0)</f>
        <v>1</v>
      </c>
      <c r="K989" s="21" t="s">
        <v>1255</v>
      </c>
      <c r="L989" s="2" t="s">
        <v>1258</v>
      </c>
      <c r="M989" s="21" t="s">
        <v>1260</v>
      </c>
      <c r="N989" s="48">
        <v>45562</v>
      </c>
      <c r="O989" s="21">
        <f>INDEX(Auxiliar!$D$5:$F$13,MATCH(Table1[[#This Row],[Tipologia_Testes]],Auxiliar!$B$5:$B$13,0),MATCH(Table1[[#This Row],[Complexidade]],Auxiliar!$D$4:$F$4,0))</f>
        <v>0.1</v>
      </c>
      <c r="P989" s="2" t="s">
        <v>1334</v>
      </c>
      <c r="Q989" s="2"/>
      <c r="R989" s="152">
        <v>45261</v>
      </c>
      <c r="S989" s="152"/>
      <c r="T989" s="152"/>
      <c r="U989" s="152">
        <v>45603</v>
      </c>
      <c r="V989" s="152"/>
      <c r="W989" s="2">
        <f>VLOOKUP(Table1[[#This Row],[Status]],Auxiliar!$B$16:$D$24,3,0)*Table1[[#This Row],[Estimação (horas)]]</f>
        <v>0.1</v>
      </c>
      <c r="X989" s="2"/>
    </row>
    <row r="990" spans="2:24" ht="17.7" customHeight="1" x14ac:dyDescent="0.25">
      <c r="B990" s="13" t="s">
        <v>26</v>
      </c>
      <c r="C990" s="13" t="s">
        <v>181</v>
      </c>
      <c r="D990" s="13" t="s">
        <v>1302</v>
      </c>
      <c r="E990" s="2" t="s">
        <v>38</v>
      </c>
      <c r="F990" s="13" t="s">
        <v>219</v>
      </c>
      <c r="G990" s="13" t="s">
        <v>235</v>
      </c>
      <c r="H990" s="58" t="str">
        <f>Table1[[#This Row],[Tabela]]&amp;Table1[[#This Row],[Campo]]</f>
        <v>modesg_inp_emss_nacescp2_ftr_emss</v>
      </c>
      <c r="I990" s="2" t="s">
        <v>614</v>
      </c>
      <c r="J990" s="46">
        <f>VLOOKUP(Table1[[#This Row],[Status]],Auxiliar!$B$16:$C$24,2,0)</f>
        <v>1</v>
      </c>
      <c r="K990" s="21" t="s">
        <v>1263</v>
      </c>
      <c r="L990" s="2" t="s">
        <v>1258</v>
      </c>
      <c r="M990" s="21" t="s">
        <v>1260</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7" customHeight="1" x14ac:dyDescent="0.25">
      <c r="B991" s="13" t="s">
        <v>26</v>
      </c>
      <c r="C991" s="13" t="s">
        <v>181</v>
      </c>
      <c r="D991" s="13" t="s">
        <v>1302</v>
      </c>
      <c r="E991" s="2" t="s">
        <v>38</v>
      </c>
      <c r="F991" s="13" t="s">
        <v>219</v>
      </c>
      <c r="G991" s="13" t="s">
        <v>236</v>
      </c>
      <c r="H991" s="58" t="str">
        <f>Table1[[#This Row],[Tabela]]&amp;Table1[[#This Row],[Campo]]</f>
        <v>modesg_inp_emss_nacescp3_ftr_emss</v>
      </c>
      <c r="I991" s="2" t="s">
        <v>614</v>
      </c>
      <c r="J991" s="46">
        <f>VLOOKUP(Table1[[#This Row],[Status]],Auxiliar!$B$16:$C$24,2,0)</f>
        <v>1</v>
      </c>
      <c r="K991" s="21" t="s">
        <v>1255</v>
      </c>
      <c r="L991" s="2" t="s">
        <v>1258</v>
      </c>
      <c r="M991" s="21" t="s">
        <v>1260</v>
      </c>
      <c r="N991" s="48">
        <v>45562</v>
      </c>
      <c r="O991" s="21">
        <f>INDEX(Auxiliar!$D$5:$F$13,MATCH(Table1[[#This Row],[Tipologia_Testes]],Auxiliar!$B$5:$B$13,0),MATCH(Table1[[#This Row],[Complexidade]],Auxiliar!$D$4:$F$4,0))</f>
        <v>0.1</v>
      </c>
      <c r="P991" s="2" t="s">
        <v>1334</v>
      </c>
      <c r="Q991" s="2"/>
      <c r="R991" s="152">
        <v>45261</v>
      </c>
      <c r="S991" s="152"/>
      <c r="T991" s="152"/>
      <c r="U991" s="152">
        <v>45603</v>
      </c>
      <c r="V991" s="152"/>
      <c r="W991" s="2">
        <f>VLOOKUP(Table1[[#This Row],[Status]],Auxiliar!$B$16:$D$24,3,0)*Table1[[#This Row],[Estimação (horas)]]</f>
        <v>0.1</v>
      </c>
      <c r="X991" s="2"/>
    </row>
    <row r="992" spans="2:24" ht="17.7" customHeight="1" x14ac:dyDescent="0.25">
      <c r="B992" s="13" t="s">
        <v>26</v>
      </c>
      <c r="C992" s="13" t="s">
        <v>181</v>
      </c>
      <c r="D992" s="13" t="s">
        <v>1302</v>
      </c>
      <c r="E992" s="2" t="s">
        <v>38</v>
      </c>
      <c r="F992" s="13" t="s">
        <v>219</v>
      </c>
      <c r="G992" s="13" t="s">
        <v>236</v>
      </c>
      <c r="H992" s="58" t="str">
        <f>Table1[[#This Row],[Tabela]]&amp;Table1[[#This Row],[Campo]]</f>
        <v>modesg_inp_emss_nacescp3_ftr_emss</v>
      </c>
      <c r="I992" s="2" t="s">
        <v>614</v>
      </c>
      <c r="J992" s="46">
        <f>VLOOKUP(Table1[[#This Row],[Status]],Auxiliar!$B$16:$C$24,2,0)</f>
        <v>1</v>
      </c>
      <c r="K992" s="21" t="s">
        <v>1263</v>
      </c>
      <c r="L992" s="2" t="s">
        <v>1258</v>
      </c>
      <c r="M992" s="21" t="s">
        <v>1260</v>
      </c>
      <c r="N992" s="48">
        <v>45562</v>
      </c>
      <c r="O992" s="21">
        <f>INDEX(Auxiliar!$D$5:$F$13,MATCH(Table1[[#This Row],[Tipologia_Testes]],Auxiliar!$B$5:$B$13,0),MATCH(Table1[[#This Row],[Complexidade]],Auxiliar!$D$4:$F$4,0))</f>
        <v>0.5</v>
      </c>
      <c r="P992" s="2"/>
      <c r="Q992" s="2"/>
      <c r="R992" s="152">
        <v>45261</v>
      </c>
      <c r="S992" s="152"/>
      <c r="T992" s="152"/>
      <c r="U992" s="152">
        <v>45603</v>
      </c>
      <c r="V992" s="152"/>
      <c r="W992" s="2">
        <f>VLOOKUP(Table1[[#This Row],[Status]],Auxiliar!$B$16:$D$24,3,0)*Table1[[#This Row],[Estimação (horas)]]</f>
        <v>0.5</v>
      </c>
      <c r="X992" s="2"/>
    </row>
    <row r="993" spans="2:24" ht="17.7" customHeight="1" x14ac:dyDescent="0.25">
      <c r="B993" s="13" t="s">
        <v>26</v>
      </c>
      <c r="C993" s="13" t="s">
        <v>181</v>
      </c>
      <c r="D993" s="13" t="s">
        <v>1302</v>
      </c>
      <c r="E993" s="2" t="s">
        <v>38</v>
      </c>
      <c r="F993" s="13" t="s">
        <v>220</v>
      </c>
      <c r="G993" s="13" t="s">
        <v>208</v>
      </c>
      <c r="H993" s="58" t="str">
        <f>Table1[[#This Row],[Tabela]]&amp;Table1[[#This Row],[Campo]]</f>
        <v>modesg_inp_emss_bens_imoveisref_date</v>
      </c>
      <c r="I993" s="2" t="s">
        <v>614</v>
      </c>
      <c r="J993" s="46">
        <f>VLOOKUP(Table1[[#This Row],[Status]],Auxiliar!$B$16:$C$24,2,0)</f>
        <v>1</v>
      </c>
      <c r="K993" s="21" t="s">
        <v>1263</v>
      </c>
      <c r="L993" s="21" t="s">
        <v>1258</v>
      </c>
      <c r="M993" s="21" t="s">
        <v>1260</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customHeight="1" x14ac:dyDescent="0.25">
      <c r="B994" s="13" t="s">
        <v>26</v>
      </c>
      <c r="C994" s="13" t="s">
        <v>181</v>
      </c>
      <c r="D994" s="13" t="s">
        <v>1302</v>
      </c>
      <c r="E994" s="2" t="s">
        <v>38</v>
      </c>
      <c r="F994" s="13" t="s">
        <v>220</v>
      </c>
      <c r="G994" s="13" t="s">
        <v>222</v>
      </c>
      <c r="H994" s="58" t="str">
        <f>Table1[[#This Row],[Tabela]]&amp;Table1[[#This Row],[Campo]]</f>
        <v>modesg_inp_emss_bens_imoveisnome_pais</v>
      </c>
      <c r="I994" s="2" t="s">
        <v>614</v>
      </c>
      <c r="J994" s="46">
        <f>VLOOKUP(Table1[[#This Row],[Status]],Auxiliar!$B$16:$C$24,2,0)</f>
        <v>1</v>
      </c>
      <c r="K994" s="21" t="s">
        <v>1263</v>
      </c>
      <c r="L994" s="21" t="s">
        <v>1258</v>
      </c>
      <c r="M994" s="21" t="s">
        <v>1260</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customHeight="1" x14ac:dyDescent="0.25">
      <c r="B995" s="13" t="s">
        <v>26</v>
      </c>
      <c r="C995" s="13" t="s">
        <v>181</v>
      </c>
      <c r="D995" s="13" t="s">
        <v>1302</v>
      </c>
      <c r="E995" s="2" t="s">
        <v>38</v>
      </c>
      <c r="F995" s="13" t="s">
        <v>220</v>
      </c>
      <c r="G995" s="13" t="s">
        <v>223</v>
      </c>
      <c r="H995" s="58" t="str">
        <f>Table1[[#This Row],[Tabela]]&amp;Table1[[#This Row],[Campo]]</f>
        <v>modesg_inp_emss_bens_imoveisnome_estado</v>
      </c>
      <c r="I995" s="2" t="s">
        <v>614</v>
      </c>
      <c r="J995" s="46">
        <f>VLOOKUP(Table1[[#This Row],[Status]],Auxiliar!$B$16:$C$24,2,0)</f>
        <v>1</v>
      </c>
      <c r="K995" s="21" t="s">
        <v>1263</v>
      </c>
      <c r="L995" s="21" t="s">
        <v>1258</v>
      </c>
      <c r="M995" s="21" t="s">
        <v>1260</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customHeight="1" x14ac:dyDescent="0.25">
      <c r="B996" s="13" t="s">
        <v>26</v>
      </c>
      <c r="C996" s="13" t="s">
        <v>181</v>
      </c>
      <c r="D996" s="13" t="s">
        <v>1302</v>
      </c>
      <c r="E996" s="2" t="s">
        <v>38</v>
      </c>
      <c r="F996" s="13" t="s">
        <v>220</v>
      </c>
      <c r="G996" s="65" t="s">
        <v>301</v>
      </c>
      <c r="H996" s="58" t="str">
        <f>Table1[[#This Row],[Tabela]]&amp;Table1[[#This Row],[Campo]]</f>
        <v>modesg_inp_emss_bens_imoveisclasse_ativo</v>
      </c>
      <c r="I996" s="2" t="s">
        <v>614</v>
      </c>
      <c r="J996" s="46">
        <f>VLOOKUP(Table1[[#This Row],[Status]],Auxiliar!$B$16:$C$24,2,0)</f>
        <v>1</v>
      </c>
      <c r="K996" s="21" t="s">
        <v>1263</v>
      </c>
      <c r="L996" s="2" t="s">
        <v>655</v>
      </c>
      <c r="M996" s="21" t="s">
        <v>1260</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customHeight="1" x14ac:dyDescent="0.25">
      <c r="B997" s="13" t="s">
        <v>26</v>
      </c>
      <c r="C997" s="13" t="s">
        <v>181</v>
      </c>
      <c r="D997" s="13" t="s">
        <v>1302</v>
      </c>
      <c r="E997" s="2" t="s">
        <v>38</v>
      </c>
      <c r="F997" s="13" t="s">
        <v>220</v>
      </c>
      <c r="G997" s="13" t="s">
        <v>304</v>
      </c>
      <c r="H997" s="58" t="str">
        <f>Table1[[#This Row],[Tabela]]&amp;Table1[[#This Row],[Campo]]</f>
        <v>modesg_inp_emss_bens_imoveistipo_fator_emissao</v>
      </c>
      <c r="I997" s="2" t="s">
        <v>614</v>
      </c>
      <c r="J997" s="46">
        <f>VLOOKUP(Table1[[#This Row],[Status]],Auxiliar!$B$16:$C$24,2,0)</f>
        <v>1</v>
      </c>
      <c r="K997" s="21" t="s">
        <v>1263</v>
      </c>
      <c r="L997" s="2" t="s">
        <v>655</v>
      </c>
      <c r="M997" s="21" t="s">
        <v>1260</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customHeight="1" x14ac:dyDescent="0.25">
      <c r="B998" s="13" t="s">
        <v>26</v>
      </c>
      <c r="C998" s="13" t="s">
        <v>181</v>
      </c>
      <c r="D998" s="13" t="s">
        <v>1302</v>
      </c>
      <c r="E998" s="2" t="s">
        <v>38</v>
      </c>
      <c r="F998" s="13" t="s">
        <v>220</v>
      </c>
      <c r="G998" s="13" t="s">
        <v>305</v>
      </c>
      <c r="H998" s="58" t="str">
        <f>Table1[[#This Row],[Tabela]]&amp;Table1[[#This Row],[Campo]]</f>
        <v>modesg_inp_emss_bens_imoveisregiao</v>
      </c>
      <c r="I998" s="2" t="s">
        <v>614</v>
      </c>
      <c r="J998" s="46">
        <f>VLOOKUP(Table1[[#This Row],[Status]],Auxiliar!$B$16:$C$24,2,0)</f>
        <v>1</v>
      </c>
      <c r="K998" s="21" t="s">
        <v>1263</v>
      </c>
      <c r="L998" s="2" t="s">
        <v>655</v>
      </c>
      <c r="M998" s="21" t="s">
        <v>1260</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customHeight="1" x14ac:dyDescent="0.25">
      <c r="B999" s="13" t="s">
        <v>26</v>
      </c>
      <c r="C999" s="13" t="s">
        <v>181</v>
      </c>
      <c r="D999" s="13" t="s">
        <v>1302</v>
      </c>
      <c r="E999" s="2" t="s">
        <v>38</v>
      </c>
      <c r="F999" s="13" t="s">
        <v>220</v>
      </c>
      <c r="G999" s="13" t="s">
        <v>306</v>
      </c>
      <c r="H999" s="58" t="str">
        <f>Table1[[#This Row],[Tabela]]&amp;Table1[[#This Row],[Campo]]</f>
        <v>modesg_inp_emss_bens_imoveistipo_bem</v>
      </c>
      <c r="I999" s="2" t="s">
        <v>614</v>
      </c>
      <c r="J999" s="46">
        <f>VLOOKUP(Table1[[#This Row],[Status]],Auxiliar!$B$16:$C$24,2,0)</f>
        <v>1</v>
      </c>
      <c r="K999" s="21" t="s">
        <v>1263</v>
      </c>
      <c r="L999" s="21" t="s">
        <v>1258</v>
      </c>
      <c r="M999" s="21" t="s">
        <v>1260</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customHeight="1" x14ac:dyDescent="0.25">
      <c r="B1000" s="13" t="s">
        <v>26</v>
      </c>
      <c r="C1000" s="13" t="s">
        <v>181</v>
      </c>
      <c r="D1000" s="13" t="s">
        <v>1302</v>
      </c>
      <c r="E1000" s="2" t="s">
        <v>38</v>
      </c>
      <c r="F1000" s="13" t="s">
        <v>220</v>
      </c>
      <c r="G1000" s="13" t="s">
        <v>307</v>
      </c>
      <c r="H1000" s="58" t="str">
        <f>Table1[[#This Row],[Tabela]]&amp;Table1[[#This Row],[Campo]]</f>
        <v>modesg_inp_emss_bens_imoveistipo_finalidade_bem</v>
      </c>
      <c r="I1000" s="2" t="s">
        <v>614</v>
      </c>
      <c r="J1000" s="46">
        <f>VLOOKUP(Table1[[#This Row],[Status]],Auxiliar!$B$16:$C$24,2,0)</f>
        <v>1</v>
      </c>
      <c r="K1000" s="21" t="s">
        <v>1263</v>
      </c>
      <c r="L1000" s="21" t="s">
        <v>1258</v>
      </c>
      <c r="M1000" s="21" t="s">
        <v>1260</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customHeight="1" x14ac:dyDescent="0.25">
      <c r="B1001" s="13" t="s">
        <v>26</v>
      </c>
      <c r="C1001" s="13" t="s">
        <v>181</v>
      </c>
      <c r="D1001" s="13" t="s">
        <v>1302</v>
      </c>
      <c r="E1001" s="2" t="s">
        <v>38</v>
      </c>
      <c r="F1001" s="13" t="s">
        <v>220</v>
      </c>
      <c r="G1001" s="13" t="s">
        <v>198</v>
      </c>
      <c r="H1001" s="58" t="str">
        <f>Table1[[#This Row],[Tabela]]&amp;Table1[[#This Row],[Campo]]</f>
        <v>modesg_inp_emss_bens_imoveisepc</v>
      </c>
      <c r="I1001" s="2" t="s">
        <v>614</v>
      </c>
      <c r="J1001" s="46">
        <f>VLOOKUP(Table1[[#This Row],[Status]],Auxiliar!$B$16:$C$24,2,0)</f>
        <v>1</v>
      </c>
      <c r="K1001" s="21" t="s">
        <v>1263</v>
      </c>
      <c r="L1001" s="21" t="s">
        <v>1258</v>
      </c>
      <c r="M1001" s="21" t="s">
        <v>1260</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customHeight="1" x14ac:dyDescent="0.25">
      <c r="B1002" s="13" t="s">
        <v>26</v>
      </c>
      <c r="C1002" s="13" t="s">
        <v>181</v>
      </c>
      <c r="D1002" s="13" t="s">
        <v>1302</v>
      </c>
      <c r="E1002" s="2" t="s">
        <v>38</v>
      </c>
      <c r="F1002" s="13" t="s">
        <v>220</v>
      </c>
      <c r="G1002" s="13" t="s">
        <v>308</v>
      </c>
      <c r="H1002" s="58" t="str">
        <f>Table1[[#This Row],[Tabela]]&amp;Table1[[#This Row],[Campo]]</f>
        <v>modesg_inp_emss_bens_imoveisflg_ftr_emss_area</v>
      </c>
      <c r="I1002" s="2" t="s">
        <v>613</v>
      </c>
      <c r="J1002" s="46">
        <f>VLOOKUP(Table1[[#This Row],[Status]],Auxiliar!$B$16:$C$24,2,0)</f>
        <v>0</v>
      </c>
      <c r="K1002" s="21" t="s">
        <v>1263</v>
      </c>
      <c r="L1002" s="21" t="s">
        <v>1258</v>
      </c>
      <c r="M1002" s="21" t="s">
        <v>1260</v>
      </c>
      <c r="N1002" s="48">
        <v>45546</v>
      </c>
      <c r="O1002" s="21">
        <f>INDEX(Auxiliar!$D$5:$F$13,MATCH(Table1[[#This Row],[Tipologia_Testes]],Auxiliar!$B$5:$B$13,0),MATCH(Table1[[#This Row],[Complexidade]],Auxiliar!$D$4:$F$4,0))</f>
        <v>0.5</v>
      </c>
      <c r="P1002" s="2"/>
      <c r="Q1002" s="2"/>
      <c r="R1002" s="152">
        <v>45261</v>
      </c>
      <c r="S1002" s="152"/>
      <c r="T1002" s="152"/>
      <c r="U1002" s="152">
        <v>45534</v>
      </c>
      <c r="V1002" s="152">
        <v>45534</v>
      </c>
      <c r="W1002" s="2">
        <f>VLOOKUP(Table1[[#This Row],[Status]],Auxiliar!$B$16:$D$24,3,0)*Table1[[#This Row],[Estimação (horas)]]</f>
        <v>0</v>
      </c>
      <c r="X1002" s="2"/>
    </row>
    <row r="1003" spans="2:24" ht="17.7" customHeight="1" x14ac:dyDescent="0.25">
      <c r="B1003" s="13" t="s">
        <v>26</v>
      </c>
      <c r="C1003" s="13" t="s">
        <v>181</v>
      </c>
      <c r="D1003" s="13" t="s">
        <v>1302</v>
      </c>
      <c r="E1003" s="2" t="s">
        <v>38</v>
      </c>
      <c r="F1003" s="13" t="s">
        <v>220</v>
      </c>
      <c r="G1003" s="13" t="s">
        <v>229</v>
      </c>
      <c r="H1003" s="58" t="str">
        <f>Table1[[#This Row],[Tabela]]&amp;Table1[[#This Row],[Campo]]</f>
        <v>modesg_inp_emss_bens_imoveisnome_unidade_funcional</v>
      </c>
      <c r="I1003" s="2" t="s">
        <v>614</v>
      </c>
      <c r="J1003" s="46">
        <f>VLOOKUP(Table1[[#This Row],[Status]],Auxiliar!$B$16:$C$24,2,0)</f>
        <v>1</v>
      </c>
      <c r="K1003" s="21" t="s">
        <v>1263</v>
      </c>
      <c r="L1003" s="21" t="s">
        <v>1258</v>
      </c>
      <c r="M1003" s="21" t="s">
        <v>1260</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customHeight="1" x14ac:dyDescent="0.25">
      <c r="B1004" s="13" t="s">
        <v>26</v>
      </c>
      <c r="C1004" s="13" t="s">
        <v>181</v>
      </c>
      <c r="D1004" s="13" t="s">
        <v>1302</v>
      </c>
      <c r="E1004" s="2" t="s">
        <v>38</v>
      </c>
      <c r="F1004" s="13" t="s">
        <v>220</v>
      </c>
      <c r="G1004" s="13" t="s">
        <v>230</v>
      </c>
      <c r="H1004" s="58" t="str">
        <f>Table1[[#This Row],[Tabela]]&amp;Table1[[#This Row],[Campo]]</f>
        <v>modesg_inp_emss_bens_imoveisunidade_funcional</v>
      </c>
      <c r="I1004" s="2" t="s">
        <v>614</v>
      </c>
      <c r="J1004" s="46">
        <f>VLOOKUP(Table1[[#This Row],[Status]],Auxiliar!$B$16:$C$24,2,0)</f>
        <v>1</v>
      </c>
      <c r="K1004" s="21" t="s">
        <v>1263</v>
      </c>
      <c r="L1004" s="21" t="s">
        <v>1258</v>
      </c>
      <c r="M1004" s="21" t="s">
        <v>1260</v>
      </c>
      <c r="N1004" s="48">
        <v>45546</v>
      </c>
      <c r="O1004" s="21">
        <f>INDEX(Auxiliar!$D$5:$F$13,MATCH(Table1[[#This Row],[Tipologia_Testes]],Auxiliar!$B$5:$B$13,0),MATCH(Table1[[#This Row],[Complexidade]],Auxiliar!$D$4:$F$4,0))</f>
        <v>0.5</v>
      </c>
      <c r="P1004" s="2" t="s">
        <v>1335</v>
      </c>
      <c r="Q1004" s="2"/>
      <c r="R1004" s="152">
        <v>45261</v>
      </c>
      <c r="S1004" s="152"/>
      <c r="T1004" s="152"/>
      <c r="U1004" s="152">
        <v>45603</v>
      </c>
      <c r="V1004" s="152">
        <v>45534</v>
      </c>
      <c r="W1004" s="2">
        <f>VLOOKUP(Table1[[#This Row],[Status]],Auxiliar!$B$16:$D$24,3,0)*Table1[[#This Row],[Estimação (horas)]]</f>
        <v>0.5</v>
      </c>
      <c r="X1004" s="2"/>
    </row>
    <row r="1005" spans="2:24" ht="17.7" customHeight="1" x14ac:dyDescent="0.25">
      <c r="B1005" s="13" t="s">
        <v>26</v>
      </c>
      <c r="C1005" s="13" t="s">
        <v>181</v>
      </c>
      <c r="D1005" s="13" t="s">
        <v>1302</v>
      </c>
      <c r="E1005" s="2" t="s">
        <v>38</v>
      </c>
      <c r="F1005" s="13" t="s">
        <v>220</v>
      </c>
      <c r="G1005" s="13" t="s">
        <v>231</v>
      </c>
      <c r="H1005" s="58" t="str">
        <f>Table1[[#This Row],[Tabela]]&amp;Table1[[#This Row],[Campo]]</f>
        <v>modesg_inp_emss_bens_imoveisnome_fator_emissao</v>
      </c>
      <c r="I1005" s="2" t="s">
        <v>614</v>
      </c>
      <c r="J1005" s="46">
        <f>VLOOKUP(Table1[[#This Row],[Status]],Auxiliar!$B$16:$C$24,2,0)</f>
        <v>1</v>
      </c>
      <c r="K1005" s="21" t="s">
        <v>1263</v>
      </c>
      <c r="L1005" s="21" t="s">
        <v>1258</v>
      </c>
      <c r="M1005" s="21" t="s">
        <v>1260</v>
      </c>
      <c r="N1005" s="48">
        <v>45546</v>
      </c>
      <c r="O1005" s="21">
        <f>INDEX(Auxiliar!$D$5:$F$13,MATCH(Table1[[#This Row],[Tipologia_Testes]],Auxiliar!$B$5:$B$13,0),MATCH(Table1[[#This Row],[Complexidade]],Auxiliar!$D$4:$F$4,0))</f>
        <v>0.5</v>
      </c>
      <c r="P1005" s="2" t="s">
        <v>1335</v>
      </c>
      <c r="Q1005" s="2"/>
      <c r="R1005" s="152">
        <v>45261</v>
      </c>
      <c r="S1005" s="152"/>
      <c r="T1005" s="152"/>
      <c r="U1005" s="152">
        <v>45603</v>
      </c>
      <c r="V1005" s="152">
        <v>45534</v>
      </c>
      <c r="W1005" s="2">
        <f>VLOOKUP(Table1[[#This Row],[Status]],Auxiliar!$B$16:$D$24,3,0)*Table1[[#This Row],[Estimação (horas)]]</f>
        <v>0.5</v>
      </c>
      <c r="X1005" s="2"/>
    </row>
    <row r="1006" spans="2:24" ht="17.7" customHeight="1" x14ac:dyDescent="0.25">
      <c r="B1006" s="13" t="s">
        <v>26</v>
      </c>
      <c r="C1006" s="13" t="s">
        <v>181</v>
      </c>
      <c r="D1006" s="13" t="s">
        <v>1302</v>
      </c>
      <c r="E1006" s="2" t="s">
        <v>38</v>
      </c>
      <c r="F1006" s="13" t="s">
        <v>220</v>
      </c>
      <c r="G1006" s="13" t="s">
        <v>232</v>
      </c>
      <c r="H1006" s="58" t="str">
        <f>Table1[[#This Row],[Tabela]]&amp;Table1[[#This Row],[Campo]]</f>
        <v>modesg_inp_emss_bens_imoveisunidade_fator_de_emissao</v>
      </c>
      <c r="I1006" s="2" t="s">
        <v>614</v>
      </c>
      <c r="J1006" s="46">
        <f>VLOOKUP(Table1[[#This Row],[Status]],Auxiliar!$B$16:$C$24,2,0)</f>
        <v>1</v>
      </c>
      <c r="K1006" s="21" t="s">
        <v>1263</v>
      </c>
      <c r="L1006" s="21" t="s">
        <v>1258</v>
      </c>
      <c r="M1006" s="21" t="s">
        <v>1260</v>
      </c>
      <c r="N1006" s="48">
        <v>45546</v>
      </c>
      <c r="O1006" s="21">
        <f>INDEX(Auxiliar!$D$5:$F$13,MATCH(Table1[[#This Row],[Tipologia_Testes]],Auxiliar!$B$5:$B$13,0),MATCH(Table1[[#This Row],[Complexidade]],Auxiliar!$D$4:$F$4,0))</f>
        <v>0.5</v>
      </c>
      <c r="P1006" s="2" t="s">
        <v>1335</v>
      </c>
      <c r="Q1006" s="2"/>
      <c r="R1006" s="152">
        <v>45261</v>
      </c>
      <c r="S1006" s="152"/>
      <c r="T1006" s="152"/>
      <c r="U1006" s="152">
        <v>45603</v>
      </c>
      <c r="V1006" s="152">
        <v>45534</v>
      </c>
      <c r="W1006" s="2">
        <f>VLOOKUP(Table1[[#This Row],[Status]],Auxiliar!$B$16:$D$24,3,0)*Table1[[#This Row],[Estimação (horas)]]</f>
        <v>0.5</v>
      </c>
      <c r="X1006" s="2"/>
    </row>
    <row r="1007" spans="2:24" ht="17.7" customHeight="1" x14ac:dyDescent="0.25">
      <c r="B1007" s="13" t="s">
        <v>26</v>
      </c>
      <c r="C1007" s="13" t="s">
        <v>181</v>
      </c>
      <c r="D1007" s="13" t="s">
        <v>1302</v>
      </c>
      <c r="E1007" s="2" t="s">
        <v>38</v>
      </c>
      <c r="F1007" s="13" t="s">
        <v>220</v>
      </c>
      <c r="G1007" s="13" t="s">
        <v>233</v>
      </c>
      <c r="H1007" s="58" t="str">
        <f>Table1[[#This Row],[Tabela]]&amp;Table1[[#This Row],[Campo]]</f>
        <v>modesg_inp_emss_bens_imoveisscore_qualidade</v>
      </c>
      <c r="I1007" s="2" t="s">
        <v>614</v>
      </c>
      <c r="J1007" s="46">
        <f>VLOOKUP(Table1[[#This Row],[Status]],Auxiliar!$B$16:$C$24,2,0)</f>
        <v>1</v>
      </c>
      <c r="K1007" s="21" t="s">
        <v>1263</v>
      </c>
      <c r="L1007" s="2" t="s">
        <v>1250</v>
      </c>
      <c r="M1007" s="21" t="s">
        <v>1260</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customHeight="1" x14ac:dyDescent="0.25">
      <c r="B1008" s="13" t="s">
        <v>26</v>
      </c>
      <c r="C1008" s="13" t="s">
        <v>181</v>
      </c>
      <c r="D1008" s="13" t="s">
        <v>1302</v>
      </c>
      <c r="E1008" s="2" t="s">
        <v>38</v>
      </c>
      <c r="F1008" s="13" t="s">
        <v>220</v>
      </c>
      <c r="G1008" s="13" t="s">
        <v>309</v>
      </c>
      <c r="H1008" s="58" t="str">
        <f>Table1[[#This Row],[Tabela]]&amp;Table1[[#This Row],[Campo]]</f>
        <v>modesg_inp_emss_bens_imoveisano_fator_emissao</v>
      </c>
      <c r="I1008" s="2" t="s">
        <v>614</v>
      </c>
      <c r="J1008" s="46">
        <f>VLOOKUP(Table1[[#This Row],[Status]],Auxiliar!$B$16:$C$24,2,0)</f>
        <v>1</v>
      </c>
      <c r="K1008" s="21" t="s">
        <v>1263</v>
      </c>
      <c r="L1008" s="2" t="s">
        <v>655</v>
      </c>
      <c r="M1008" s="21" t="s">
        <v>1260</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7" customHeight="1" x14ac:dyDescent="0.25">
      <c r="B1009" s="13" t="s">
        <v>26</v>
      </c>
      <c r="C1009" s="13" t="s">
        <v>181</v>
      </c>
      <c r="D1009" s="13" t="s">
        <v>1302</v>
      </c>
      <c r="E1009" s="2" t="s">
        <v>38</v>
      </c>
      <c r="F1009" s="13" t="s">
        <v>220</v>
      </c>
      <c r="G1009" s="13" t="s">
        <v>234</v>
      </c>
      <c r="H1009" s="58" t="str">
        <f>Table1[[#This Row],[Tabela]]&amp;Table1[[#This Row],[Campo]]</f>
        <v>modesg_inp_emss_bens_imoveisscp1_ftr_emss</v>
      </c>
      <c r="I1009" s="2" t="s">
        <v>614</v>
      </c>
      <c r="J1009" s="46">
        <f>VLOOKUP(Table1[[#This Row],[Status]],Auxiliar!$B$16:$C$24,2,0)</f>
        <v>1</v>
      </c>
      <c r="K1009" s="21" t="s">
        <v>1255</v>
      </c>
      <c r="L1009" s="21" t="s">
        <v>1258</v>
      </c>
      <c r="M1009" s="21" t="s">
        <v>1260</v>
      </c>
      <c r="N1009" s="48">
        <v>45546</v>
      </c>
      <c r="O1009" s="21">
        <f>INDEX(Auxiliar!$D$5:$F$13,MATCH(Table1[[#This Row],[Tipologia_Testes]],Auxiliar!$B$5:$B$13,0),MATCH(Table1[[#This Row],[Complexidade]],Auxiliar!$D$4:$F$4,0))</f>
        <v>0.1</v>
      </c>
      <c r="P1009" s="2" t="s">
        <v>1336</v>
      </c>
      <c r="Q1009" s="2"/>
      <c r="R1009" s="152">
        <v>45261</v>
      </c>
      <c r="S1009" s="152"/>
      <c r="T1009" s="152"/>
      <c r="U1009" s="152">
        <v>45603</v>
      </c>
      <c r="V1009" s="152">
        <v>45534</v>
      </c>
      <c r="W1009" s="2">
        <f>VLOOKUP(Table1[[#This Row],[Status]],Auxiliar!$B$16:$D$24,3,0)*Table1[[#This Row],[Estimação (horas)]]</f>
        <v>0.1</v>
      </c>
      <c r="X1009" s="2"/>
    </row>
    <row r="1010" spans="2:24" ht="17.7" customHeight="1" x14ac:dyDescent="0.25">
      <c r="B1010" s="13" t="s">
        <v>26</v>
      </c>
      <c r="C1010" s="13" t="s">
        <v>181</v>
      </c>
      <c r="D1010" s="13" t="s">
        <v>1302</v>
      </c>
      <c r="E1010" s="2" t="s">
        <v>38</v>
      </c>
      <c r="F1010" s="13" t="s">
        <v>220</v>
      </c>
      <c r="G1010" s="13" t="s">
        <v>234</v>
      </c>
      <c r="H1010" s="58" t="str">
        <f>Table1[[#This Row],[Tabela]]&amp;Table1[[#This Row],[Campo]]</f>
        <v>modesg_inp_emss_bens_imoveisscp1_ftr_emss</v>
      </c>
      <c r="I1010" s="2" t="s">
        <v>614</v>
      </c>
      <c r="J1010" s="46">
        <f>VLOOKUP(Table1[[#This Row],[Status]],Auxiliar!$B$16:$C$24,2,0)</f>
        <v>1</v>
      </c>
      <c r="K1010" s="21" t="s">
        <v>1263</v>
      </c>
      <c r="L1010" s="21" t="s">
        <v>1258</v>
      </c>
      <c r="M1010" s="21" t="s">
        <v>1260</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customHeight="1" x14ac:dyDescent="0.25">
      <c r="B1011" s="13" t="s">
        <v>26</v>
      </c>
      <c r="C1011" s="13" t="s">
        <v>181</v>
      </c>
      <c r="D1011" s="13" t="s">
        <v>1302</v>
      </c>
      <c r="E1011" s="2" t="s">
        <v>38</v>
      </c>
      <c r="F1011" s="13" t="s">
        <v>220</v>
      </c>
      <c r="G1011" s="13" t="s">
        <v>235</v>
      </c>
      <c r="H1011" s="58" t="str">
        <f>Table1[[#This Row],[Tabela]]&amp;Table1[[#This Row],[Campo]]</f>
        <v>modesg_inp_emss_bens_imoveisscp2_ftr_emss</v>
      </c>
      <c r="I1011" s="2" t="s">
        <v>614</v>
      </c>
      <c r="J1011" s="46">
        <f>VLOOKUP(Table1[[#This Row],[Status]],Auxiliar!$B$16:$C$24,2,0)</f>
        <v>1</v>
      </c>
      <c r="K1011" s="21" t="s">
        <v>1255</v>
      </c>
      <c r="L1011" s="21" t="s">
        <v>1258</v>
      </c>
      <c r="M1011" s="21" t="s">
        <v>1260</v>
      </c>
      <c r="N1011" s="48">
        <v>45546</v>
      </c>
      <c r="O1011" s="21">
        <f>INDEX(Auxiliar!$D$5:$F$13,MATCH(Table1[[#This Row],[Tipologia_Testes]],Auxiliar!$B$5:$B$13,0),MATCH(Table1[[#This Row],[Complexidade]],Auxiliar!$D$4:$F$4,0))</f>
        <v>0.1</v>
      </c>
      <c r="P1011" s="2" t="s">
        <v>1336</v>
      </c>
      <c r="Q1011" s="2"/>
      <c r="R1011" s="152">
        <v>45261</v>
      </c>
      <c r="S1011" s="152"/>
      <c r="T1011" s="152"/>
      <c r="U1011" s="152">
        <v>45603</v>
      </c>
      <c r="V1011" s="152">
        <v>45534</v>
      </c>
      <c r="W1011" s="2">
        <f>VLOOKUP(Table1[[#This Row],[Status]],Auxiliar!$B$16:$D$24,3,0)*Table1[[#This Row],[Estimação (horas)]]</f>
        <v>0.1</v>
      </c>
      <c r="X1011" s="2"/>
    </row>
    <row r="1012" spans="2:24" ht="17.7" customHeight="1" x14ac:dyDescent="0.25">
      <c r="B1012" s="13" t="s">
        <v>26</v>
      </c>
      <c r="C1012" s="13" t="s">
        <v>181</v>
      </c>
      <c r="D1012" s="13" t="s">
        <v>1302</v>
      </c>
      <c r="E1012" s="2" t="s">
        <v>38</v>
      </c>
      <c r="F1012" s="13" t="s">
        <v>220</v>
      </c>
      <c r="G1012" s="13" t="s">
        <v>235</v>
      </c>
      <c r="H1012" s="58" t="str">
        <f>Table1[[#This Row],[Tabela]]&amp;Table1[[#This Row],[Campo]]</f>
        <v>modesg_inp_emss_bens_imoveisscp2_ftr_emss</v>
      </c>
      <c r="I1012" s="2" t="s">
        <v>614</v>
      </c>
      <c r="J1012" s="46">
        <f>VLOOKUP(Table1[[#This Row],[Status]],Auxiliar!$B$16:$C$24,2,0)</f>
        <v>1</v>
      </c>
      <c r="K1012" s="21" t="s">
        <v>1263</v>
      </c>
      <c r="L1012" s="21" t="s">
        <v>1258</v>
      </c>
      <c r="M1012" s="21" t="s">
        <v>1260</v>
      </c>
      <c r="N1012" s="48">
        <v>45546</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7" customHeight="1" x14ac:dyDescent="0.25">
      <c r="B1013" s="20" t="s">
        <v>26</v>
      </c>
      <c r="C1013" s="20" t="s">
        <v>181</v>
      </c>
      <c r="D1013" s="13" t="s">
        <v>1302</v>
      </c>
      <c r="E1013" s="2" t="s">
        <v>38</v>
      </c>
      <c r="F1013" s="20" t="s">
        <v>220</v>
      </c>
      <c r="G1013" s="20" t="s">
        <v>304</v>
      </c>
      <c r="H1013" s="59" t="str">
        <f>Table1[[#This Row],[Tabela]]&amp;Table1[[#This Row],[Campo]]</f>
        <v>modesg_inp_emss_bens_imoveistipo_fator_emissao</v>
      </c>
      <c r="I1013" s="2" t="s">
        <v>614</v>
      </c>
      <c r="J1013" s="45">
        <f>VLOOKUP(Table1[[#This Row],[Status]],Auxiliar!$B$16:$C$24,2,0)</f>
        <v>1</v>
      </c>
      <c r="K1013" s="44" t="s">
        <v>1263</v>
      </c>
      <c r="L1013" s="21" t="s">
        <v>1258</v>
      </c>
      <c r="M1013" s="21" t="s">
        <v>1260</v>
      </c>
      <c r="N1013" s="48">
        <v>45546</v>
      </c>
      <c r="O1013" s="21">
        <f>INDEX(Auxiliar!$D$5:$F$13,MATCH(Table1[[#This Row],[Tipologia_Testes]],Auxiliar!$B$5:$B$13,0),MATCH(Table1[[#This Row],[Complexidade]],Auxiliar!$D$4:$F$4,0))</f>
        <v>0.5</v>
      </c>
      <c r="P1013" s="32"/>
      <c r="Q1013" s="32"/>
      <c r="R1013" s="152">
        <v>45261</v>
      </c>
      <c r="S1013" s="152"/>
      <c r="T1013" s="152"/>
      <c r="U1013" s="152">
        <v>45603</v>
      </c>
      <c r="V1013" s="152">
        <v>45534</v>
      </c>
      <c r="W1013" s="2">
        <f>VLOOKUP(Table1[[#This Row],[Status]],Auxiliar!$B$16:$D$24,3,0)*Table1[[#This Row],[Estimação (horas)]]</f>
        <v>0.5</v>
      </c>
      <c r="X1013" s="32"/>
    </row>
    <row r="1014" spans="2:24" ht="34.950000000000003" customHeight="1" x14ac:dyDescent="0.25">
      <c r="B1014" s="39" t="s">
        <v>26</v>
      </c>
      <c r="C1014" s="39" t="s">
        <v>26</v>
      </c>
      <c r="D1014" s="36" t="s">
        <v>338</v>
      </c>
      <c r="E1014" s="111" t="s">
        <v>1337</v>
      </c>
      <c r="F1014" s="40" t="s">
        <v>336</v>
      </c>
      <c r="G1014" s="38" t="s">
        <v>337</v>
      </c>
      <c r="H1014" s="60" t="str">
        <f>Table1[[#This Row],[Tabela]]&amp;Table1[[#This Row],[Campo]]</f>
        <v>lt003_entitynace_esg</v>
      </c>
      <c r="I1014" s="2" t="s">
        <v>1927</v>
      </c>
      <c r="J1014" s="45">
        <f>VLOOKUP(Table1[[#This Row],[Status]],Auxiliar!$B$16:$C$24,2,0)</f>
        <v>2</v>
      </c>
      <c r="K1014" s="45" t="s">
        <v>1252</v>
      </c>
      <c r="L1014" s="46" t="s">
        <v>1258</v>
      </c>
      <c r="M1014" s="21" t="s">
        <v>1259</v>
      </c>
      <c r="N1014" s="48">
        <v>45618</v>
      </c>
      <c r="O1014" s="21">
        <f>INDEX(Auxiliar!$D$5:$F$13,MATCH(Table1[[#This Row],[Tipologia_Testes]],Auxiliar!$B$5:$B$13,0),MATCH(Table1[[#This Row],[Complexidade]],Auxiliar!$D$4:$F$4,0))</f>
        <v>2</v>
      </c>
      <c r="P1014" s="47"/>
      <c r="Q1014" s="114"/>
      <c r="R1014" s="152">
        <v>45583</v>
      </c>
      <c r="S1014" s="152"/>
      <c r="T1014" s="152">
        <v>45583</v>
      </c>
      <c r="U1014" s="152"/>
      <c r="V1014" s="152">
        <v>45596</v>
      </c>
      <c r="W1014" s="2">
        <f>VLOOKUP(Table1[[#This Row],[Status]],Auxiliar!$B$16:$D$24,3,0)*Table1[[#This Row],[Estimação (horas)]]</f>
        <v>1</v>
      </c>
      <c r="X1014" s="114"/>
    </row>
    <row r="1015" spans="2:24" ht="34.950000000000003" customHeight="1" x14ac:dyDescent="0.25">
      <c r="B1015" s="39" t="s">
        <v>26</v>
      </c>
      <c r="C1015" s="39" t="s">
        <v>26</v>
      </c>
      <c r="D1015" s="36" t="s">
        <v>338</v>
      </c>
      <c r="E1015" s="111" t="s">
        <v>1337</v>
      </c>
      <c r="F1015" s="40" t="s">
        <v>336</v>
      </c>
      <c r="G1015" s="38" t="s">
        <v>337</v>
      </c>
      <c r="H1015" s="60" t="str">
        <f>Table1[[#This Row],[Tabela]]&amp;Table1[[#This Row],[Campo]]</f>
        <v>lt003_entitynace_esg</v>
      </c>
      <c r="I1015" s="2" t="s">
        <v>1927</v>
      </c>
      <c r="J1015" s="45">
        <f>VLOOKUP(Table1[[#This Row],[Status]],Auxiliar!$B$16:$C$24,2,0)</f>
        <v>2</v>
      </c>
      <c r="K1015" s="45" t="s">
        <v>1253</v>
      </c>
      <c r="L1015" s="46" t="s">
        <v>1258</v>
      </c>
      <c r="M1015" s="21" t="s">
        <v>1259</v>
      </c>
      <c r="N1015" s="48">
        <v>45618</v>
      </c>
      <c r="O1015" s="21">
        <f>INDEX(Auxiliar!$D$5:$F$13,MATCH(Table1[[#This Row],[Tipologia_Testes]],Auxiliar!$B$5:$B$13,0),MATCH(Table1[[#This Row],[Complexidade]],Auxiliar!$D$4:$F$4,0))</f>
        <v>2</v>
      </c>
      <c r="P1015" s="47"/>
      <c r="Q1015" s="114"/>
      <c r="R1015" s="152">
        <v>45583</v>
      </c>
      <c r="S1015" s="152"/>
      <c r="T1015" s="152">
        <v>45583</v>
      </c>
      <c r="U1015" s="152"/>
      <c r="V1015" s="152">
        <v>45596</v>
      </c>
      <c r="W1015" s="2">
        <f>VLOOKUP(Table1[[#This Row],[Status]],Auxiliar!$B$16:$D$24,3,0)*Table1[[#This Row],[Estimação (horas)]]</f>
        <v>1</v>
      </c>
      <c r="X1015" s="114"/>
    </row>
    <row r="1016" spans="2:24" ht="34.950000000000003" customHeight="1" x14ac:dyDescent="0.25">
      <c r="B1016" s="39" t="s">
        <v>26</v>
      </c>
      <c r="C1016" s="39" t="s">
        <v>26</v>
      </c>
      <c r="D1016" s="36" t="s">
        <v>338</v>
      </c>
      <c r="E1016" s="111" t="s">
        <v>1337</v>
      </c>
      <c r="F1016" s="40" t="s">
        <v>336</v>
      </c>
      <c r="G1016" s="38" t="s">
        <v>337</v>
      </c>
      <c r="H1016" s="60" t="str">
        <f>Table1[[#This Row],[Tabela]]&amp;Table1[[#This Row],[Campo]]</f>
        <v>lt003_entitynace_esg</v>
      </c>
      <c r="I1016" s="2" t="s">
        <v>1927</v>
      </c>
      <c r="J1016" s="45">
        <f>VLOOKUP(Table1[[#This Row],[Status]],Auxiliar!$B$16:$C$24,2,0)</f>
        <v>2</v>
      </c>
      <c r="K1016" s="45" t="s">
        <v>1255</v>
      </c>
      <c r="L1016" s="46" t="s">
        <v>1258</v>
      </c>
      <c r="M1016" s="21" t="s">
        <v>1259</v>
      </c>
      <c r="N1016" s="48">
        <v>45618</v>
      </c>
      <c r="O1016" s="21">
        <f>INDEX(Auxiliar!$D$5:$F$13,MATCH(Table1[[#This Row],[Tipologia_Testes]],Auxiliar!$B$5:$B$13,0),MATCH(Table1[[#This Row],[Complexidade]],Auxiliar!$D$4:$F$4,0))</f>
        <v>0.1</v>
      </c>
      <c r="P1016" s="47"/>
      <c r="Q1016" s="114"/>
      <c r="R1016" s="152">
        <v>45583</v>
      </c>
      <c r="S1016" s="152"/>
      <c r="T1016" s="152">
        <v>45583</v>
      </c>
      <c r="U1016" s="152"/>
      <c r="V1016" s="152">
        <v>45596</v>
      </c>
      <c r="W1016" s="2">
        <f>VLOOKUP(Table1[[#This Row],[Status]],Auxiliar!$B$16:$D$24,3,0)*Table1[[#This Row],[Estimação (horas)]]</f>
        <v>0.05</v>
      </c>
      <c r="X1016" s="114"/>
    </row>
    <row r="1017" spans="2:24" ht="34.950000000000003" customHeight="1" x14ac:dyDescent="0.25">
      <c r="B1017" s="39" t="s">
        <v>26</v>
      </c>
      <c r="C1017" s="39" t="s">
        <v>26</v>
      </c>
      <c r="D1017" s="36" t="s">
        <v>326</v>
      </c>
      <c r="E1017" s="40" t="s">
        <v>256</v>
      </c>
      <c r="F1017" s="40" t="s">
        <v>336</v>
      </c>
      <c r="G1017" s="38" t="s">
        <v>339</v>
      </c>
      <c r="H1017" s="60" t="str">
        <f>Table1[[#This Row],[Tabela]]&amp;Table1[[#This Row],[Campo]]</f>
        <v>lt003_entitytxnmy_elgbl_capex_ccm</v>
      </c>
      <c r="I1017" s="2" t="s">
        <v>1927</v>
      </c>
      <c r="J1017" s="45">
        <f>VLOOKUP(Table1[[#This Row],[Status]],Auxiliar!$B$16:$C$24,2,0)</f>
        <v>2</v>
      </c>
      <c r="K1017" s="45" t="s">
        <v>1252</v>
      </c>
      <c r="L1017" s="46" t="s">
        <v>1258</v>
      </c>
      <c r="M1017" s="21" t="s">
        <v>1259</v>
      </c>
      <c r="N1017" s="48">
        <v>45618</v>
      </c>
      <c r="O1017" s="21">
        <f>INDEX(Auxiliar!$D$5:$F$13,MATCH(Table1[[#This Row],[Tipologia_Testes]],Auxiliar!$B$5:$B$13,0),MATCH(Table1[[#This Row],[Complexidade]],Auxiliar!$D$4:$F$4,0))</f>
        <v>2</v>
      </c>
      <c r="P1017" s="47"/>
      <c r="Q1017" s="114"/>
      <c r="R1017" s="152">
        <v>45583</v>
      </c>
      <c r="S1017" s="152"/>
      <c r="T1017" s="152">
        <v>45583</v>
      </c>
      <c r="U1017" s="152">
        <v>45614</v>
      </c>
      <c r="V1017" s="152">
        <v>45596</v>
      </c>
      <c r="W1017" s="2">
        <f>VLOOKUP(Table1[[#This Row],[Status]],Auxiliar!$B$16:$D$24,3,0)*Table1[[#This Row],[Estimação (horas)]]</f>
        <v>1</v>
      </c>
      <c r="X1017" s="114"/>
    </row>
    <row r="1018" spans="2:24" ht="17.7" customHeight="1" x14ac:dyDescent="0.25">
      <c r="B1018" s="39" t="s">
        <v>26</v>
      </c>
      <c r="C1018" s="39" t="s">
        <v>26</v>
      </c>
      <c r="D1018" s="39" t="s">
        <v>326</v>
      </c>
      <c r="E1018" s="39" t="s">
        <v>256</v>
      </c>
      <c r="F1018" s="39" t="s">
        <v>336</v>
      </c>
      <c r="G1018" s="39" t="s">
        <v>339</v>
      </c>
      <c r="H1018" s="59" t="str">
        <f>Table1[[#This Row],[Tabela]]&amp;Table1[[#This Row],[Campo]]</f>
        <v>lt003_entitytxnmy_elgbl_capex_ccm</v>
      </c>
      <c r="I1018" s="2" t="s">
        <v>1927</v>
      </c>
      <c r="J1018" s="45">
        <f>VLOOKUP(Table1[[#This Row],[Status]],Auxiliar!$B$16:$C$24,2,0)</f>
        <v>2</v>
      </c>
      <c r="K1018" s="45" t="s">
        <v>1253</v>
      </c>
      <c r="L1018" s="46" t="s">
        <v>1258</v>
      </c>
      <c r="M1018" s="21" t="s">
        <v>1259</v>
      </c>
      <c r="N1018" s="48">
        <v>45618</v>
      </c>
      <c r="O1018" s="21">
        <f>INDEX(Auxiliar!$D$5:$F$13,MATCH(Table1[[#This Row],[Tipologia_Testes]],Auxiliar!$B$5:$B$13,0),MATCH(Table1[[#This Row],[Complexidade]],Auxiliar!$D$4:$F$4,0))</f>
        <v>2</v>
      </c>
      <c r="P1018" s="47"/>
      <c r="Q1018" s="114"/>
      <c r="R1018" s="152">
        <v>45589</v>
      </c>
      <c r="S1018" s="152"/>
      <c r="T1018" s="152">
        <v>45583</v>
      </c>
      <c r="U1018" s="152">
        <v>45614</v>
      </c>
      <c r="V1018" s="152">
        <v>45596</v>
      </c>
      <c r="W1018" s="2">
        <f>VLOOKUP(Table1[[#This Row],[Status]],Auxiliar!$B$16:$D$24,3,0)*Table1[[#This Row],[Estimação (horas)]]</f>
        <v>1</v>
      </c>
      <c r="X1018" s="114"/>
    </row>
    <row r="1019" spans="2:24" ht="17.7" customHeight="1" x14ac:dyDescent="0.25">
      <c r="B1019" s="39" t="s">
        <v>26</v>
      </c>
      <c r="C1019" s="39" t="s">
        <v>26</v>
      </c>
      <c r="D1019" s="39" t="s">
        <v>326</v>
      </c>
      <c r="E1019" s="39" t="s">
        <v>256</v>
      </c>
      <c r="F1019" s="39" t="s">
        <v>336</v>
      </c>
      <c r="G1019" s="39" t="s">
        <v>339</v>
      </c>
      <c r="H1019" s="59" t="str">
        <f>Table1[[#This Row],[Tabela]]&amp;Table1[[#This Row],[Campo]]</f>
        <v>lt003_entitytxnmy_elgbl_capex_ccm</v>
      </c>
      <c r="I1019" s="2" t="s">
        <v>1927</v>
      </c>
      <c r="J1019" s="45">
        <f>VLOOKUP(Table1[[#This Row],[Status]],Auxiliar!$B$16:$C$24,2,0)</f>
        <v>2</v>
      </c>
      <c r="K1019" s="45" t="s">
        <v>1255</v>
      </c>
      <c r="L1019" s="46" t="s">
        <v>1258</v>
      </c>
      <c r="M1019" s="21" t="s">
        <v>1259</v>
      </c>
      <c r="N1019" s="48">
        <v>45618</v>
      </c>
      <c r="O1019" s="21">
        <f>INDEX(Auxiliar!$D$5:$F$13,MATCH(Table1[[#This Row],[Tipologia_Testes]],Auxiliar!$B$5:$B$13,0),MATCH(Table1[[#This Row],[Complexidade]],Auxiliar!$D$4:$F$4,0))</f>
        <v>0.1</v>
      </c>
      <c r="P1019" s="47"/>
      <c r="Q1019" s="114"/>
      <c r="R1019" s="152">
        <v>45589</v>
      </c>
      <c r="S1019" s="152"/>
      <c r="T1019" s="152">
        <v>45583</v>
      </c>
      <c r="U1019" s="152">
        <v>45614</v>
      </c>
      <c r="V1019" s="152">
        <v>45596</v>
      </c>
      <c r="W1019" s="2">
        <f>VLOOKUP(Table1[[#This Row],[Status]],Auxiliar!$B$16:$D$24,3,0)*Table1[[#This Row],[Estimação (horas)]]</f>
        <v>0.05</v>
      </c>
      <c r="X1019" s="114"/>
    </row>
    <row r="1020" spans="2:24" ht="34.950000000000003" customHeight="1" x14ac:dyDescent="0.25">
      <c r="B1020" s="39" t="s">
        <v>26</v>
      </c>
      <c r="C1020" s="39" t="s">
        <v>26</v>
      </c>
      <c r="D1020" s="38" t="s">
        <v>326</v>
      </c>
      <c r="E1020" s="40" t="s">
        <v>252</v>
      </c>
      <c r="F1020" s="40" t="s">
        <v>336</v>
      </c>
      <c r="G1020" s="38" t="s">
        <v>340</v>
      </c>
      <c r="H1020" s="60" t="str">
        <f>Table1[[#This Row],[Tabela]]&amp;Table1[[#This Row],[Campo]]</f>
        <v>lt003_entitytxnmy_elgbl_trnvr_ccm</v>
      </c>
      <c r="I1020" s="2" t="s">
        <v>1927</v>
      </c>
      <c r="J1020" s="45">
        <f>VLOOKUP(Table1[[#This Row],[Status]],Auxiliar!$B$16:$C$24,2,0)</f>
        <v>2</v>
      </c>
      <c r="K1020" s="45" t="s">
        <v>1252</v>
      </c>
      <c r="L1020" s="46" t="s">
        <v>1258</v>
      </c>
      <c r="M1020" s="21" t="s">
        <v>1259</v>
      </c>
      <c r="N1020" s="48">
        <v>45618</v>
      </c>
      <c r="O1020" s="21">
        <f>INDEX(Auxiliar!$D$5:$F$13,MATCH(Table1[[#This Row],[Tipologia_Testes]],Auxiliar!$B$5:$B$13,0),MATCH(Table1[[#This Row],[Complexidade]],Auxiliar!$D$4:$F$4,0))</f>
        <v>2</v>
      </c>
      <c r="P1020" s="47"/>
      <c r="Q1020" s="114"/>
      <c r="R1020" s="152">
        <v>45589</v>
      </c>
      <c r="S1020" s="152"/>
      <c r="T1020" s="152"/>
      <c r="U1020" s="152">
        <v>45614</v>
      </c>
      <c r="V1020" s="152">
        <v>45596</v>
      </c>
      <c r="W1020" s="2">
        <f>VLOOKUP(Table1[[#This Row],[Status]],Auxiliar!$B$16:$D$24,3,0)*Table1[[#This Row],[Estimação (horas)]]</f>
        <v>1</v>
      </c>
      <c r="X1020" s="114"/>
    </row>
    <row r="1021" spans="2:24" ht="17.7" customHeight="1" x14ac:dyDescent="0.25">
      <c r="B1021" s="39" t="s">
        <v>26</v>
      </c>
      <c r="C1021" s="39" t="s">
        <v>26</v>
      </c>
      <c r="D1021" s="39" t="s">
        <v>326</v>
      </c>
      <c r="E1021" s="39" t="s">
        <v>252</v>
      </c>
      <c r="F1021" s="39" t="s">
        <v>336</v>
      </c>
      <c r="G1021" s="39" t="s">
        <v>340</v>
      </c>
      <c r="H1021" s="59" t="str">
        <f>Table1[[#This Row],[Tabela]]&amp;Table1[[#This Row],[Campo]]</f>
        <v>lt003_entitytxnmy_elgbl_trnvr_ccm</v>
      </c>
      <c r="I1021" s="2" t="s">
        <v>1927</v>
      </c>
      <c r="J1021" s="45">
        <f>VLOOKUP(Table1[[#This Row],[Status]],Auxiliar!$B$16:$C$24,2,0)</f>
        <v>2</v>
      </c>
      <c r="K1021" s="45" t="s">
        <v>1253</v>
      </c>
      <c r="L1021" s="46" t="s">
        <v>1258</v>
      </c>
      <c r="M1021" s="21" t="s">
        <v>1259</v>
      </c>
      <c r="N1021" s="48">
        <v>45618</v>
      </c>
      <c r="O1021" s="21">
        <f>INDEX(Auxiliar!$D$5:$F$13,MATCH(Table1[[#This Row],[Tipologia_Testes]],Auxiliar!$B$5:$B$13,0),MATCH(Table1[[#This Row],[Complexidade]],Auxiliar!$D$4:$F$4,0))</f>
        <v>2</v>
      </c>
      <c r="P1021" s="47"/>
      <c r="Q1021" s="114"/>
      <c r="R1021" s="152">
        <v>45589</v>
      </c>
      <c r="S1021" s="152"/>
      <c r="T1021" s="152"/>
      <c r="U1021" s="152">
        <v>45614</v>
      </c>
      <c r="V1021" s="152">
        <v>45596</v>
      </c>
      <c r="W1021" s="2">
        <f>VLOOKUP(Table1[[#This Row],[Status]],Auxiliar!$B$16:$D$24,3,0)*Table1[[#This Row],[Estimação (horas)]]</f>
        <v>1</v>
      </c>
      <c r="X1021" s="114"/>
    </row>
    <row r="1022" spans="2:24" ht="17.7" customHeight="1" x14ac:dyDescent="0.25">
      <c r="B1022" s="39" t="s">
        <v>26</v>
      </c>
      <c r="C1022" s="39" t="s">
        <v>26</v>
      </c>
      <c r="D1022" s="39" t="s">
        <v>326</v>
      </c>
      <c r="E1022" s="39" t="s">
        <v>252</v>
      </c>
      <c r="F1022" s="39" t="s">
        <v>336</v>
      </c>
      <c r="G1022" s="39" t="s">
        <v>340</v>
      </c>
      <c r="H1022" s="59" t="str">
        <f>Table1[[#This Row],[Tabela]]&amp;Table1[[#This Row],[Campo]]</f>
        <v>lt003_entitytxnmy_elgbl_trnvr_ccm</v>
      </c>
      <c r="I1022" s="2" t="s">
        <v>1927</v>
      </c>
      <c r="J1022" s="45">
        <f>VLOOKUP(Table1[[#This Row],[Status]],Auxiliar!$B$16:$C$24,2,0)</f>
        <v>2</v>
      </c>
      <c r="K1022" s="45" t="s">
        <v>1255</v>
      </c>
      <c r="L1022" s="46" t="s">
        <v>1258</v>
      </c>
      <c r="M1022" s="21" t="s">
        <v>1259</v>
      </c>
      <c r="N1022" s="48">
        <v>45618</v>
      </c>
      <c r="O1022" s="21">
        <f>INDEX(Auxiliar!$D$5:$F$13,MATCH(Table1[[#This Row],[Tipologia_Testes]],Auxiliar!$B$5:$B$13,0),MATCH(Table1[[#This Row],[Complexidade]],Auxiliar!$D$4:$F$4,0))</f>
        <v>0.1</v>
      </c>
      <c r="P1022" s="47"/>
      <c r="Q1022" s="114"/>
      <c r="R1022" s="152">
        <v>45589</v>
      </c>
      <c r="S1022" s="152"/>
      <c r="T1022" s="152"/>
      <c r="U1022" s="152">
        <v>45614</v>
      </c>
      <c r="V1022" s="152">
        <v>45596</v>
      </c>
      <c r="W1022" s="2">
        <f>VLOOKUP(Table1[[#This Row],[Status]],Auxiliar!$B$16:$D$24,3,0)*Table1[[#This Row],[Estimação (horas)]]</f>
        <v>0.05</v>
      </c>
      <c r="X1022" s="114"/>
    </row>
    <row r="1023" spans="2:24" ht="34.950000000000003" customHeight="1" x14ac:dyDescent="0.25">
      <c r="B1023" s="39" t="s">
        <v>26</v>
      </c>
      <c r="C1023" s="39" t="s">
        <v>26</v>
      </c>
      <c r="D1023" s="36" t="s">
        <v>326</v>
      </c>
      <c r="E1023" s="40" t="s">
        <v>249</v>
      </c>
      <c r="F1023" s="40" t="s">
        <v>336</v>
      </c>
      <c r="G1023" s="38" t="s">
        <v>341</v>
      </c>
      <c r="H1023" s="60" t="str">
        <f>Table1[[#This Row],[Tabela]]&amp;Table1[[#This Row],[Campo]]</f>
        <v>lt003_entitytxnmy_elgbl_capex_cca</v>
      </c>
      <c r="I1023" s="2" t="s">
        <v>1927</v>
      </c>
      <c r="J1023" s="45">
        <f>VLOOKUP(Table1[[#This Row],[Status]],Auxiliar!$B$16:$C$24,2,0)</f>
        <v>2</v>
      </c>
      <c r="K1023" s="45" t="s">
        <v>1252</v>
      </c>
      <c r="L1023" s="46" t="s">
        <v>1258</v>
      </c>
      <c r="M1023" s="21" t="s">
        <v>1259</v>
      </c>
      <c r="N1023" s="48">
        <v>45618</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1</v>
      </c>
      <c r="X1023" s="114"/>
    </row>
    <row r="1024" spans="2:24" ht="17.7" customHeight="1" x14ac:dyDescent="0.25">
      <c r="B1024" s="39" t="s">
        <v>26</v>
      </c>
      <c r="C1024" s="39" t="s">
        <v>26</v>
      </c>
      <c r="D1024" s="39" t="s">
        <v>326</v>
      </c>
      <c r="E1024" s="39" t="s">
        <v>249</v>
      </c>
      <c r="F1024" s="39" t="s">
        <v>336</v>
      </c>
      <c r="G1024" s="39" t="s">
        <v>341</v>
      </c>
      <c r="H1024" s="59" t="str">
        <f>Table1[[#This Row],[Tabela]]&amp;Table1[[#This Row],[Campo]]</f>
        <v>lt003_entitytxnmy_elgbl_capex_cca</v>
      </c>
      <c r="I1024" s="2" t="s">
        <v>1927</v>
      </c>
      <c r="J1024" s="45">
        <f>VLOOKUP(Table1[[#This Row],[Status]],Auxiliar!$B$16:$C$24,2,0)</f>
        <v>2</v>
      </c>
      <c r="K1024" s="45" t="s">
        <v>1253</v>
      </c>
      <c r="L1024" s="46" t="s">
        <v>1258</v>
      </c>
      <c r="M1024" s="21" t="s">
        <v>1259</v>
      </c>
      <c r="N1024" s="48">
        <v>45618</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1</v>
      </c>
      <c r="X1024" s="114"/>
    </row>
    <row r="1025" spans="2:24" ht="17.7" customHeight="1" x14ac:dyDescent="0.25">
      <c r="B1025" s="39" t="s">
        <v>26</v>
      </c>
      <c r="C1025" s="39" t="s">
        <v>26</v>
      </c>
      <c r="D1025" s="39" t="s">
        <v>326</v>
      </c>
      <c r="E1025" s="39" t="s">
        <v>249</v>
      </c>
      <c r="F1025" s="39" t="s">
        <v>336</v>
      </c>
      <c r="G1025" s="39" t="s">
        <v>341</v>
      </c>
      <c r="H1025" s="59" t="str">
        <f>Table1[[#This Row],[Tabela]]&amp;Table1[[#This Row],[Campo]]</f>
        <v>lt003_entitytxnmy_elgbl_capex_cca</v>
      </c>
      <c r="I1025" s="2" t="s">
        <v>1927</v>
      </c>
      <c r="J1025" s="45">
        <f>VLOOKUP(Table1[[#This Row],[Status]],Auxiliar!$B$16:$C$24,2,0)</f>
        <v>2</v>
      </c>
      <c r="K1025" s="45" t="s">
        <v>1255</v>
      </c>
      <c r="L1025" s="46" t="s">
        <v>1258</v>
      </c>
      <c r="M1025" s="21" t="s">
        <v>1259</v>
      </c>
      <c r="N1025" s="48">
        <v>45618</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0.05</v>
      </c>
      <c r="X1025" s="114"/>
    </row>
    <row r="1026" spans="2:24" ht="34.950000000000003" customHeight="1" x14ac:dyDescent="0.25">
      <c r="B1026" s="39" t="s">
        <v>26</v>
      </c>
      <c r="C1026" s="39" t="s">
        <v>26</v>
      </c>
      <c r="D1026" s="38" t="s">
        <v>326</v>
      </c>
      <c r="E1026" s="40" t="s">
        <v>246</v>
      </c>
      <c r="F1026" s="40" t="s">
        <v>336</v>
      </c>
      <c r="G1026" s="38" t="s">
        <v>342</v>
      </c>
      <c r="H1026" s="60" t="str">
        <f>Table1[[#This Row],[Tabela]]&amp;Table1[[#This Row],[Campo]]</f>
        <v>lt003_entitytxnmy_elgbl_trnvr_cca</v>
      </c>
      <c r="I1026" s="2" t="s">
        <v>1927</v>
      </c>
      <c r="J1026" s="45">
        <f>VLOOKUP(Table1[[#This Row],[Status]],Auxiliar!$B$16:$C$24,2,0)</f>
        <v>2</v>
      </c>
      <c r="K1026" s="45" t="s">
        <v>1252</v>
      </c>
      <c r="L1026" s="46" t="s">
        <v>1258</v>
      </c>
      <c r="M1026" s="21" t="s">
        <v>1259</v>
      </c>
      <c r="N1026" s="48">
        <v>45618</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1</v>
      </c>
      <c r="X1026" s="114"/>
    </row>
    <row r="1027" spans="2:24" ht="17.7" customHeight="1" x14ac:dyDescent="0.25">
      <c r="B1027" s="39" t="s">
        <v>26</v>
      </c>
      <c r="C1027" s="39" t="s">
        <v>26</v>
      </c>
      <c r="D1027" s="39" t="s">
        <v>326</v>
      </c>
      <c r="E1027" s="39" t="s">
        <v>246</v>
      </c>
      <c r="F1027" s="39" t="s">
        <v>336</v>
      </c>
      <c r="G1027" s="39" t="s">
        <v>342</v>
      </c>
      <c r="H1027" s="59" t="str">
        <f>Table1[[#This Row],[Tabela]]&amp;Table1[[#This Row],[Campo]]</f>
        <v>lt003_entitytxnmy_elgbl_trnvr_cca</v>
      </c>
      <c r="I1027" s="2" t="s">
        <v>1927</v>
      </c>
      <c r="J1027" s="45">
        <f>VLOOKUP(Table1[[#This Row],[Status]],Auxiliar!$B$16:$C$24,2,0)</f>
        <v>2</v>
      </c>
      <c r="K1027" s="45" t="s">
        <v>1253</v>
      </c>
      <c r="L1027" s="46" t="s">
        <v>1258</v>
      </c>
      <c r="M1027" s="21" t="s">
        <v>1259</v>
      </c>
      <c r="N1027" s="48">
        <v>45618</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1</v>
      </c>
      <c r="X1027" s="114"/>
    </row>
    <row r="1028" spans="2:24" ht="17.7" customHeight="1" x14ac:dyDescent="0.25">
      <c r="B1028" s="39" t="s">
        <v>26</v>
      </c>
      <c r="C1028" s="39" t="s">
        <v>26</v>
      </c>
      <c r="D1028" s="39" t="s">
        <v>326</v>
      </c>
      <c r="E1028" s="39" t="s">
        <v>246</v>
      </c>
      <c r="F1028" s="39" t="s">
        <v>336</v>
      </c>
      <c r="G1028" s="39" t="s">
        <v>342</v>
      </c>
      <c r="H1028" s="59" t="str">
        <f>Table1[[#This Row],[Tabela]]&amp;Table1[[#This Row],[Campo]]</f>
        <v>lt003_entitytxnmy_elgbl_trnvr_cca</v>
      </c>
      <c r="I1028" s="2" t="s">
        <v>1927</v>
      </c>
      <c r="J1028" s="45">
        <f>VLOOKUP(Table1[[#This Row],[Status]],Auxiliar!$B$16:$C$24,2,0)</f>
        <v>2</v>
      </c>
      <c r="K1028" s="45" t="s">
        <v>1255</v>
      </c>
      <c r="L1028" s="46" t="s">
        <v>1258</v>
      </c>
      <c r="M1028" s="21" t="s">
        <v>1259</v>
      </c>
      <c r="N1028" s="48">
        <v>45618</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0.05</v>
      </c>
      <c r="X1028" s="114"/>
    </row>
    <row r="1029" spans="2:24" ht="34.950000000000003" customHeight="1" x14ac:dyDescent="0.25">
      <c r="B1029" s="39" t="s">
        <v>26</v>
      </c>
      <c r="C1029" s="39" t="s">
        <v>26</v>
      </c>
      <c r="D1029" s="36" t="s">
        <v>326</v>
      </c>
      <c r="E1029" s="40" t="s">
        <v>257</v>
      </c>
      <c r="F1029" s="40" t="s">
        <v>336</v>
      </c>
      <c r="G1029" s="38" t="s">
        <v>343</v>
      </c>
      <c r="H1029" s="60" t="str">
        <f>Table1[[#This Row],[Tabela]]&amp;Table1[[#This Row],[Campo]]</f>
        <v>lt003_entityenblng_capex_ccm</v>
      </c>
      <c r="I1029" s="2" t="s">
        <v>1927</v>
      </c>
      <c r="J1029" s="45">
        <f>VLOOKUP(Table1[[#This Row],[Status]],Auxiliar!$B$16:$C$24,2,0)</f>
        <v>2</v>
      </c>
      <c r="K1029" s="45" t="s">
        <v>1252</v>
      </c>
      <c r="L1029" s="46" t="s">
        <v>1258</v>
      </c>
      <c r="M1029" s="21" t="s">
        <v>1259</v>
      </c>
      <c r="N1029" s="48">
        <v>45618</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1</v>
      </c>
      <c r="X1029" s="114"/>
    </row>
    <row r="1030" spans="2:24" ht="17.7" customHeight="1" x14ac:dyDescent="0.25">
      <c r="B1030" s="39" t="s">
        <v>26</v>
      </c>
      <c r="C1030" s="39" t="s">
        <v>26</v>
      </c>
      <c r="D1030" s="39" t="s">
        <v>326</v>
      </c>
      <c r="E1030" s="39" t="s">
        <v>257</v>
      </c>
      <c r="F1030" s="39" t="s">
        <v>336</v>
      </c>
      <c r="G1030" s="39" t="s">
        <v>343</v>
      </c>
      <c r="H1030" s="59" t="str">
        <f>Table1[[#This Row],[Tabela]]&amp;Table1[[#This Row],[Campo]]</f>
        <v>lt003_entityenblng_capex_ccm</v>
      </c>
      <c r="I1030" s="2" t="s">
        <v>1927</v>
      </c>
      <c r="J1030" s="45">
        <f>VLOOKUP(Table1[[#This Row],[Status]],Auxiliar!$B$16:$C$24,2,0)</f>
        <v>2</v>
      </c>
      <c r="K1030" s="45" t="s">
        <v>1253</v>
      </c>
      <c r="L1030" s="46" t="s">
        <v>1258</v>
      </c>
      <c r="M1030" s="21" t="s">
        <v>1259</v>
      </c>
      <c r="N1030" s="48">
        <v>45618</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1</v>
      </c>
      <c r="X1030" s="114"/>
    </row>
    <row r="1031" spans="2:24" ht="17.7" customHeight="1" x14ac:dyDescent="0.25">
      <c r="B1031" s="39" t="s">
        <v>26</v>
      </c>
      <c r="C1031" s="39" t="s">
        <v>26</v>
      </c>
      <c r="D1031" s="39" t="s">
        <v>326</v>
      </c>
      <c r="E1031" s="39" t="s">
        <v>257</v>
      </c>
      <c r="F1031" s="39" t="s">
        <v>336</v>
      </c>
      <c r="G1031" s="39" t="s">
        <v>343</v>
      </c>
      <c r="H1031" s="59" t="str">
        <f>Table1[[#This Row],[Tabela]]&amp;Table1[[#This Row],[Campo]]</f>
        <v>lt003_entityenblng_capex_ccm</v>
      </c>
      <c r="I1031" s="2" t="s">
        <v>1927</v>
      </c>
      <c r="J1031" s="45">
        <f>VLOOKUP(Table1[[#This Row],[Status]],Auxiliar!$B$16:$C$24,2,0)</f>
        <v>2</v>
      </c>
      <c r="K1031" s="45" t="s">
        <v>1255</v>
      </c>
      <c r="L1031" s="46" t="s">
        <v>1258</v>
      </c>
      <c r="M1031" s="21" t="s">
        <v>1259</v>
      </c>
      <c r="N1031" s="48">
        <v>45618</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0.05</v>
      </c>
      <c r="X1031" s="114"/>
    </row>
    <row r="1032" spans="2:24" ht="34.950000000000003" customHeight="1" x14ac:dyDescent="0.25">
      <c r="B1032" s="39" t="s">
        <v>26</v>
      </c>
      <c r="C1032" s="39" t="s">
        <v>26</v>
      </c>
      <c r="D1032" s="36" t="s">
        <v>326</v>
      </c>
      <c r="E1032" s="40" t="s">
        <v>250</v>
      </c>
      <c r="F1032" s="40" t="s">
        <v>336</v>
      </c>
      <c r="G1032" s="38" t="s">
        <v>344</v>
      </c>
      <c r="H1032" s="60" t="str">
        <f>Table1[[#This Row],[Tabela]]&amp;Table1[[#This Row],[Campo]]</f>
        <v>lt003_entityenblng_capex_cca</v>
      </c>
      <c r="I1032" s="2" t="s">
        <v>1927</v>
      </c>
      <c r="J1032" s="45">
        <f>VLOOKUP(Table1[[#This Row],[Status]],Auxiliar!$B$16:$C$24,2,0)</f>
        <v>2</v>
      </c>
      <c r="K1032" s="45" t="s">
        <v>1252</v>
      </c>
      <c r="L1032" s="46" t="s">
        <v>1258</v>
      </c>
      <c r="M1032" s="21" t="s">
        <v>1259</v>
      </c>
      <c r="N1032" s="48">
        <v>45618</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1</v>
      </c>
      <c r="X1032" s="114"/>
    </row>
    <row r="1033" spans="2:24" ht="17.7" customHeight="1" x14ac:dyDescent="0.25">
      <c r="B1033" s="39" t="s">
        <v>26</v>
      </c>
      <c r="C1033" s="39" t="s">
        <v>26</v>
      </c>
      <c r="D1033" s="39" t="s">
        <v>326</v>
      </c>
      <c r="E1033" s="39" t="s">
        <v>250</v>
      </c>
      <c r="F1033" s="39" t="s">
        <v>336</v>
      </c>
      <c r="G1033" s="39" t="s">
        <v>344</v>
      </c>
      <c r="H1033" s="59" t="str">
        <f>Table1[[#This Row],[Tabela]]&amp;Table1[[#This Row],[Campo]]</f>
        <v>lt003_entityenblng_capex_cca</v>
      </c>
      <c r="I1033" s="2" t="s">
        <v>1927</v>
      </c>
      <c r="J1033" s="45">
        <f>VLOOKUP(Table1[[#This Row],[Status]],Auxiliar!$B$16:$C$24,2,0)</f>
        <v>2</v>
      </c>
      <c r="K1033" s="45" t="s">
        <v>1253</v>
      </c>
      <c r="L1033" s="46" t="s">
        <v>1258</v>
      </c>
      <c r="M1033" s="21" t="s">
        <v>1259</v>
      </c>
      <c r="N1033" s="48">
        <v>45618</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1</v>
      </c>
      <c r="X1033" s="114"/>
    </row>
    <row r="1034" spans="2:24" ht="17.7" customHeight="1" x14ac:dyDescent="0.25">
      <c r="B1034" s="39" t="s">
        <v>26</v>
      </c>
      <c r="C1034" s="39" t="s">
        <v>26</v>
      </c>
      <c r="D1034" s="39" t="s">
        <v>326</v>
      </c>
      <c r="E1034" s="39" t="s">
        <v>250</v>
      </c>
      <c r="F1034" s="39" t="s">
        <v>336</v>
      </c>
      <c r="G1034" s="39" t="s">
        <v>344</v>
      </c>
      <c r="H1034" s="59" t="str">
        <f>Table1[[#This Row],[Tabela]]&amp;Table1[[#This Row],[Campo]]</f>
        <v>lt003_entityenblng_capex_cca</v>
      </c>
      <c r="I1034" s="2" t="s">
        <v>1927</v>
      </c>
      <c r="J1034" s="45">
        <f>VLOOKUP(Table1[[#This Row],[Status]],Auxiliar!$B$16:$C$24,2,0)</f>
        <v>2</v>
      </c>
      <c r="K1034" s="45" t="s">
        <v>1255</v>
      </c>
      <c r="L1034" s="46" t="s">
        <v>1258</v>
      </c>
      <c r="M1034" s="21" t="s">
        <v>1259</v>
      </c>
      <c r="N1034" s="48">
        <v>45618</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0.05</v>
      </c>
      <c r="X1034" s="114"/>
    </row>
    <row r="1035" spans="2:24" ht="34.950000000000003" customHeight="1" x14ac:dyDescent="0.25">
      <c r="B1035" s="39" t="s">
        <v>26</v>
      </c>
      <c r="C1035" s="39" t="s">
        <v>26</v>
      </c>
      <c r="D1035" s="36" t="s">
        <v>326</v>
      </c>
      <c r="E1035" s="40" t="s">
        <v>258</v>
      </c>
      <c r="F1035" s="40" t="s">
        <v>336</v>
      </c>
      <c r="G1035" s="38" t="s">
        <v>345</v>
      </c>
      <c r="H1035" s="60" t="str">
        <f>Table1[[#This Row],[Tabela]]&amp;Table1[[#This Row],[Campo]]</f>
        <v>lt003_entitytrnstnl_capex</v>
      </c>
      <c r="I1035" s="2" t="s">
        <v>1927</v>
      </c>
      <c r="J1035" s="45">
        <f>VLOOKUP(Table1[[#This Row],[Status]],Auxiliar!$B$16:$C$24,2,0)</f>
        <v>2</v>
      </c>
      <c r="K1035" s="45" t="s">
        <v>1252</v>
      </c>
      <c r="L1035" s="46" t="s">
        <v>1258</v>
      </c>
      <c r="M1035" s="21" t="s">
        <v>1259</v>
      </c>
      <c r="N1035" s="48">
        <v>45618</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1</v>
      </c>
      <c r="X1035" s="114"/>
    </row>
    <row r="1036" spans="2:24" ht="17.7" customHeight="1" x14ac:dyDescent="0.25">
      <c r="B1036" s="39" t="s">
        <v>26</v>
      </c>
      <c r="C1036" s="39" t="s">
        <v>26</v>
      </c>
      <c r="D1036" s="39" t="s">
        <v>326</v>
      </c>
      <c r="E1036" s="39" t="s">
        <v>258</v>
      </c>
      <c r="F1036" s="39" t="s">
        <v>336</v>
      </c>
      <c r="G1036" s="39" t="s">
        <v>345</v>
      </c>
      <c r="H1036" s="59" t="str">
        <f>Table1[[#This Row],[Tabela]]&amp;Table1[[#This Row],[Campo]]</f>
        <v>lt003_entitytrnstnl_capex</v>
      </c>
      <c r="I1036" s="2" t="s">
        <v>1927</v>
      </c>
      <c r="J1036" s="45">
        <f>VLOOKUP(Table1[[#This Row],[Status]],Auxiliar!$B$16:$C$24,2,0)</f>
        <v>2</v>
      </c>
      <c r="K1036" s="45" t="s">
        <v>1253</v>
      </c>
      <c r="L1036" s="46" t="s">
        <v>1258</v>
      </c>
      <c r="M1036" s="21" t="s">
        <v>1259</v>
      </c>
      <c r="N1036" s="48">
        <v>45618</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1</v>
      </c>
      <c r="X1036" s="114"/>
    </row>
    <row r="1037" spans="2:24" ht="17.7" customHeight="1" x14ac:dyDescent="0.25">
      <c r="B1037" s="39" t="s">
        <v>26</v>
      </c>
      <c r="C1037" s="39" t="s">
        <v>26</v>
      </c>
      <c r="D1037" s="39" t="s">
        <v>326</v>
      </c>
      <c r="E1037" s="39" t="s">
        <v>258</v>
      </c>
      <c r="F1037" s="39" t="s">
        <v>336</v>
      </c>
      <c r="G1037" s="39" t="s">
        <v>345</v>
      </c>
      <c r="H1037" s="59" t="str">
        <f>Table1[[#This Row],[Tabela]]&amp;Table1[[#This Row],[Campo]]</f>
        <v>lt003_entitytrnstnl_capex</v>
      </c>
      <c r="I1037" s="2" t="s">
        <v>1927</v>
      </c>
      <c r="J1037" s="45">
        <f>VLOOKUP(Table1[[#This Row],[Status]],Auxiliar!$B$16:$C$24,2,0)</f>
        <v>2</v>
      </c>
      <c r="K1037" s="45" t="s">
        <v>1255</v>
      </c>
      <c r="L1037" s="46" t="s">
        <v>1258</v>
      </c>
      <c r="M1037" s="21" t="s">
        <v>1259</v>
      </c>
      <c r="N1037" s="48">
        <v>45618</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0.05</v>
      </c>
      <c r="X1037" s="114"/>
    </row>
    <row r="1038" spans="2:24" ht="34.950000000000003" customHeight="1" x14ac:dyDescent="0.25">
      <c r="B1038" s="39" t="s">
        <v>26</v>
      </c>
      <c r="C1038" s="39" t="s">
        <v>26</v>
      </c>
      <c r="D1038" s="36" t="s">
        <v>326</v>
      </c>
      <c r="E1038" s="40" t="s">
        <v>259</v>
      </c>
      <c r="F1038" s="40" t="s">
        <v>336</v>
      </c>
      <c r="G1038" s="38" t="s">
        <v>346</v>
      </c>
      <c r="H1038" s="60" t="str">
        <f>Table1[[#This Row],[Tabela]]&amp;Table1[[#This Row],[Campo]]</f>
        <v>lt003_entitypure_capex_ccm</v>
      </c>
      <c r="I1038" s="2" t="s">
        <v>1927</v>
      </c>
      <c r="J1038" s="45">
        <f>VLOOKUP(Table1[[#This Row],[Status]],Auxiliar!$B$16:$C$24,2,0)</f>
        <v>2</v>
      </c>
      <c r="K1038" s="45" t="s">
        <v>1252</v>
      </c>
      <c r="L1038" s="46" t="s">
        <v>1258</v>
      </c>
      <c r="M1038" s="21" t="s">
        <v>1259</v>
      </c>
      <c r="N1038" s="48">
        <v>45618</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1</v>
      </c>
      <c r="X1038" s="114"/>
    </row>
    <row r="1039" spans="2:24" ht="17.7" customHeight="1" x14ac:dyDescent="0.25">
      <c r="B1039" s="39" t="s">
        <v>26</v>
      </c>
      <c r="C1039" s="39" t="s">
        <v>26</v>
      </c>
      <c r="D1039" s="39" t="s">
        <v>326</v>
      </c>
      <c r="E1039" s="39" t="s">
        <v>259</v>
      </c>
      <c r="F1039" s="39" t="s">
        <v>336</v>
      </c>
      <c r="G1039" s="39" t="s">
        <v>346</v>
      </c>
      <c r="H1039" s="59" t="str">
        <f>Table1[[#This Row],[Tabela]]&amp;Table1[[#This Row],[Campo]]</f>
        <v>lt003_entitypure_capex_ccm</v>
      </c>
      <c r="I1039" s="2" t="s">
        <v>1927</v>
      </c>
      <c r="J1039" s="45">
        <f>VLOOKUP(Table1[[#This Row],[Status]],Auxiliar!$B$16:$C$24,2,0)</f>
        <v>2</v>
      </c>
      <c r="K1039" s="45" t="s">
        <v>1253</v>
      </c>
      <c r="L1039" s="46" t="s">
        <v>1258</v>
      </c>
      <c r="M1039" s="21" t="s">
        <v>1259</v>
      </c>
      <c r="N1039" s="48">
        <v>45618</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1</v>
      </c>
      <c r="X1039" s="114"/>
    </row>
    <row r="1040" spans="2:24" ht="17.7" customHeight="1" x14ac:dyDescent="0.25">
      <c r="B1040" s="39" t="s">
        <v>26</v>
      </c>
      <c r="C1040" s="39" t="s">
        <v>26</v>
      </c>
      <c r="D1040" s="39" t="s">
        <v>326</v>
      </c>
      <c r="E1040" s="39" t="s">
        <v>259</v>
      </c>
      <c r="F1040" s="39" t="s">
        <v>336</v>
      </c>
      <c r="G1040" s="39" t="s">
        <v>346</v>
      </c>
      <c r="H1040" s="59" t="str">
        <f>Table1[[#This Row],[Tabela]]&amp;Table1[[#This Row],[Campo]]</f>
        <v>lt003_entitypure_capex_ccm</v>
      </c>
      <c r="I1040" s="2" t="s">
        <v>1927</v>
      </c>
      <c r="J1040" s="45">
        <f>VLOOKUP(Table1[[#This Row],[Status]],Auxiliar!$B$16:$C$24,2,0)</f>
        <v>2</v>
      </c>
      <c r="K1040" s="45" t="s">
        <v>1255</v>
      </c>
      <c r="L1040" s="46" t="s">
        <v>1258</v>
      </c>
      <c r="M1040" s="21" t="s">
        <v>1259</v>
      </c>
      <c r="N1040" s="48">
        <v>45618</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0.05</v>
      </c>
      <c r="X1040" s="114"/>
    </row>
    <row r="1041" spans="2:24" ht="34.950000000000003" customHeight="1" x14ac:dyDescent="0.25">
      <c r="B1041" s="39" t="s">
        <v>26</v>
      </c>
      <c r="C1041" s="39" t="s">
        <v>26</v>
      </c>
      <c r="D1041" s="36" t="s">
        <v>326</v>
      </c>
      <c r="E1041" s="40" t="s">
        <v>251</v>
      </c>
      <c r="F1041" s="40" t="s">
        <v>336</v>
      </c>
      <c r="G1041" s="38" t="s">
        <v>347</v>
      </c>
      <c r="H1041" s="60" t="str">
        <f>Table1[[#This Row],[Tabela]]&amp;Table1[[#This Row],[Campo]]</f>
        <v>lt003_entitypure_capex_cca</v>
      </c>
      <c r="I1041" s="2" t="s">
        <v>1927</v>
      </c>
      <c r="J1041" s="45">
        <f>VLOOKUP(Table1[[#This Row],[Status]],Auxiliar!$B$16:$C$24,2,0)</f>
        <v>2</v>
      </c>
      <c r="K1041" s="45" t="s">
        <v>1252</v>
      </c>
      <c r="L1041" s="46" t="s">
        <v>1258</v>
      </c>
      <c r="M1041" s="21" t="s">
        <v>1259</v>
      </c>
      <c r="N1041" s="48">
        <v>45618</v>
      </c>
      <c r="O1041" s="21">
        <f>INDEX(Auxiliar!$D$5:$F$13,MATCH(Table1[[#This Row],[Tipologia_Testes]],Auxiliar!$B$5:$B$13,0),MATCH(Table1[[#This Row],[Complexidade]],Auxiliar!$D$4:$F$4,0))</f>
        <v>2</v>
      </c>
      <c r="P1041" s="47"/>
      <c r="Q1041" s="114"/>
      <c r="R1041" s="152">
        <v>45589</v>
      </c>
      <c r="S1041" s="152"/>
      <c r="T1041" s="152"/>
      <c r="U1041" s="152">
        <v>45611</v>
      </c>
      <c r="V1041" s="152">
        <v>45611</v>
      </c>
      <c r="W1041" s="2">
        <f>VLOOKUP(Table1[[#This Row],[Status]],Auxiliar!$B$16:$D$24,3,0)*Table1[[#This Row],[Estimação (horas)]]</f>
        <v>1</v>
      </c>
      <c r="X1041" s="114"/>
    </row>
    <row r="1042" spans="2:24" ht="17.7" customHeight="1" x14ac:dyDescent="0.25">
      <c r="B1042" s="39" t="s">
        <v>26</v>
      </c>
      <c r="C1042" s="39" t="s">
        <v>26</v>
      </c>
      <c r="D1042" s="39" t="s">
        <v>326</v>
      </c>
      <c r="E1042" s="39" t="s">
        <v>251</v>
      </c>
      <c r="F1042" s="39" t="s">
        <v>336</v>
      </c>
      <c r="G1042" s="39" t="s">
        <v>347</v>
      </c>
      <c r="H1042" s="59" t="str">
        <f>Table1[[#This Row],[Tabela]]&amp;Table1[[#This Row],[Campo]]</f>
        <v>lt003_entitypure_capex_cca</v>
      </c>
      <c r="I1042" s="2" t="s">
        <v>1927</v>
      </c>
      <c r="J1042" s="45">
        <f>VLOOKUP(Table1[[#This Row],[Status]],Auxiliar!$B$16:$C$24,2,0)</f>
        <v>2</v>
      </c>
      <c r="K1042" s="45" t="s">
        <v>1253</v>
      </c>
      <c r="L1042" s="46" t="s">
        <v>1258</v>
      </c>
      <c r="M1042" s="21" t="s">
        <v>1259</v>
      </c>
      <c r="N1042" s="48">
        <v>45618</v>
      </c>
      <c r="O1042" s="21">
        <f>INDEX(Auxiliar!$D$5:$F$13,MATCH(Table1[[#This Row],[Tipologia_Testes]],Auxiliar!$B$5:$B$13,0),MATCH(Table1[[#This Row],[Complexidade]],Auxiliar!$D$4:$F$4,0))</f>
        <v>2</v>
      </c>
      <c r="P1042" s="47"/>
      <c r="Q1042" s="114"/>
      <c r="R1042" s="152">
        <v>45589</v>
      </c>
      <c r="S1042" s="152"/>
      <c r="T1042" s="152"/>
      <c r="U1042" s="152">
        <v>45611</v>
      </c>
      <c r="V1042" s="152">
        <v>45611</v>
      </c>
      <c r="W1042" s="2">
        <f>VLOOKUP(Table1[[#This Row],[Status]],Auxiliar!$B$16:$D$24,3,0)*Table1[[#This Row],[Estimação (horas)]]</f>
        <v>1</v>
      </c>
      <c r="X1042" s="114"/>
    </row>
    <row r="1043" spans="2:24" ht="17.7" customHeight="1" x14ac:dyDescent="0.25">
      <c r="B1043" s="39" t="s">
        <v>26</v>
      </c>
      <c r="C1043" s="39" t="s">
        <v>26</v>
      </c>
      <c r="D1043" s="39" t="s">
        <v>326</v>
      </c>
      <c r="E1043" s="39" t="s">
        <v>251</v>
      </c>
      <c r="F1043" s="39" t="s">
        <v>336</v>
      </c>
      <c r="G1043" s="39" t="s">
        <v>347</v>
      </c>
      <c r="H1043" s="59" t="str">
        <f>Table1[[#This Row],[Tabela]]&amp;Table1[[#This Row],[Campo]]</f>
        <v>lt003_entitypure_capex_cca</v>
      </c>
      <c r="I1043" s="2" t="s">
        <v>1927</v>
      </c>
      <c r="J1043" s="45">
        <f>VLOOKUP(Table1[[#This Row],[Status]],Auxiliar!$B$16:$C$24,2,0)</f>
        <v>2</v>
      </c>
      <c r="K1043" s="45" t="s">
        <v>1255</v>
      </c>
      <c r="L1043" s="46" t="s">
        <v>1258</v>
      </c>
      <c r="M1043" s="21" t="s">
        <v>1259</v>
      </c>
      <c r="N1043" s="48">
        <v>45618</v>
      </c>
      <c r="O1043" s="21">
        <f>INDEX(Auxiliar!$D$5:$F$13,MATCH(Table1[[#This Row],[Tipologia_Testes]],Auxiliar!$B$5:$B$13,0),MATCH(Table1[[#This Row],[Complexidade]],Auxiliar!$D$4:$F$4,0))</f>
        <v>0.1</v>
      </c>
      <c r="P1043" s="47"/>
      <c r="Q1043" s="114"/>
      <c r="R1043" s="152">
        <v>45589</v>
      </c>
      <c r="S1043" s="152"/>
      <c r="T1043" s="152"/>
      <c r="U1043" s="152">
        <v>45611</v>
      </c>
      <c r="V1043" s="152">
        <v>45611</v>
      </c>
      <c r="W1043" s="2">
        <f>VLOOKUP(Table1[[#This Row],[Status]],Auxiliar!$B$16:$D$24,3,0)*Table1[[#This Row],[Estimação (horas)]]</f>
        <v>0.05</v>
      </c>
      <c r="X1043" s="114"/>
    </row>
    <row r="1044" spans="2:24" ht="34.950000000000003" customHeight="1" x14ac:dyDescent="0.25">
      <c r="B1044" s="39" t="s">
        <v>26</v>
      </c>
      <c r="C1044" s="39" t="s">
        <v>26</v>
      </c>
      <c r="D1044" s="38" t="s">
        <v>326</v>
      </c>
      <c r="E1044" s="40" t="s">
        <v>253</v>
      </c>
      <c r="F1044" s="40" t="s">
        <v>336</v>
      </c>
      <c r="G1044" s="38" t="s">
        <v>348</v>
      </c>
      <c r="H1044" s="60" t="str">
        <f>Table1[[#This Row],[Tabela]]&amp;Table1[[#This Row],[Campo]]</f>
        <v>lt003_entityenblng_trnvr_ccm</v>
      </c>
      <c r="I1044" s="2" t="s">
        <v>1927</v>
      </c>
      <c r="J1044" s="45">
        <f>VLOOKUP(Table1[[#This Row],[Status]],Auxiliar!$B$16:$C$24,2,0)</f>
        <v>2</v>
      </c>
      <c r="K1044" s="45" t="s">
        <v>1252</v>
      </c>
      <c r="L1044" s="46" t="s">
        <v>1258</v>
      </c>
      <c r="M1044" s="21" t="s">
        <v>1259</v>
      </c>
      <c r="N1044" s="48">
        <v>45618</v>
      </c>
      <c r="O1044" s="21">
        <f>INDEX(Auxiliar!$D$5:$F$13,MATCH(Table1[[#This Row],[Tipologia_Testes]],Auxiliar!$B$5:$B$13,0),MATCH(Table1[[#This Row],[Complexidade]],Auxiliar!$D$4:$F$4,0))</f>
        <v>2</v>
      </c>
      <c r="P1044" s="47"/>
      <c r="Q1044" s="114"/>
      <c r="R1044" s="152">
        <v>45589</v>
      </c>
      <c r="S1044" s="152"/>
      <c r="T1044" s="152"/>
      <c r="U1044" s="152">
        <v>45614</v>
      </c>
      <c r="V1044" s="152">
        <v>45596</v>
      </c>
      <c r="W1044" s="2">
        <f>VLOOKUP(Table1[[#This Row],[Status]],Auxiliar!$B$16:$D$24,3,0)*Table1[[#This Row],[Estimação (horas)]]</f>
        <v>1</v>
      </c>
      <c r="X1044" s="114"/>
    </row>
    <row r="1045" spans="2:24" ht="17.7" customHeight="1" x14ac:dyDescent="0.25">
      <c r="B1045" s="39" t="s">
        <v>26</v>
      </c>
      <c r="C1045" s="39" t="s">
        <v>26</v>
      </c>
      <c r="D1045" s="39" t="s">
        <v>326</v>
      </c>
      <c r="E1045" s="39" t="s">
        <v>253</v>
      </c>
      <c r="F1045" s="39" t="s">
        <v>336</v>
      </c>
      <c r="G1045" s="39" t="s">
        <v>348</v>
      </c>
      <c r="H1045" s="59" t="str">
        <f>Table1[[#This Row],[Tabela]]&amp;Table1[[#This Row],[Campo]]</f>
        <v>lt003_entityenblng_trnvr_ccm</v>
      </c>
      <c r="I1045" s="2" t="s">
        <v>1927</v>
      </c>
      <c r="J1045" s="45">
        <f>VLOOKUP(Table1[[#This Row],[Status]],Auxiliar!$B$16:$C$24,2,0)</f>
        <v>2</v>
      </c>
      <c r="K1045" s="45" t="s">
        <v>1253</v>
      </c>
      <c r="L1045" s="46" t="s">
        <v>1258</v>
      </c>
      <c r="M1045" s="21" t="s">
        <v>1259</v>
      </c>
      <c r="N1045" s="48">
        <v>45618</v>
      </c>
      <c r="O1045" s="21">
        <f>INDEX(Auxiliar!$D$5:$F$13,MATCH(Table1[[#This Row],[Tipologia_Testes]],Auxiliar!$B$5:$B$13,0),MATCH(Table1[[#This Row],[Complexidade]],Auxiliar!$D$4:$F$4,0))</f>
        <v>2</v>
      </c>
      <c r="P1045" s="47"/>
      <c r="Q1045" s="114"/>
      <c r="R1045" s="152">
        <v>45589</v>
      </c>
      <c r="S1045" s="152"/>
      <c r="T1045" s="152"/>
      <c r="U1045" s="152">
        <v>45614</v>
      </c>
      <c r="V1045" s="152">
        <v>45596</v>
      </c>
      <c r="W1045" s="2">
        <f>VLOOKUP(Table1[[#This Row],[Status]],Auxiliar!$B$16:$D$24,3,0)*Table1[[#This Row],[Estimação (horas)]]</f>
        <v>1</v>
      </c>
      <c r="X1045" s="114"/>
    </row>
    <row r="1046" spans="2:24" ht="17.7" customHeight="1" x14ac:dyDescent="0.25">
      <c r="B1046" s="39" t="s">
        <v>26</v>
      </c>
      <c r="C1046" s="39" t="s">
        <v>26</v>
      </c>
      <c r="D1046" s="39" t="s">
        <v>326</v>
      </c>
      <c r="E1046" s="39" t="s">
        <v>253</v>
      </c>
      <c r="F1046" s="39" t="s">
        <v>336</v>
      </c>
      <c r="G1046" s="39" t="s">
        <v>348</v>
      </c>
      <c r="H1046" s="59" t="str">
        <f>Table1[[#This Row],[Tabela]]&amp;Table1[[#This Row],[Campo]]</f>
        <v>lt003_entityenblng_trnvr_ccm</v>
      </c>
      <c r="I1046" s="2" t="s">
        <v>1927</v>
      </c>
      <c r="J1046" s="45">
        <f>VLOOKUP(Table1[[#This Row],[Status]],Auxiliar!$B$16:$C$24,2,0)</f>
        <v>2</v>
      </c>
      <c r="K1046" s="45" t="s">
        <v>1255</v>
      </c>
      <c r="L1046" s="46" t="s">
        <v>1258</v>
      </c>
      <c r="M1046" s="21" t="s">
        <v>1259</v>
      </c>
      <c r="N1046" s="48">
        <v>45618</v>
      </c>
      <c r="O1046" s="21">
        <f>INDEX(Auxiliar!$D$5:$F$13,MATCH(Table1[[#This Row],[Tipologia_Testes]],Auxiliar!$B$5:$B$13,0),MATCH(Table1[[#This Row],[Complexidade]],Auxiliar!$D$4:$F$4,0))</f>
        <v>0.1</v>
      </c>
      <c r="P1046" s="47"/>
      <c r="Q1046" s="114"/>
      <c r="R1046" s="152">
        <v>45589</v>
      </c>
      <c r="S1046" s="152"/>
      <c r="T1046" s="152"/>
      <c r="U1046" s="152">
        <v>45614</v>
      </c>
      <c r="V1046" s="152">
        <v>45596</v>
      </c>
      <c r="W1046" s="2">
        <f>VLOOKUP(Table1[[#This Row],[Status]],Auxiliar!$B$16:$D$24,3,0)*Table1[[#This Row],[Estimação (horas)]]</f>
        <v>0.05</v>
      </c>
      <c r="X1046" s="114"/>
    </row>
    <row r="1047" spans="2:24" ht="34.950000000000003" customHeight="1" x14ac:dyDescent="0.25">
      <c r="B1047" s="39" t="s">
        <v>26</v>
      </c>
      <c r="C1047" s="39" t="s">
        <v>26</v>
      </c>
      <c r="D1047" s="38" t="s">
        <v>326</v>
      </c>
      <c r="E1047" s="40" t="s">
        <v>247</v>
      </c>
      <c r="F1047" s="40" t="s">
        <v>336</v>
      </c>
      <c r="G1047" s="38" t="s">
        <v>349</v>
      </c>
      <c r="H1047" s="60" t="str">
        <f>Table1[[#This Row],[Tabela]]&amp;Table1[[#This Row],[Campo]]</f>
        <v>lt003_entityenblng_trnvr_cca</v>
      </c>
      <c r="I1047" s="2" t="s">
        <v>1927</v>
      </c>
      <c r="J1047" s="45">
        <f>VLOOKUP(Table1[[#This Row],[Status]],Auxiliar!$B$16:$C$24,2,0)</f>
        <v>2</v>
      </c>
      <c r="K1047" s="45" t="s">
        <v>1252</v>
      </c>
      <c r="L1047" s="46" t="s">
        <v>1258</v>
      </c>
      <c r="M1047" s="21" t="s">
        <v>1259</v>
      </c>
      <c r="N1047" s="48">
        <v>45618</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1</v>
      </c>
      <c r="X1047" s="114"/>
    </row>
    <row r="1048" spans="2:24" ht="17.7" customHeight="1" x14ac:dyDescent="0.25">
      <c r="B1048" s="39" t="s">
        <v>26</v>
      </c>
      <c r="C1048" s="39" t="s">
        <v>26</v>
      </c>
      <c r="D1048" s="39" t="s">
        <v>326</v>
      </c>
      <c r="E1048" s="39" t="s">
        <v>247</v>
      </c>
      <c r="F1048" s="39" t="s">
        <v>336</v>
      </c>
      <c r="G1048" s="39" t="s">
        <v>349</v>
      </c>
      <c r="H1048" s="59" t="str">
        <f>Table1[[#This Row],[Tabela]]&amp;Table1[[#This Row],[Campo]]</f>
        <v>lt003_entityenblng_trnvr_cca</v>
      </c>
      <c r="I1048" s="2" t="s">
        <v>1927</v>
      </c>
      <c r="J1048" s="45">
        <f>VLOOKUP(Table1[[#This Row],[Status]],Auxiliar!$B$16:$C$24,2,0)</f>
        <v>2</v>
      </c>
      <c r="K1048" s="45" t="s">
        <v>1253</v>
      </c>
      <c r="L1048" s="46" t="s">
        <v>1258</v>
      </c>
      <c r="M1048" s="21" t="s">
        <v>1259</v>
      </c>
      <c r="N1048" s="48">
        <v>45618</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1</v>
      </c>
      <c r="X1048" s="114"/>
    </row>
    <row r="1049" spans="2:24" ht="17.7" customHeight="1" x14ac:dyDescent="0.25">
      <c r="B1049" s="39" t="s">
        <v>26</v>
      </c>
      <c r="C1049" s="39" t="s">
        <v>26</v>
      </c>
      <c r="D1049" s="39" t="s">
        <v>326</v>
      </c>
      <c r="E1049" s="39" t="s">
        <v>247</v>
      </c>
      <c r="F1049" s="39" t="s">
        <v>336</v>
      </c>
      <c r="G1049" s="39" t="s">
        <v>349</v>
      </c>
      <c r="H1049" s="59" t="str">
        <f>Table1[[#This Row],[Tabela]]&amp;Table1[[#This Row],[Campo]]</f>
        <v>lt003_entityenblng_trnvr_cca</v>
      </c>
      <c r="I1049" s="2" t="s">
        <v>1927</v>
      </c>
      <c r="J1049" s="45">
        <f>VLOOKUP(Table1[[#This Row],[Status]],Auxiliar!$B$16:$C$24,2,0)</f>
        <v>2</v>
      </c>
      <c r="K1049" s="45" t="s">
        <v>1255</v>
      </c>
      <c r="L1049" s="46" t="s">
        <v>1258</v>
      </c>
      <c r="M1049" s="21" t="s">
        <v>1259</v>
      </c>
      <c r="N1049" s="48">
        <v>45618</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0.05</v>
      </c>
      <c r="X1049" s="114"/>
    </row>
    <row r="1050" spans="2:24" ht="34.950000000000003" customHeight="1" x14ac:dyDescent="0.25">
      <c r="B1050" s="41" t="s">
        <v>26</v>
      </c>
      <c r="C1050" s="41" t="s">
        <v>26</v>
      </c>
      <c r="D1050" s="38" t="s">
        <v>326</v>
      </c>
      <c r="E1050" s="40" t="s">
        <v>254</v>
      </c>
      <c r="F1050" s="40" t="s">
        <v>336</v>
      </c>
      <c r="G1050" s="38" t="s">
        <v>350</v>
      </c>
      <c r="H1050" s="60" t="str">
        <f>Table1[[#This Row],[Tabela]]&amp;Table1[[#This Row],[Campo]]</f>
        <v>lt003_entitytrnstnl_trnvr</v>
      </c>
      <c r="I1050" s="2" t="s">
        <v>1927</v>
      </c>
      <c r="J1050" s="45">
        <f>VLOOKUP(Table1[[#This Row],[Status]],Auxiliar!$B$16:$C$24,2,0)</f>
        <v>2</v>
      </c>
      <c r="K1050" s="45" t="s">
        <v>1252</v>
      </c>
      <c r="L1050" s="46" t="s">
        <v>1258</v>
      </c>
      <c r="M1050" s="21" t="s">
        <v>1259</v>
      </c>
      <c r="N1050" s="48">
        <v>45618</v>
      </c>
      <c r="O1050" s="21">
        <f>INDEX(Auxiliar!$D$5:$F$13,MATCH(Table1[[#This Row],[Tipologia_Testes]],Auxiliar!$B$5:$B$13,0),MATCH(Table1[[#This Row],[Complexidade]],Auxiliar!$D$4:$F$4,0))</f>
        <v>2</v>
      </c>
      <c r="P1050" s="43"/>
      <c r="Q1050" s="114"/>
      <c r="R1050" s="152">
        <v>45589</v>
      </c>
      <c r="S1050" s="152"/>
      <c r="T1050" s="152"/>
      <c r="U1050" s="152">
        <v>45614</v>
      </c>
      <c r="V1050" s="152">
        <v>45596</v>
      </c>
      <c r="W1050" s="2">
        <f>VLOOKUP(Table1[[#This Row],[Status]],Auxiliar!$B$16:$D$24,3,0)*Table1[[#This Row],[Estimação (horas)]]</f>
        <v>1</v>
      </c>
      <c r="X1050" s="114"/>
    </row>
    <row r="1051" spans="2:24" ht="17.7" customHeight="1" x14ac:dyDescent="0.25">
      <c r="B1051" s="39" t="s">
        <v>26</v>
      </c>
      <c r="C1051" s="39" t="s">
        <v>26</v>
      </c>
      <c r="D1051" s="39" t="s">
        <v>326</v>
      </c>
      <c r="E1051" s="39" t="s">
        <v>254</v>
      </c>
      <c r="F1051" s="39" t="s">
        <v>336</v>
      </c>
      <c r="G1051" s="39" t="s">
        <v>350</v>
      </c>
      <c r="H1051" s="59" t="str">
        <f>Table1[[#This Row],[Tabela]]&amp;Table1[[#This Row],[Campo]]</f>
        <v>lt003_entitytrnstnl_trnvr</v>
      </c>
      <c r="I1051" s="2" t="s">
        <v>1927</v>
      </c>
      <c r="J1051" s="45">
        <f>VLOOKUP(Table1[[#This Row],[Status]],Auxiliar!$B$16:$C$24,2,0)</f>
        <v>2</v>
      </c>
      <c r="K1051" s="45" t="s">
        <v>1253</v>
      </c>
      <c r="L1051" s="46" t="s">
        <v>1258</v>
      </c>
      <c r="M1051" s="21" t="s">
        <v>1259</v>
      </c>
      <c r="N1051" s="48">
        <v>45618</v>
      </c>
      <c r="O1051" s="21">
        <f>INDEX(Auxiliar!$D$5:$F$13,MATCH(Table1[[#This Row],[Tipologia_Testes]],Auxiliar!$B$5:$B$13,0),MATCH(Table1[[#This Row],[Complexidade]],Auxiliar!$D$4:$F$4,0))</f>
        <v>2</v>
      </c>
      <c r="P1051" s="43"/>
      <c r="Q1051" s="114"/>
      <c r="R1051" s="152">
        <v>45589</v>
      </c>
      <c r="S1051" s="152"/>
      <c r="T1051" s="152"/>
      <c r="U1051" s="152">
        <v>45614</v>
      </c>
      <c r="V1051" s="152">
        <v>45596</v>
      </c>
      <c r="W1051" s="2">
        <f>VLOOKUP(Table1[[#This Row],[Status]],Auxiliar!$B$16:$D$24,3,0)*Table1[[#This Row],[Estimação (horas)]]</f>
        <v>1</v>
      </c>
      <c r="X1051" s="114"/>
    </row>
    <row r="1052" spans="2:24" ht="17.7" customHeight="1" x14ac:dyDescent="0.25">
      <c r="B1052" s="39" t="s">
        <v>26</v>
      </c>
      <c r="C1052" s="39" t="s">
        <v>26</v>
      </c>
      <c r="D1052" s="39" t="s">
        <v>326</v>
      </c>
      <c r="E1052" s="39" t="s">
        <v>254</v>
      </c>
      <c r="F1052" s="39" t="s">
        <v>336</v>
      </c>
      <c r="G1052" s="39" t="s">
        <v>350</v>
      </c>
      <c r="H1052" s="59" t="str">
        <f>Table1[[#This Row],[Tabela]]&amp;Table1[[#This Row],[Campo]]</f>
        <v>lt003_entitytrnstnl_trnvr</v>
      </c>
      <c r="I1052" s="2" t="s">
        <v>1927</v>
      </c>
      <c r="J1052" s="45">
        <f>VLOOKUP(Table1[[#This Row],[Status]],Auxiliar!$B$16:$C$24,2,0)</f>
        <v>2</v>
      </c>
      <c r="K1052" s="45" t="s">
        <v>1255</v>
      </c>
      <c r="L1052" s="46" t="s">
        <v>1258</v>
      </c>
      <c r="M1052" s="21" t="s">
        <v>1259</v>
      </c>
      <c r="N1052" s="48">
        <v>45618</v>
      </c>
      <c r="O1052" s="21">
        <f>INDEX(Auxiliar!$D$5:$F$13,MATCH(Table1[[#This Row],[Tipologia_Testes]],Auxiliar!$B$5:$B$13,0),MATCH(Table1[[#This Row],[Complexidade]],Auxiliar!$D$4:$F$4,0))</f>
        <v>0.1</v>
      </c>
      <c r="P1052" s="43"/>
      <c r="Q1052" s="114"/>
      <c r="R1052" s="152">
        <v>45589</v>
      </c>
      <c r="S1052" s="152"/>
      <c r="T1052" s="152"/>
      <c r="U1052" s="152">
        <v>45614</v>
      </c>
      <c r="V1052" s="152">
        <v>45596</v>
      </c>
      <c r="W1052" s="2">
        <f>VLOOKUP(Table1[[#This Row],[Status]],Auxiliar!$B$16:$D$24,3,0)*Table1[[#This Row],[Estimação (horas)]]</f>
        <v>0.05</v>
      </c>
      <c r="X1052" s="114"/>
    </row>
    <row r="1053" spans="2:24" ht="34.950000000000003" customHeight="1" x14ac:dyDescent="0.25">
      <c r="B1053" s="41" t="s">
        <v>26</v>
      </c>
      <c r="C1053" s="41" t="s">
        <v>26</v>
      </c>
      <c r="D1053" s="38" t="s">
        <v>326</v>
      </c>
      <c r="E1053" s="40" t="s">
        <v>255</v>
      </c>
      <c r="F1053" s="40" t="s">
        <v>336</v>
      </c>
      <c r="G1053" s="38" t="s">
        <v>351</v>
      </c>
      <c r="H1053" s="60" t="str">
        <f>Table1[[#This Row],[Tabela]]&amp;Table1[[#This Row],[Campo]]</f>
        <v>lt003_entitypure_trnvr_ccm</v>
      </c>
      <c r="I1053" s="2" t="s">
        <v>1927</v>
      </c>
      <c r="J1053" s="45">
        <f>VLOOKUP(Table1[[#This Row],[Status]],Auxiliar!$B$16:$C$24,2,0)</f>
        <v>2</v>
      </c>
      <c r="K1053" s="45" t="s">
        <v>1252</v>
      </c>
      <c r="L1053" s="46" t="s">
        <v>1258</v>
      </c>
      <c r="M1053" s="21" t="s">
        <v>1259</v>
      </c>
      <c r="N1053" s="48">
        <v>45618</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1</v>
      </c>
      <c r="X1053" s="114"/>
    </row>
    <row r="1054" spans="2:24" ht="17.7" customHeight="1" x14ac:dyDescent="0.25">
      <c r="B1054" s="39" t="s">
        <v>26</v>
      </c>
      <c r="C1054" s="39" t="s">
        <v>26</v>
      </c>
      <c r="D1054" s="39" t="s">
        <v>326</v>
      </c>
      <c r="E1054" s="39" t="s">
        <v>255</v>
      </c>
      <c r="F1054" s="39" t="s">
        <v>336</v>
      </c>
      <c r="G1054" s="39" t="s">
        <v>351</v>
      </c>
      <c r="H1054" s="59" t="str">
        <f>Table1[[#This Row],[Tabela]]&amp;Table1[[#This Row],[Campo]]</f>
        <v>lt003_entitypure_trnvr_ccm</v>
      </c>
      <c r="I1054" s="2" t="s">
        <v>1927</v>
      </c>
      <c r="J1054" s="45">
        <f>VLOOKUP(Table1[[#This Row],[Status]],Auxiliar!$B$16:$C$24,2,0)</f>
        <v>2</v>
      </c>
      <c r="K1054" s="45" t="s">
        <v>1253</v>
      </c>
      <c r="L1054" s="46" t="s">
        <v>1258</v>
      </c>
      <c r="M1054" s="21" t="s">
        <v>1259</v>
      </c>
      <c r="N1054" s="48">
        <v>45618</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1</v>
      </c>
      <c r="X1054" s="114"/>
    </row>
    <row r="1055" spans="2:24" ht="17.7" customHeight="1" x14ac:dyDescent="0.25">
      <c r="B1055" s="39" t="s">
        <v>26</v>
      </c>
      <c r="C1055" s="39" t="s">
        <v>26</v>
      </c>
      <c r="D1055" s="39" t="s">
        <v>326</v>
      </c>
      <c r="E1055" s="39" t="s">
        <v>255</v>
      </c>
      <c r="F1055" s="39" t="s">
        <v>336</v>
      </c>
      <c r="G1055" s="39" t="s">
        <v>351</v>
      </c>
      <c r="H1055" s="59" t="str">
        <f>Table1[[#This Row],[Tabela]]&amp;Table1[[#This Row],[Campo]]</f>
        <v>lt003_entitypure_trnvr_ccm</v>
      </c>
      <c r="I1055" s="2" t="s">
        <v>1927</v>
      </c>
      <c r="J1055" s="45">
        <f>VLOOKUP(Table1[[#This Row],[Status]],Auxiliar!$B$16:$C$24,2,0)</f>
        <v>2</v>
      </c>
      <c r="K1055" s="45" t="s">
        <v>1255</v>
      </c>
      <c r="L1055" s="46" t="s">
        <v>1258</v>
      </c>
      <c r="M1055" s="21" t="s">
        <v>1259</v>
      </c>
      <c r="N1055" s="48">
        <v>45618</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0.05</v>
      </c>
      <c r="X1055" s="114"/>
    </row>
    <row r="1056" spans="2:24" ht="34.950000000000003" customHeight="1" x14ac:dyDescent="0.25">
      <c r="B1056" s="41" t="s">
        <v>26</v>
      </c>
      <c r="C1056" s="41" t="s">
        <v>26</v>
      </c>
      <c r="D1056" s="38" t="s">
        <v>326</v>
      </c>
      <c r="E1056" s="40" t="s">
        <v>248</v>
      </c>
      <c r="F1056" s="40" t="s">
        <v>336</v>
      </c>
      <c r="G1056" s="38" t="s">
        <v>352</v>
      </c>
      <c r="H1056" s="60" t="str">
        <f>Table1[[#This Row],[Tabela]]&amp;Table1[[#This Row],[Campo]]</f>
        <v>lt003_entitypure_trnvr_cca</v>
      </c>
      <c r="I1056" s="2" t="s">
        <v>1927</v>
      </c>
      <c r="J1056" s="45">
        <f>VLOOKUP(Table1[[#This Row],[Status]],Auxiliar!$B$16:$C$24,2,0)</f>
        <v>2</v>
      </c>
      <c r="K1056" s="45" t="s">
        <v>1252</v>
      </c>
      <c r="L1056" s="46" t="s">
        <v>1258</v>
      </c>
      <c r="M1056" s="21" t="s">
        <v>1259</v>
      </c>
      <c r="N1056" s="48">
        <v>45618</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1</v>
      </c>
      <c r="X1056" s="114"/>
    </row>
    <row r="1057" spans="2:24" ht="17.7" customHeight="1" x14ac:dyDescent="0.25">
      <c r="B1057" s="39" t="s">
        <v>26</v>
      </c>
      <c r="C1057" s="39" t="s">
        <v>26</v>
      </c>
      <c r="D1057" s="39" t="s">
        <v>326</v>
      </c>
      <c r="E1057" s="39" t="s">
        <v>248</v>
      </c>
      <c r="F1057" s="39" t="s">
        <v>336</v>
      </c>
      <c r="G1057" s="39" t="s">
        <v>352</v>
      </c>
      <c r="H1057" s="59" t="str">
        <f>Table1[[#This Row],[Tabela]]&amp;Table1[[#This Row],[Campo]]</f>
        <v>lt003_entitypure_trnvr_cca</v>
      </c>
      <c r="I1057" s="2" t="s">
        <v>1927</v>
      </c>
      <c r="J1057" s="45">
        <f>VLOOKUP(Table1[[#This Row],[Status]],Auxiliar!$B$16:$C$24,2,0)</f>
        <v>2</v>
      </c>
      <c r="K1057" s="45" t="s">
        <v>1253</v>
      </c>
      <c r="L1057" s="46" t="s">
        <v>1258</v>
      </c>
      <c r="M1057" s="21" t="s">
        <v>1259</v>
      </c>
      <c r="N1057" s="48">
        <v>45618</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1</v>
      </c>
      <c r="X1057" s="114"/>
    </row>
    <row r="1058" spans="2:24" ht="17.7" customHeight="1" x14ac:dyDescent="0.25">
      <c r="B1058" s="39" t="s">
        <v>26</v>
      </c>
      <c r="C1058" s="39" t="s">
        <v>26</v>
      </c>
      <c r="D1058" s="39" t="s">
        <v>326</v>
      </c>
      <c r="E1058" s="39" t="s">
        <v>248</v>
      </c>
      <c r="F1058" s="39" t="s">
        <v>336</v>
      </c>
      <c r="G1058" s="39" t="s">
        <v>352</v>
      </c>
      <c r="H1058" s="59" t="str">
        <f>Table1[[#This Row],[Tabela]]&amp;Table1[[#This Row],[Campo]]</f>
        <v>lt003_entitypure_trnvr_cca</v>
      </c>
      <c r="I1058" s="2" t="s">
        <v>1927</v>
      </c>
      <c r="J1058" s="45">
        <f>VLOOKUP(Table1[[#This Row],[Status]],Auxiliar!$B$16:$C$24,2,0)</f>
        <v>2</v>
      </c>
      <c r="K1058" s="45" t="s">
        <v>1255</v>
      </c>
      <c r="L1058" s="46" t="s">
        <v>1258</v>
      </c>
      <c r="M1058" s="21" t="s">
        <v>1259</v>
      </c>
      <c r="N1058" s="48">
        <v>45618</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0.05</v>
      </c>
      <c r="X1058" s="114"/>
    </row>
    <row r="1059" spans="2:24" ht="34.950000000000003" customHeight="1" x14ac:dyDescent="0.25">
      <c r="B1059" s="41" t="s">
        <v>26</v>
      </c>
      <c r="C1059" s="41" t="s">
        <v>26</v>
      </c>
      <c r="D1059" s="36" t="s">
        <v>326</v>
      </c>
      <c r="E1059" s="111" t="s">
        <v>1337</v>
      </c>
      <c r="F1059" s="40" t="s">
        <v>336</v>
      </c>
      <c r="G1059" s="38" t="s">
        <v>353</v>
      </c>
      <c r="H1059" s="60" t="str">
        <f>Table1[[#This Row],[Tabela]]&amp;Table1[[#This Row],[Campo]]</f>
        <v>lt003_entityflg_nfrd_applcblty</v>
      </c>
      <c r="I1059" s="2" t="s">
        <v>1927</v>
      </c>
      <c r="J1059" s="45">
        <f>VLOOKUP(Table1[[#This Row],[Status]],Auxiliar!$B$16:$C$24,2,0)</f>
        <v>2</v>
      </c>
      <c r="K1059" s="45" t="s">
        <v>1252</v>
      </c>
      <c r="L1059" s="46" t="s">
        <v>1258</v>
      </c>
      <c r="M1059" s="21" t="s">
        <v>1259</v>
      </c>
      <c r="N1059" s="48">
        <v>45618</v>
      </c>
      <c r="O1059" s="21">
        <f>INDEX(Auxiliar!$D$5:$F$13,MATCH(Table1[[#This Row],[Tipologia_Testes]],Auxiliar!$B$5:$B$13,0),MATCH(Table1[[#This Row],[Complexidade]],Auxiliar!$D$4:$F$4,0))</f>
        <v>2</v>
      </c>
      <c r="P1059" s="43"/>
      <c r="Q1059" s="114"/>
      <c r="R1059" s="152">
        <v>45589</v>
      </c>
      <c r="S1059" s="152"/>
      <c r="T1059" s="152">
        <v>45589</v>
      </c>
      <c r="U1059" s="152">
        <v>45611</v>
      </c>
      <c r="V1059" s="152">
        <v>45611</v>
      </c>
      <c r="W1059" s="2">
        <f>VLOOKUP(Table1[[#This Row],[Status]],Auxiliar!$B$16:$D$24,3,0)*Table1[[#This Row],[Estimação (horas)]]</f>
        <v>1</v>
      </c>
      <c r="X1059" s="114"/>
    </row>
    <row r="1060" spans="2:24" ht="17.7" customHeight="1" x14ac:dyDescent="0.25">
      <c r="B1060" s="39" t="s">
        <v>26</v>
      </c>
      <c r="C1060" s="39" t="s">
        <v>26</v>
      </c>
      <c r="D1060" s="39" t="s">
        <v>326</v>
      </c>
      <c r="E1060" s="39" t="s">
        <v>1337</v>
      </c>
      <c r="F1060" s="39" t="s">
        <v>336</v>
      </c>
      <c r="G1060" s="39" t="s">
        <v>353</v>
      </c>
      <c r="H1060" s="59" t="str">
        <f>Table1[[#This Row],[Tabela]]&amp;Table1[[#This Row],[Campo]]</f>
        <v>lt003_entityflg_nfrd_applcblty</v>
      </c>
      <c r="I1060" s="2" t="s">
        <v>1927</v>
      </c>
      <c r="J1060" s="45">
        <f>VLOOKUP(Table1[[#This Row],[Status]],Auxiliar!$B$16:$C$24,2,0)</f>
        <v>2</v>
      </c>
      <c r="K1060" s="45" t="s">
        <v>1253</v>
      </c>
      <c r="L1060" s="46" t="s">
        <v>1258</v>
      </c>
      <c r="M1060" s="21" t="s">
        <v>1259</v>
      </c>
      <c r="N1060" s="48">
        <v>45618</v>
      </c>
      <c r="O1060" s="21">
        <f>INDEX(Auxiliar!$D$5:$F$13,MATCH(Table1[[#This Row],[Tipologia_Testes]],Auxiliar!$B$5:$B$13,0),MATCH(Table1[[#This Row],[Complexidade]],Auxiliar!$D$4:$F$4,0))</f>
        <v>2</v>
      </c>
      <c r="P1060" s="43"/>
      <c r="Q1060" s="114"/>
      <c r="R1060" s="152">
        <v>45589</v>
      </c>
      <c r="S1060" s="152"/>
      <c r="T1060" s="152">
        <v>45589</v>
      </c>
      <c r="U1060" s="152">
        <v>45611</v>
      </c>
      <c r="V1060" s="152">
        <v>45611</v>
      </c>
      <c r="W1060" s="2">
        <f>VLOOKUP(Table1[[#This Row],[Status]],Auxiliar!$B$16:$D$24,3,0)*Table1[[#This Row],[Estimação (horas)]]</f>
        <v>1</v>
      </c>
      <c r="X1060" s="114"/>
    </row>
    <row r="1061" spans="2:24" ht="17.7" customHeight="1" x14ac:dyDescent="0.25">
      <c r="B1061" s="39" t="s">
        <v>26</v>
      </c>
      <c r="C1061" s="39" t="s">
        <v>26</v>
      </c>
      <c r="D1061" s="39" t="s">
        <v>326</v>
      </c>
      <c r="E1061" s="39" t="s">
        <v>1337</v>
      </c>
      <c r="F1061" s="39" t="s">
        <v>336</v>
      </c>
      <c r="G1061" s="39" t="s">
        <v>353</v>
      </c>
      <c r="H1061" s="59" t="str">
        <f>Table1[[#This Row],[Tabela]]&amp;Table1[[#This Row],[Campo]]</f>
        <v>lt003_entityflg_nfrd_applcblty</v>
      </c>
      <c r="I1061" s="2" t="s">
        <v>1927</v>
      </c>
      <c r="J1061" s="45">
        <f>VLOOKUP(Table1[[#This Row],[Status]],Auxiliar!$B$16:$C$24,2,0)</f>
        <v>2</v>
      </c>
      <c r="K1061" s="45" t="s">
        <v>1255</v>
      </c>
      <c r="L1061" s="46" t="s">
        <v>1258</v>
      </c>
      <c r="M1061" s="21" t="s">
        <v>1259</v>
      </c>
      <c r="N1061" s="48">
        <v>45618</v>
      </c>
      <c r="O1061" s="21">
        <f>INDEX(Auxiliar!$D$5:$F$13,MATCH(Table1[[#This Row],[Tipologia_Testes]],Auxiliar!$B$5:$B$13,0),MATCH(Table1[[#This Row],[Complexidade]],Auxiliar!$D$4:$F$4,0))</f>
        <v>0.1</v>
      </c>
      <c r="P1061" s="43"/>
      <c r="Q1061" s="114"/>
      <c r="R1061" s="152">
        <v>45589</v>
      </c>
      <c r="S1061" s="152"/>
      <c r="T1061" s="152">
        <v>45589</v>
      </c>
      <c r="U1061" s="152">
        <v>45611</v>
      </c>
      <c r="V1061" s="152">
        <v>45611</v>
      </c>
      <c r="W1061" s="2">
        <f>VLOOKUP(Table1[[#This Row],[Status]],Auxiliar!$B$16:$D$24,3,0)*Table1[[#This Row],[Estimação (horas)]]</f>
        <v>0.05</v>
      </c>
      <c r="X1061" s="114"/>
    </row>
    <row r="1062" spans="2:24" ht="34.950000000000003" customHeight="1" x14ac:dyDescent="0.25">
      <c r="B1062" s="41" t="s">
        <v>26</v>
      </c>
      <c r="C1062" s="41" t="s">
        <v>26</v>
      </c>
      <c r="D1062" s="36" t="s">
        <v>326</v>
      </c>
      <c r="E1062" s="111" t="s">
        <v>286</v>
      </c>
      <c r="F1062" s="40" t="s">
        <v>336</v>
      </c>
      <c r="G1062" s="38" t="s">
        <v>354</v>
      </c>
      <c r="H1062" s="60" t="str">
        <f>Table1[[#This Row],[Tabela]]&amp;Table1[[#This Row],[Campo]]</f>
        <v>lt003_entitycntrprty_emssns_scp1</v>
      </c>
      <c r="I1062" s="2" t="s">
        <v>1927</v>
      </c>
      <c r="J1062" s="45">
        <f>VLOOKUP(Table1[[#This Row],[Status]],Auxiliar!$B$16:$C$24,2,0)</f>
        <v>2</v>
      </c>
      <c r="K1062" s="45" t="s">
        <v>1252</v>
      </c>
      <c r="L1062" s="46" t="s">
        <v>1258</v>
      </c>
      <c r="M1062" s="21" t="s">
        <v>1259</v>
      </c>
      <c r="N1062" s="48">
        <v>45618</v>
      </c>
      <c r="O1062" s="21">
        <f>INDEX(Auxiliar!$D$5:$F$13,MATCH(Table1[[#This Row],[Tipologia_Testes]],Auxiliar!$B$5:$B$13,0),MATCH(Table1[[#This Row],[Complexidade]],Auxiliar!$D$4:$F$4,0))</f>
        <v>2</v>
      </c>
      <c r="P1062" s="43"/>
      <c r="Q1062" s="114"/>
      <c r="R1062" s="152">
        <v>45589</v>
      </c>
      <c r="S1062" s="152"/>
      <c r="T1062" s="152"/>
      <c r="U1062" s="152">
        <v>45621</v>
      </c>
      <c r="V1062" s="152">
        <v>45596</v>
      </c>
      <c r="W1062" s="2">
        <f>VLOOKUP(Table1[[#This Row],[Status]],Auxiliar!$B$16:$D$24,3,0)*Table1[[#This Row],[Estimação (horas)]]</f>
        <v>1</v>
      </c>
      <c r="X1062" s="114"/>
    </row>
    <row r="1063" spans="2:24" ht="17.7" customHeight="1" x14ac:dyDescent="0.25">
      <c r="B1063" s="39" t="s">
        <v>26</v>
      </c>
      <c r="C1063" s="39" t="s">
        <v>26</v>
      </c>
      <c r="D1063" s="39" t="s">
        <v>326</v>
      </c>
      <c r="E1063" s="39" t="s">
        <v>286</v>
      </c>
      <c r="F1063" s="39" t="s">
        <v>336</v>
      </c>
      <c r="G1063" s="39" t="s">
        <v>354</v>
      </c>
      <c r="H1063" s="59" t="str">
        <f>Table1[[#This Row],[Tabela]]&amp;Table1[[#This Row],[Campo]]</f>
        <v>lt003_entitycntrprty_emssns_scp1</v>
      </c>
      <c r="I1063" s="2" t="s">
        <v>1927</v>
      </c>
      <c r="J1063" s="45">
        <f>VLOOKUP(Table1[[#This Row],[Status]],Auxiliar!$B$16:$C$24,2,0)</f>
        <v>2</v>
      </c>
      <c r="K1063" s="45" t="s">
        <v>1253</v>
      </c>
      <c r="L1063" s="46" t="s">
        <v>1258</v>
      </c>
      <c r="M1063" s="21" t="s">
        <v>1259</v>
      </c>
      <c r="N1063" s="48">
        <v>45618</v>
      </c>
      <c r="O1063" s="21">
        <f>INDEX(Auxiliar!$D$5:$F$13,MATCH(Table1[[#This Row],[Tipologia_Testes]],Auxiliar!$B$5:$B$13,0),MATCH(Table1[[#This Row],[Complexidade]],Auxiliar!$D$4:$F$4,0))</f>
        <v>2</v>
      </c>
      <c r="P1063" s="43"/>
      <c r="Q1063" s="114"/>
      <c r="R1063" s="152">
        <v>45589</v>
      </c>
      <c r="S1063" s="152"/>
      <c r="T1063" s="152"/>
      <c r="U1063" s="152">
        <v>45621</v>
      </c>
      <c r="V1063" s="152">
        <v>45596</v>
      </c>
      <c r="W1063" s="2">
        <f>VLOOKUP(Table1[[#This Row],[Status]],Auxiliar!$B$16:$D$24,3,0)*Table1[[#This Row],[Estimação (horas)]]</f>
        <v>1</v>
      </c>
      <c r="X1063" s="114"/>
    </row>
    <row r="1064" spans="2:24" ht="17.7" customHeight="1" x14ac:dyDescent="0.25">
      <c r="B1064" s="39" t="s">
        <v>26</v>
      </c>
      <c r="C1064" s="39" t="s">
        <v>26</v>
      </c>
      <c r="D1064" s="39" t="s">
        <v>326</v>
      </c>
      <c r="E1064" s="39" t="s">
        <v>286</v>
      </c>
      <c r="F1064" s="39" t="s">
        <v>336</v>
      </c>
      <c r="G1064" s="39" t="s">
        <v>354</v>
      </c>
      <c r="H1064" s="59" t="str">
        <f>Table1[[#This Row],[Tabela]]&amp;Table1[[#This Row],[Campo]]</f>
        <v>lt003_entitycntrprty_emssns_scp1</v>
      </c>
      <c r="I1064" s="2" t="s">
        <v>1927</v>
      </c>
      <c r="J1064" s="45">
        <f>VLOOKUP(Table1[[#This Row],[Status]],Auxiliar!$B$16:$C$24,2,0)</f>
        <v>2</v>
      </c>
      <c r="K1064" s="45" t="s">
        <v>1255</v>
      </c>
      <c r="L1064" s="46" t="s">
        <v>1258</v>
      </c>
      <c r="M1064" s="21" t="s">
        <v>1259</v>
      </c>
      <c r="N1064" s="48">
        <v>45618</v>
      </c>
      <c r="O1064" s="21">
        <f>INDEX(Auxiliar!$D$5:$F$13,MATCH(Table1[[#This Row],[Tipologia_Testes]],Auxiliar!$B$5:$B$13,0),MATCH(Table1[[#This Row],[Complexidade]],Auxiliar!$D$4:$F$4,0))</f>
        <v>0.1</v>
      </c>
      <c r="P1064" s="43"/>
      <c r="Q1064" s="114"/>
      <c r="R1064" s="152">
        <v>45589</v>
      </c>
      <c r="S1064" s="152"/>
      <c r="T1064" s="152"/>
      <c r="U1064" s="152">
        <v>45621</v>
      </c>
      <c r="V1064" s="152">
        <v>45596</v>
      </c>
      <c r="W1064" s="2">
        <f>VLOOKUP(Table1[[#This Row],[Status]],Auxiliar!$B$16:$D$24,3,0)*Table1[[#This Row],[Estimação (horas)]]</f>
        <v>0.05</v>
      </c>
      <c r="X1064" s="114"/>
    </row>
    <row r="1065" spans="2:24" ht="34.950000000000003" customHeight="1" x14ac:dyDescent="0.25">
      <c r="B1065" s="41" t="s">
        <v>26</v>
      </c>
      <c r="C1065" s="41" t="s">
        <v>26</v>
      </c>
      <c r="D1065" s="36" t="s">
        <v>326</v>
      </c>
      <c r="E1065" s="111" t="s">
        <v>287</v>
      </c>
      <c r="F1065" s="40" t="s">
        <v>336</v>
      </c>
      <c r="G1065" s="38" t="s">
        <v>355</v>
      </c>
      <c r="H1065" s="60" t="str">
        <f>Table1[[#This Row],[Tabela]]&amp;Table1[[#This Row],[Campo]]</f>
        <v>lt003_entitycntrprty_emssns_scp2</v>
      </c>
      <c r="I1065" s="2" t="s">
        <v>1927</v>
      </c>
      <c r="J1065" s="45">
        <f>VLOOKUP(Table1[[#This Row],[Status]],Auxiliar!$B$16:$C$24,2,0)</f>
        <v>2</v>
      </c>
      <c r="K1065" s="45" t="s">
        <v>1252</v>
      </c>
      <c r="L1065" s="46" t="s">
        <v>1258</v>
      </c>
      <c r="M1065" s="21" t="s">
        <v>1259</v>
      </c>
      <c r="N1065" s="48">
        <v>45618</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1</v>
      </c>
      <c r="X1065" s="114"/>
    </row>
    <row r="1066" spans="2:24" ht="17.7" customHeight="1" x14ac:dyDescent="0.25">
      <c r="B1066" s="39" t="s">
        <v>26</v>
      </c>
      <c r="C1066" s="39" t="s">
        <v>26</v>
      </c>
      <c r="D1066" s="39" t="s">
        <v>326</v>
      </c>
      <c r="E1066" s="39" t="s">
        <v>287</v>
      </c>
      <c r="F1066" s="39" t="s">
        <v>336</v>
      </c>
      <c r="G1066" s="39" t="s">
        <v>355</v>
      </c>
      <c r="H1066" s="59" t="str">
        <f>Table1[[#This Row],[Tabela]]&amp;Table1[[#This Row],[Campo]]</f>
        <v>lt003_entitycntrprty_emssns_scp2</v>
      </c>
      <c r="I1066" s="2" t="s">
        <v>1927</v>
      </c>
      <c r="J1066" s="45">
        <f>VLOOKUP(Table1[[#This Row],[Status]],Auxiliar!$B$16:$C$24,2,0)</f>
        <v>2</v>
      </c>
      <c r="K1066" s="45" t="s">
        <v>1253</v>
      </c>
      <c r="L1066" s="46" t="s">
        <v>1258</v>
      </c>
      <c r="M1066" s="21" t="s">
        <v>1259</v>
      </c>
      <c r="N1066" s="48">
        <v>45618</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1</v>
      </c>
      <c r="X1066" s="114"/>
    </row>
    <row r="1067" spans="2:24" ht="17.7" customHeight="1" x14ac:dyDescent="0.25">
      <c r="B1067" s="39" t="s">
        <v>26</v>
      </c>
      <c r="C1067" s="39" t="s">
        <v>26</v>
      </c>
      <c r="D1067" s="39" t="s">
        <v>326</v>
      </c>
      <c r="E1067" s="39" t="s">
        <v>287</v>
      </c>
      <c r="F1067" s="39" t="s">
        <v>336</v>
      </c>
      <c r="G1067" s="39" t="s">
        <v>355</v>
      </c>
      <c r="H1067" s="59" t="str">
        <f>Table1[[#This Row],[Tabela]]&amp;Table1[[#This Row],[Campo]]</f>
        <v>lt003_entitycntrprty_emssns_scp2</v>
      </c>
      <c r="I1067" s="2" t="s">
        <v>1927</v>
      </c>
      <c r="J1067" s="45">
        <f>VLOOKUP(Table1[[#This Row],[Status]],Auxiliar!$B$16:$C$24,2,0)</f>
        <v>2</v>
      </c>
      <c r="K1067" s="45" t="s">
        <v>1255</v>
      </c>
      <c r="L1067" s="46" t="s">
        <v>1258</v>
      </c>
      <c r="M1067" s="21" t="s">
        <v>1259</v>
      </c>
      <c r="N1067" s="48">
        <v>45618</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0.05</v>
      </c>
      <c r="X1067" s="114"/>
    </row>
    <row r="1068" spans="2:24" ht="34.950000000000003" customHeight="1" x14ac:dyDescent="0.25">
      <c r="B1068" s="41" t="s">
        <v>26</v>
      </c>
      <c r="C1068" s="41" t="s">
        <v>26</v>
      </c>
      <c r="D1068" s="36" t="s">
        <v>326</v>
      </c>
      <c r="E1068" s="111" t="s">
        <v>288</v>
      </c>
      <c r="F1068" s="40" t="s">
        <v>336</v>
      </c>
      <c r="G1068" s="38" t="s">
        <v>356</v>
      </c>
      <c r="H1068" s="60" t="str">
        <f>Table1[[#This Row],[Tabela]]&amp;Table1[[#This Row],[Campo]]</f>
        <v>lt003_entitycntrprty_emssns_scp3</v>
      </c>
      <c r="I1068" s="2" t="s">
        <v>1927</v>
      </c>
      <c r="J1068" s="45">
        <f>VLOOKUP(Table1[[#This Row],[Status]],Auxiliar!$B$16:$C$24,2,0)</f>
        <v>2</v>
      </c>
      <c r="K1068" s="45" t="s">
        <v>1252</v>
      </c>
      <c r="L1068" s="46" t="s">
        <v>1258</v>
      </c>
      <c r="M1068" s="21" t="s">
        <v>1259</v>
      </c>
      <c r="N1068" s="48">
        <v>45618</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1</v>
      </c>
      <c r="X1068" s="114"/>
    </row>
    <row r="1069" spans="2:24" ht="17.7" customHeight="1" x14ac:dyDescent="0.25">
      <c r="B1069" s="39" t="s">
        <v>26</v>
      </c>
      <c r="C1069" s="39" t="s">
        <v>26</v>
      </c>
      <c r="D1069" s="39" t="s">
        <v>326</v>
      </c>
      <c r="E1069" s="39" t="s">
        <v>288</v>
      </c>
      <c r="F1069" s="39" t="s">
        <v>336</v>
      </c>
      <c r="G1069" s="39" t="s">
        <v>356</v>
      </c>
      <c r="H1069" s="59" t="str">
        <f>Table1[[#This Row],[Tabela]]&amp;Table1[[#This Row],[Campo]]</f>
        <v>lt003_entitycntrprty_emssns_scp3</v>
      </c>
      <c r="I1069" s="2" t="s">
        <v>1927</v>
      </c>
      <c r="J1069" s="45">
        <f>VLOOKUP(Table1[[#This Row],[Status]],Auxiliar!$B$16:$C$24,2,0)</f>
        <v>2</v>
      </c>
      <c r="K1069" s="45" t="s">
        <v>1253</v>
      </c>
      <c r="L1069" s="46" t="s">
        <v>1258</v>
      </c>
      <c r="M1069" s="21" t="s">
        <v>1259</v>
      </c>
      <c r="N1069" s="48">
        <v>45618</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1</v>
      </c>
      <c r="X1069" s="114"/>
    </row>
    <row r="1070" spans="2:24" ht="17.7" customHeight="1" x14ac:dyDescent="0.25">
      <c r="B1070" s="39" t="s">
        <v>26</v>
      </c>
      <c r="C1070" s="39" t="s">
        <v>26</v>
      </c>
      <c r="D1070" s="39" t="s">
        <v>326</v>
      </c>
      <c r="E1070" s="39" t="s">
        <v>288</v>
      </c>
      <c r="F1070" s="39" t="s">
        <v>336</v>
      </c>
      <c r="G1070" s="39" t="s">
        <v>356</v>
      </c>
      <c r="H1070" s="59" t="str">
        <f>Table1[[#This Row],[Tabela]]&amp;Table1[[#This Row],[Campo]]</f>
        <v>lt003_entitycntrprty_emssns_scp3</v>
      </c>
      <c r="I1070" s="2" t="s">
        <v>1927</v>
      </c>
      <c r="J1070" s="45">
        <f>VLOOKUP(Table1[[#This Row],[Status]],Auxiliar!$B$16:$C$24,2,0)</f>
        <v>2</v>
      </c>
      <c r="K1070" s="45" t="s">
        <v>1255</v>
      </c>
      <c r="L1070" s="46" t="s">
        <v>1258</v>
      </c>
      <c r="M1070" s="21" t="s">
        <v>1259</v>
      </c>
      <c r="N1070" s="48">
        <v>45618</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0.05</v>
      </c>
      <c r="X1070" s="114"/>
    </row>
    <row r="1071" spans="2:24" ht="34.950000000000003" customHeight="1" x14ac:dyDescent="0.25">
      <c r="B1071" s="41" t="s">
        <v>26</v>
      </c>
      <c r="C1071" s="41" t="s">
        <v>26</v>
      </c>
      <c r="D1071" s="36" t="s">
        <v>326</v>
      </c>
      <c r="E1071" s="111" t="s">
        <v>1337</v>
      </c>
      <c r="F1071" s="40" t="s">
        <v>336</v>
      </c>
      <c r="G1071" s="38" t="s">
        <v>357</v>
      </c>
      <c r="H1071" s="60" t="str">
        <f>Table1[[#This Row],[Tabela]]&amp;Table1[[#This Row],[Campo]]</f>
        <v>lt003_entityflg_excldd_eu_prs_algnd_bnchmrk</v>
      </c>
      <c r="I1071" s="2" t="s">
        <v>1927</v>
      </c>
      <c r="J1071" s="45">
        <f>VLOOKUP(Table1[[#This Row],[Status]],Auxiliar!$B$16:$C$24,2,0)</f>
        <v>2</v>
      </c>
      <c r="K1071" s="45" t="s">
        <v>1252</v>
      </c>
      <c r="L1071" s="46" t="s">
        <v>1258</v>
      </c>
      <c r="M1071" s="21" t="s">
        <v>1259</v>
      </c>
      <c r="N1071" s="48">
        <v>45618</v>
      </c>
      <c r="O1071" s="21">
        <f>INDEX(Auxiliar!$D$5:$F$13,MATCH(Table1[[#This Row],[Tipologia_Testes]],Auxiliar!$B$5:$B$13,0),MATCH(Table1[[#This Row],[Complexidade]],Auxiliar!$D$4:$F$4,0))</f>
        <v>2</v>
      </c>
      <c r="P1071" s="43"/>
      <c r="Q1071" s="114"/>
      <c r="R1071" s="152">
        <v>45589</v>
      </c>
      <c r="S1071" s="152"/>
      <c r="T1071" s="152"/>
      <c r="U1071" s="152">
        <v>45614</v>
      </c>
      <c r="V1071" s="152">
        <v>45596</v>
      </c>
      <c r="W1071" s="2">
        <f>VLOOKUP(Table1[[#This Row],[Status]],Auxiliar!$B$16:$D$24,3,0)*Table1[[#This Row],[Estimação (horas)]]</f>
        <v>1</v>
      </c>
      <c r="X1071" s="114"/>
    </row>
    <row r="1072" spans="2:24" ht="17.7" customHeight="1" x14ac:dyDescent="0.25">
      <c r="B1072" s="39" t="s">
        <v>26</v>
      </c>
      <c r="C1072" s="39" t="s">
        <v>26</v>
      </c>
      <c r="D1072" s="39" t="s">
        <v>326</v>
      </c>
      <c r="E1072" s="39" t="s">
        <v>1337</v>
      </c>
      <c r="F1072" s="39" t="s">
        <v>336</v>
      </c>
      <c r="G1072" s="39" t="s">
        <v>357</v>
      </c>
      <c r="H1072" s="59" t="str">
        <f>Table1[[#This Row],[Tabela]]&amp;Table1[[#This Row],[Campo]]</f>
        <v>lt003_entityflg_excldd_eu_prs_algnd_bnchmrk</v>
      </c>
      <c r="I1072" s="2" t="s">
        <v>1927</v>
      </c>
      <c r="J1072" s="45">
        <f>VLOOKUP(Table1[[#This Row],[Status]],Auxiliar!$B$16:$C$24,2,0)</f>
        <v>2</v>
      </c>
      <c r="K1072" s="45" t="s">
        <v>1253</v>
      </c>
      <c r="L1072" s="46" t="s">
        <v>1258</v>
      </c>
      <c r="M1072" s="21" t="s">
        <v>1259</v>
      </c>
      <c r="N1072" s="48">
        <v>45618</v>
      </c>
      <c r="O1072" s="21">
        <f>INDEX(Auxiliar!$D$5:$F$13,MATCH(Table1[[#This Row],[Tipologia_Testes]],Auxiliar!$B$5:$B$13,0),MATCH(Table1[[#This Row],[Complexidade]],Auxiliar!$D$4:$F$4,0))</f>
        <v>2</v>
      </c>
      <c r="P1072" s="43"/>
      <c r="Q1072" s="114"/>
      <c r="R1072" s="152">
        <v>45589</v>
      </c>
      <c r="S1072" s="152"/>
      <c r="T1072" s="152"/>
      <c r="U1072" s="152">
        <v>45614</v>
      </c>
      <c r="V1072" s="152">
        <v>45596</v>
      </c>
      <c r="W1072" s="2">
        <f>VLOOKUP(Table1[[#This Row],[Status]],Auxiliar!$B$16:$D$24,3,0)*Table1[[#This Row],[Estimação (horas)]]</f>
        <v>1</v>
      </c>
      <c r="X1072" s="114"/>
    </row>
    <row r="1073" spans="2:24" ht="17.7" customHeight="1" x14ac:dyDescent="0.25">
      <c r="B1073" s="39" t="s">
        <v>26</v>
      </c>
      <c r="C1073" s="39" t="s">
        <v>26</v>
      </c>
      <c r="D1073" s="39" t="s">
        <v>326</v>
      </c>
      <c r="E1073" s="39" t="s">
        <v>1337</v>
      </c>
      <c r="F1073" s="39" t="s">
        <v>336</v>
      </c>
      <c r="G1073" s="39" t="s">
        <v>357</v>
      </c>
      <c r="H1073" s="59" t="str">
        <f>Table1[[#This Row],[Tabela]]&amp;Table1[[#This Row],[Campo]]</f>
        <v>lt003_entityflg_excldd_eu_prs_algnd_bnchmrk</v>
      </c>
      <c r="I1073" s="2" t="s">
        <v>1927</v>
      </c>
      <c r="J1073" s="45">
        <f>VLOOKUP(Table1[[#This Row],[Status]],Auxiliar!$B$16:$C$24,2,0)</f>
        <v>2</v>
      </c>
      <c r="K1073" s="45" t="s">
        <v>1255</v>
      </c>
      <c r="L1073" s="46" t="s">
        <v>1258</v>
      </c>
      <c r="M1073" s="21" t="s">
        <v>1259</v>
      </c>
      <c r="N1073" s="48">
        <v>45618</v>
      </c>
      <c r="O1073" s="21">
        <f>INDEX(Auxiliar!$D$5:$F$13,MATCH(Table1[[#This Row],[Tipologia_Testes]],Auxiliar!$B$5:$B$13,0),MATCH(Table1[[#This Row],[Complexidade]],Auxiliar!$D$4:$F$4,0))</f>
        <v>0.1</v>
      </c>
      <c r="P1073" s="43"/>
      <c r="Q1073" s="114"/>
      <c r="R1073" s="152">
        <v>45589</v>
      </c>
      <c r="S1073" s="152"/>
      <c r="T1073" s="152"/>
      <c r="U1073" s="152">
        <v>45614</v>
      </c>
      <c r="V1073" s="152">
        <v>45596</v>
      </c>
      <c r="W1073" s="2">
        <f>VLOOKUP(Table1[[#This Row],[Status]],Auxiliar!$B$16:$D$24,3,0)*Table1[[#This Row],[Estimação (horas)]]</f>
        <v>0.05</v>
      </c>
      <c r="X1073" s="114"/>
    </row>
    <row r="1074" spans="2:24" ht="34.950000000000003" customHeight="1" x14ac:dyDescent="0.25">
      <c r="B1074" s="41" t="s">
        <v>26</v>
      </c>
      <c r="C1074" s="41" t="s">
        <v>26</v>
      </c>
      <c r="D1074" s="36" t="s">
        <v>326</v>
      </c>
      <c r="E1074" s="40" t="s">
        <v>1337</v>
      </c>
      <c r="F1074" s="40" t="s">
        <v>336</v>
      </c>
      <c r="G1074" s="38" t="s">
        <v>358</v>
      </c>
      <c r="H1074" s="60" t="str">
        <f>Table1[[#This Row],[Tabela]]&amp;Table1[[#This Row],[Campo]]</f>
        <v>lt003_entityflg_act_physcl_rsk</v>
      </c>
      <c r="I1074" s="2" t="s">
        <v>615</v>
      </c>
      <c r="J1074" s="45">
        <f>VLOOKUP(Table1[[#This Row],[Status]],Auxiliar!$B$16:$C$24,2,0)</f>
        <v>4</v>
      </c>
      <c r="K1074" s="45" t="s">
        <v>1252</v>
      </c>
      <c r="L1074" s="46" t="s">
        <v>1258</v>
      </c>
      <c r="M1074" s="21" t="s">
        <v>1259</v>
      </c>
      <c r="N1074" s="48">
        <v>45604</v>
      </c>
      <c r="O1074" s="21">
        <f>INDEX(Auxiliar!$D$5:$F$13,MATCH(Table1[[#This Row],[Tipologia_Testes]],Auxiliar!$B$5:$B$13,0),MATCH(Table1[[#This Row],[Complexidade]],Auxiliar!$D$4:$F$4,0))</f>
        <v>2</v>
      </c>
      <c r="P1074" s="43"/>
      <c r="Q1074" s="114"/>
      <c r="R1074" s="152">
        <v>45589</v>
      </c>
      <c r="S1074" s="152"/>
      <c r="T1074" s="152">
        <v>45589</v>
      </c>
      <c r="U1074" s="152"/>
      <c r="V1074" s="152">
        <v>45596</v>
      </c>
      <c r="W1074" s="2">
        <f>VLOOKUP(Table1[[#This Row],[Status]],Auxiliar!$B$16:$D$24,3,0)*Table1[[#This Row],[Estimação (horas)]]</f>
        <v>0.5</v>
      </c>
      <c r="X1074" s="114"/>
    </row>
    <row r="1075" spans="2:24" ht="17.7" customHeight="1" x14ac:dyDescent="0.25">
      <c r="B1075" s="39" t="s">
        <v>26</v>
      </c>
      <c r="C1075" s="39" t="s">
        <v>26</v>
      </c>
      <c r="D1075" s="39" t="s">
        <v>326</v>
      </c>
      <c r="E1075" s="39" t="s">
        <v>1337</v>
      </c>
      <c r="F1075" s="39" t="s">
        <v>336</v>
      </c>
      <c r="G1075" s="39" t="s">
        <v>358</v>
      </c>
      <c r="H1075" s="59" t="str">
        <f>Table1[[#This Row],[Tabela]]&amp;Table1[[#This Row],[Campo]]</f>
        <v>lt003_entityflg_act_physcl_rsk</v>
      </c>
      <c r="I1075" s="2" t="s">
        <v>615</v>
      </c>
      <c r="J1075" s="45">
        <f>VLOOKUP(Table1[[#This Row],[Status]],Auxiliar!$B$16:$C$24,2,0)</f>
        <v>4</v>
      </c>
      <c r="K1075" s="45" t="s">
        <v>1253</v>
      </c>
      <c r="L1075" s="46" t="s">
        <v>1258</v>
      </c>
      <c r="M1075" s="21" t="s">
        <v>1259</v>
      </c>
      <c r="N1075" s="48">
        <v>45604</v>
      </c>
      <c r="O1075" s="21">
        <f>INDEX(Auxiliar!$D$5:$F$13,MATCH(Table1[[#This Row],[Tipologia_Testes]],Auxiliar!$B$5:$B$13,0),MATCH(Table1[[#This Row],[Complexidade]],Auxiliar!$D$4:$F$4,0))</f>
        <v>2</v>
      </c>
      <c r="P1075" s="43"/>
      <c r="Q1075" s="114"/>
      <c r="R1075" s="152">
        <v>45589</v>
      </c>
      <c r="S1075" s="152"/>
      <c r="T1075" s="152">
        <v>45589</v>
      </c>
      <c r="U1075" s="152"/>
      <c r="V1075" s="152">
        <v>45596</v>
      </c>
      <c r="W1075" s="2">
        <f>VLOOKUP(Table1[[#This Row],[Status]],Auxiliar!$B$16:$D$24,3,0)*Table1[[#This Row],[Estimação (horas)]]</f>
        <v>0.5</v>
      </c>
      <c r="X1075" s="114"/>
    </row>
    <row r="1076" spans="2:24" ht="17.7" customHeight="1" x14ac:dyDescent="0.25">
      <c r="B1076" s="39" t="s">
        <v>26</v>
      </c>
      <c r="C1076" s="39" t="s">
        <v>26</v>
      </c>
      <c r="D1076" s="39" t="s">
        <v>326</v>
      </c>
      <c r="E1076" s="39" t="s">
        <v>1337</v>
      </c>
      <c r="F1076" s="39" t="s">
        <v>336</v>
      </c>
      <c r="G1076" s="39" t="s">
        <v>358</v>
      </c>
      <c r="H1076" s="59" t="str">
        <f>Table1[[#This Row],[Tabela]]&amp;Table1[[#This Row],[Campo]]</f>
        <v>lt003_entityflg_act_physcl_rsk</v>
      </c>
      <c r="I1076" s="2" t="s">
        <v>615</v>
      </c>
      <c r="J1076" s="45">
        <f>VLOOKUP(Table1[[#This Row],[Status]],Auxiliar!$B$16:$C$24,2,0)</f>
        <v>4</v>
      </c>
      <c r="K1076" s="45" t="s">
        <v>1255</v>
      </c>
      <c r="L1076" s="46" t="s">
        <v>1258</v>
      </c>
      <c r="M1076" s="21" t="s">
        <v>1259</v>
      </c>
      <c r="N1076" s="48">
        <v>45604</v>
      </c>
      <c r="O1076" s="21">
        <f>INDEX(Auxiliar!$D$5:$F$13,MATCH(Table1[[#This Row],[Tipologia_Testes]],Auxiliar!$B$5:$B$13,0),MATCH(Table1[[#This Row],[Complexidade]],Auxiliar!$D$4:$F$4,0))</f>
        <v>0.1</v>
      </c>
      <c r="P1076" s="43"/>
      <c r="Q1076" s="114"/>
      <c r="R1076" s="152">
        <v>45589</v>
      </c>
      <c r="S1076" s="152"/>
      <c r="T1076" s="152">
        <v>45589</v>
      </c>
      <c r="U1076" s="152"/>
      <c r="V1076" s="152">
        <v>45596</v>
      </c>
      <c r="W1076" s="2">
        <f>VLOOKUP(Table1[[#This Row],[Status]],Auxiliar!$B$16:$D$24,3,0)*Table1[[#This Row],[Estimação (horas)]]</f>
        <v>2.5000000000000001E-2</v>
      </c>
      <c r="X1076" s="114"/>
    </row>
    <row r="1077" spans="2:24" ht="34.950000000000003" customHeight="1" x14ac:dyDescent="0.25">
      <c r="B1077" s="41" t="s">
        <v>26</v>
      </c>
      <c r="C1077" s="41" t="s">
        <v>26</v>
      </c>
      <c r="D1077" s="36" t="s">
        <v>326</v>
      </c>
      <c r="E1077" s="40" t="s">
        <v>1337</v>
      </c>
      <c r="F1077" s="40" t="s">
        <v>336</v>
      </c>
      <c r="G1077" s="38" t="s">
        <v>359</v>
      </c>
      <c r="H1077" s="60" t="str">
        <f>Table1[[#This Row],[Tabela]]&amp;Table1[[#This Row],[Campo]]</f>
        <v>lt003_entityflg_chrnc_physcl_rsk</v>
      </c>
      <c r="I1077" s="2" t="s">
        <v>615</v>
      </c>
      <c r="J1077" s="45">
        <f>VLOOKUP(Table1[[#This Row],[Status]],Auxiliar!$B$16:$C$24,2,0)</f>
        <v>4</v>
      </c>
      <c r="K1077" s="45" t="s">
        <v>1252</v>
      </c>
      <c r="L1077" s="46" t="s">
        <v>1258</v>
      </c>
      <c r="M1077" s="21" t="s">
        <v>1259</v>
      </c>
      <c r="N1077" s="48">
        <v>45604</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0.5</v>
      </c>
      <c r="X1077" s="114"/>
    </row>
    <row r="1078" spans="2:24" ht="17.7" customHeight="1" x14ac:dyDescent="0.25">
      <c r="B1078" s="39" t="s">
        <v>26</v>
      </c>
      <c r="C1078" s="39" t="s">
        <v>26</v>
      </c>
      <c r="D1078" s="39" t="s">
        <v>326</v>
      </c>
      <c r="E1078" s="39" t="s">
        <v>1337</v>
      </c>
      <c r="F1078" s="39" t="s">
        <v>336</v>
      </c>
      <c r="G1078" s="39" t="s">
        <v>359</v>
      </c>
      <c r="H1078" s="59" t="str">
        <f>Table1[[#This Row],[Tabela]]&amp;Table1[[#This Row],[Campo]]</f>
        <v>lt003_entityflg_chrnc_physcl_rsk</v>
      </c>
      <c r="I1078" s="2" t="s">
        <v>615</v>
      </c>
      <c r="J1078" s="45">
        <f>VLOOKUP(Table1[[#This Row],[Status]],Auxiliar!$B$16:$C$24,2,0)</f>
        <v>4</v>
      </c>
      <c r="K1078" s="45" t="s">
        <v>1253</v>
      </c>
      <c r="L1078" s="46" t="s">
        <v>1258</v>
      </c>
      <c r="M1078" s="21" t="s">
        <v>1259</v>
      </c>
      <c r="N1078" s="48">
        <v>45604</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0.5</v>
      </c>
      <c r="X1078" s="114"/>
    </row>
    <row r="1079" spans="2:24" ht="17.7" customHeight="1" x14ac:dyDescent="0.25">
      <c r="B1079" s="39" t="s">
        <v>26</v>
      </c>
      <c r="C1079" s="39" t="s">
        <v>26</v>
      </c>
      <c r="D1079" s="39" t="s">
        <v>326</v>
      </c>
      <c r="E1079" s="39" t="s">
        <v>1337</v>
      </c>
      <c r="F1079" s="39" t="s">
        <v>336</v>
      </c>
      <c r="G1079" s="39" t="s">
        <v>359</v>
      </c>
      <c r="H1079" s="59" t="str">
        <f>Table1[[#This Row],[Tabela]]&amp;Table1[[#This Row],[Campo]]</f>
        <v>lt003_entityflg_chrnc_physcl_rsk</v>
      </c>
      <c r="I1079" s="2" t="s">
        <v>615</v>
      </c>
      <c r="J1079" s="45">
        <f>VLOOKUP(Table1[[#This Row],[Status]],Auxiliar!$B$16:$C$24,2,0)</f>
        <v>4</v>
      </c>
      <c r="K1079" s="45" t="s">
        <v>1255</v>
      </c>
      <c r="L1079" s="46" t="s">
        <v>1258</v>
      </c>
      <c r="M1079" s="21" t="s">
        <v>1259</v>
      </c>
      <c r="N1079" s="48">
        <v>45604</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2.5000000000000001E-2</v>
      </c>
      <c r="X1079" s="114"/>
    </row>
    <row r="1080" spans="2:24" ht="17.7" customHeight="1" x14ac:dyDescent="0.25">
      <c r="B1080" s="41" t="s">
        <v>26</v>
      </c>
      <c r="C1080" s="41" t="s">
        <v>26</v>
      </c>
      <c r="D1080" s="42" t="s">
        <v>1339</v>
      </c>
      <c r="E1080" s="111" t="s">
        <v>1340</v>
      </c>
      <c r="F1080" s="40" t="s">
        <v>336</v>
      </c>
      <c r="G1080" s="38" t="s">
        <v>360</v>
      </c>
      <c r="H1080" s="60" t="str">
        <f>Table1[[#This Row],[Tabela]]&amp;Table1[[#This Row],[Campo]]</f>
        <v>lt003_entitypst_cd</v>
      </c>
      <c r="I1080" s="2" t="s">
        <v>614</v>
      </c>
      <c r="J1080" s="45">
        <f>VLOOKUP(Table1[[#This Row],[Status]],Auxiliar!$B$16:$C$24,2,0)</f>
        <v>1</v>
      </c>
      <c r="K1080" s="45" t="s">
        <v>1252</v>
      </c>
      <c r="L1080" s="46" t="s">
        <v>1258</v>
      </c>
      <c r="M1080" s="21" t="s">
        <v>1259</v>
      </c>
      <c r="N1080" s="48">
        <v>45604</v>
      </c>
      <c r="O1080" s="21">
        <f>INDEX(Auxiliar!$D$5:$F$13,MATCH(Table1[[#This Row],[Tipologia_Testes]],Auxiliar!$B$5:$B$13,0),MATCH(Table1[[#This Row],[Complexidade]],Auxiliar!$D$4:$F$4,0))</f>
        <v>2</v>
      </c>
      <c r="P1080" s="43" t="s">
        <v>1341</v>
      </c>
      <c r="Q1080" s="114"/>
      <c r="R1080" s="152">
        <v>45589</v>
      </c>
      <c r="S1080" s="152"/>
      <c r="T1080" s="152">
        <v>45589</v>
      </c>
      <c r="U1080" s="152">
        <v>45596</v>
      </c>
      <c r="V1080" s="152">
        <v>45596</v>
      </c>
      <c r="W1080" s="2">
        <f>VLOOKUP(Table1[[#This Row],[Status]],Auxiliar!$B$16:$D$24,3,0)*Table1[[#This Row],[Estimação (horas)]]</f>
        <v>2</v>
      </c>
      <c r="X1080" s="114"/>
    </row>
    <row r="1081" spans="2:24" ht="17.7" customHeight="1" x14ac:dyDescent="0.25">
      <c r="B1081" s="39" t="s">
        <v>26</v>
      </c>
      <c r="C1081" s="39" t="s">
        <v>26</v>
      </c>
      <c r="D1081" s="39" t="s">
        <v>1339</v>
      </c>
      <c r="E1081" s="39" t="s">
        <v>1340</v>
      </c>
      <c r="F1081" s="39" t="s">
        <v>336</v>
      </c>
      <c r="G1081" s="39" t="s">
        <v>360</v>
      </c>
      <c r="H1081" s="59" t="str">
        <f>Table1[[#This Row],[Tabela]]&amp;Table1[[#This Row],[Campo]]</f>
        <v>lt003_entitypst_cd</v>
      </c>
      <c r="I1081" s="2" t="s">
        <v>614</v>
      </c>
      <c r="J1081" s="45">
        <f>VLOOKUP(Table1[[#This Row],[Status]],Auxiliar!$B$16:$C$24,2,0)</f>
        <v>1</v>
      </c>
      <c r="K1081" s="45" t="s">
        <v>1253</v>
      </c>
      <c r="L1081" s="46" t="s">
        <v>1258</v>
      </c>
      <c r="M1081" s="21" t="s">
        <v>1259</v>
      </c>
      <c r="N1081" s="48">
        <v>45604</v>
      </c>
      <c r="O1081" s="21">
        <f>INDEX(Auxiliar!$D$5:$F$13,MATCH(Table1[[#This Row],[Tipologia_Testes]],Auxiliar!$B$5:$B$13,0),MATCH(Table1[[#This Row],[Complexidade]],Auxiliar!$D$4:$F$4,0))</f>
        <v>2</v>
      </c>
      <c r="P1081" s="43" t="s">
        <v>1341</v>
      </c>
      <c r="Q1081" s="114"/>
      <c r="R1081" s="152">
        <v>45589</v>
      </c>
      <c r="S1081" s="152"/>
      <c r="T1081" s="152">
        <v>45589</v>
      </c>
      <c r="U1081" s="152">
        <v>45596</v>
      </c>
      <c r="V1081" s="152">
        <v>45596</v>
      </c>
      <c r="W1081" s="2">
        <f>VLOOKUP(Table1[[#This Row],[Status]],Auxiliar!$B$16:$D$24,3,0)*Table1[[#This Row],[Estimação (horas)]]</f>
        <v>2</v>
      </c>
      <c r="X1081" s="114"/>
    </row>
    <row r="1082" spans="2:24" ht="17.7" customHeight="1" x14ac:dyDescent="0.25">
      <c r="B1082" s="39" t="s">
        <v>26</v>
      </c>
      <c r="C1082" s="39" t="s">
        <v>26</v>
      </c>
      <c r="D1082" s="39" t="s">
        <v>1339</v>
      </c>
      <c r="E1082" s="39" t="s">
        <v>1340</v>
      </c>
      <c r="F1082" s="39" t="s">
        <v>336</v>
      </c>
      <c r="G1082" s="39" t="s">
        <v>360</v>
      </c>
      <c r="H1082" s="59" t="str">
        <f>Table1[[#This Row],[Tabela]]&amp;Table1[[#This Row],[Campo]]</f>
        <v>lt003_entitypst_cd</v>
      </c>
      <c r="I1082" s="2" t="s">
        <v>614</v>
      </c>
      <c r="J1082" s="45">
        <f>VLOOKUP(Table1[[#This Row],[Status]],Auxiliar!$B$16:$C$24,2,0)</f>
        <v>1</v>
      </c>
      <c r="K1082" s="45" t="s">
        <v>1255</v>
      </c>
      <c r="L1082" s="46" t="s">
        <v>1258</v>
      </c>
      <c r="M1082" s="21" t="s">
        <v>1259</v>
      </c>
      <c r="N1082" s="48">
        <v>45604</v>
      </c>
      <c r="O1082" s="21">
        <f>INDEX(Auxiliar!$D$5:$F$13,MATCH(Table1[[#This Row],[Tipologia_Testes]],Auxiliar!$B$5:$B$13,0),MATCH(Table1[[#This Row],[Complexidade]],Auxiliar!$D$4:$F$4,0))</f>
        <v>0.1</v>
      </c>
      <c r="P1082" s="43" t="s">
        <v>1341</v>
      </c>
      <c r="Q1082" s="114"/>
      <c r="R1082" s="152">
        <v>45589</v>
      </c>
      <c r="S1082" s="152"/>
      <c r="T1082" s="152">
        <v>45589</v>
      </c>
      <c r="U1082" s="152">
        <v>45596</v>
      </c>
      <c r="V1082" s="152">
        <v>45596</v>
      </c>
      <c r="W1082" s="2">
        <f>VLOOKUP(Table1[[#This Row],[Status]],Auxiliar!$B$16:$D$24,3,0)*Table1[[#This Row],[Estimação (horas)]]</f>
        <v>0.1</v>
      </c>
      <c r="X1082" s="114"/>
    </row>
    <row r="1083" spans="2:24" ht="17.7" customHeight="1" x14ac:dyDescent="0.25">
      <c r="B1083" s="41" t="s">
        <v>26</v>
      </c>
      <c r="C1083" s="41" t="s">
        <v>26</v>
      </c>
      <c r="D1083" s="42" t="s">
        <v>393</v>
      </c>
      <c r="E1083" s="111" t="s">
        <v>38</v>
      </c>
      <c r="F1083" s="40" t="s">
        <v>336</v>
      </c>
      <c r="G1083" s="38" t="s">
        <v>361</v>
      </c>
      <c r="H1083" s="60" t="str">
        <f>Table1[[#This Row],[Tabela]]&amp;Table1[[#This Row],[Campo]]</f>
        <v>lt003_entityesg_sbsctr</v>
      </c>
      <c r="I1083" s="2" t="s">
        <v>1927</v>
      </c>
      <c r="J1083" s="45">
        <f>VLOOKUP(Table1[[#This Row],[Status]],Auxiliar!$B$16:$C$24,2,0)</f>
        <v>2</v>
      </c>
      <c r="K1083" s="45" t="s">
        <v>1252</v>
      </c>
      <c r="L1083" s="46" t="s">
        <v>1258</v>
      </c>
      <c r="M1083" s="21" t="s">
        <v>1259</v>
      </c>
      <c r="N1083" s="48">
        <v>45611</v>
      </c>
      <c r="O1083" s="21">
        <f>INDEX(Auxiliar!$D$5:$F$13,MATCH(Table1[[#This Row],[Tipologia_Testes]],Auxiliar!$B$5:$B$13,0),MATCH(Table1[[#This Row],[Complexidade]],Auxiliar!$D$4:$F$4,0))</f>
        <v>2</v>
      </c>
      <c r="P1083" s="43" t="s">
        <v>1338</v>
      </c>
      <c r="Q1083" s="114"/>
      <c r="R1083" s="152">
        <v>45583</v>
      </c>
      <c r="S1083" s="152"/>
      <c r="T1083" s="152">
        <v>45583</v>
      </c>
      <c r="U1083" s="152">
        <v>45611</v>
      </c>
      <c r="V1083" s="152">
        <v>45611</v>
      </c>
      <c r="W1083" s="2">
        <f>VLOOKUP(Table1[[#This Row],[Status]],Auxiliar!$B$16:$D$24,3,0)*Table1[[#This Row],[Estimação (horas)]]</f>
        <v>1</v>
      </c>
      <c r="X1083" s="114"/>
    </row>
    <row r="1084" spans="2:24" ht="17.7" customHeight="1" x14ac:dyDescent="0.25">
      <c r="B1084" s="39" t="s">
        <v>26</v>
      </c>
      <c r="C1084" s="39" t="s">
        <v>26</v>
      </c>
      <c r="D1084" s="39" t="s">
        <v>393</v>
      </c>
      <c r="E1084" s="39" t="s">
        <v>38</v>
      </c>
      <c r="F1084" s="39" t="s">
        <v>336</v>
      </c>
      <c r="G1084" s="39" t="s">
        <v>361</v>
      </c>
      <c r="H1084" s="59" t="str">
        <f>Table1[[#This Row],[Tabela]]&amp;Table1[[#This Row],[Campo]]</f>
        <v>lt003_entityesg_sbsctr</v>
      </c>
      <c r="I1084" s="2" t="s">
        <v>1927</v>
      </c>
      <c r="J1084" s="45">
        <f>VLOOKUP(Table1[[#This Row],[Status]],Auxiliar!$B$16:$C$24,2,0)</f>
        <v>2</v>
      </c>
      <c r="K1084" s="45" t="s">
        <v>1253</v>
      </c>
      <c r="L1084" s="46" t="s">
        <v>1258</v>
      </c>
      <c r="M1084" s="21" t="s">
        <v>1259</v>
      </c>
      <c r="N1084" s="48">
        <v>45611</v>
      </c>
      <c r="O1084" s="21">
        <f>INDEX(Auxiliar!$D$5:$F$13,MATCH(Table1[[#This Row],[Tipologia_Testes]],Auxiliar!$B$5:$B$13,0),MATCH(Table1[[#This Row],[Complexidade]],Auxiliar!$D$4:$F$4,0))</f>
        <v>2</v>
      </c>
      <c r="P1084" s="43" t="s">
        <v>1338</v>
      </c>
      <c r="Q1084" s="114"/>
      <c r="R1084" s="152">
        <v>45583</v>
      </c>
      <c r="S1084" s="152"/>
      <c r="T1084" s="152">
        <v>45583</v>
      </c>
      <c r="U1084" s="152">
        <v>45611</v>
      </c>
      <c r="V1084" s="152">
        <v>45611</v>
      </c>
      <c r="W1084" s="2">
        <f>VLOOKUP(Table1[[#This Row],[Status]],Auxiliar!$B$16:$D$24,3,0)*Table1[[#This Row],[Estimação (horas)]]</f>
        <v>1</v>
      </c>
      <c r="X1084" s="114"/>
    </row>
    <row r="1085" spans="2:24" ht="17.7" customHeight="1" x14ac:dyDescent="0.25">
      <c r="B1085" s="39" t="s">
        <v>26</v>
      </c>
      <c r="C1085" s="39" t="s">
        <v>26</v>
      </c>
      <c r="D1085" s="39" t="s">
        <v>393</v>
      </c>
      <c r="E1085" s="39" t="s">
        <v>38</v>
      </c>
      <c r="F1085" s="39" t="s">
        <v>336</v>
      </c>
      <c r="G1085" s="39" t="s">
        <v>361</v>
      </c>
      <c r="H1085" s="59" t="str">
        <f>Table1[[#This Row],[Tabela]]&amp;Table1[[#This Row],[Campo]]</f>
        <v>lt003_entityesg_sbsctr</v>
      </c>
      <c r="I1085" s="2" t="s">
        <v>1927</v>
      </c>
      <c r="J1085" s="45">
        <f>VLOOKUP(Table1[[#This Row],[Status]],Auxiliar!$B$16:$C$24,2,0)</f>
        <v>2</v>
      </c>
      <c r="K1085" s="45" t="s">
        <v>1255</v>
      </c>
      <c r="L1085" s="46" t="s">
        <v>1258</v>
      </c>
      <c r="M1085" s="21" t="s">
        <v>1259</v>
      </c>
      <c r="N1085" s="48">
        <v>45611</v>
      </c>
      <c r="O1085" s="21">
        <f>INDEX(Auxiliar!$D$5:$F$13,MATCH(Table1[[#This Row],[Tipologia_Testes]],Auxiliar!$B$5:$B$13,0),MATCH(Table1[[#This Row],[Complexidade]],Auxiliar!$D$4:$F$4,0))</f>
        <v>0.1</v>
      </c>
      <c r="P1085" s="43" t="s">
        <v>1338</v>
      </c>
      <c r="Q1085" s="114"/>
      <c r="R1085" s="152">
        <v>45583</v>
      </c>
      <c r="S1085" s="152"/>
      <c r="T1085" s="152">
        <v>45583</v>
      </c>
      <c r="U1085" s="152">
        <v>45611</v>
      </c>
      <c r="V1085" s="152">
        <v>45611</v>
      </c>
      <c r="W1085" s="2">
        <f>VLOOKUP(Table1[[#This Row],[Status]],Auxiliar!$B$16:$D$24,3,0)*Table1[[#This Row],[Estimação (horas)]]</f>
        <v>0.05</v>
      </c>
      <c r="X1085" s="114"/>
    </row>
    <row r="1086" spans="2:24" ht="34.950000000000003" customHeight="1" x14ac:dyDescent="0.25">
      <c r="B1086" s="41" t="s">
        <v>26</v>
      </c>
      <c r="C1086" s="41" t="s">
        <v>26</v>
      </c>
      <c r="D1086" s="37" t="s">
        <v>1342</v>
      </c>
      <c r="E1086" s="111" t="s">
        <v>1343</v>
      </c>
      <c r="F1086" s="40" t="s">
        <v>336</v>
      </c>
      <c r="G1086" s="38" t="s">
        <v>362</v>
      </c>
      <c r="H1086" s="60" t="str">
        <f>Table1[[#This Row],[Tabela]]&amp;Table1[[#This Row],[Campo]]</f>
        <v>lt003_entityttl_lblty</v>
      </c>
      <c r="I1086" s="2" t="s">
        <v>619</v>
      </c>
      <c r="J1086" s="45">
        <f>VLOOKUP(Table1[[#This Row],[Status]],Auxiliar!$B$16:$C$24,2,0)</f>
        <v>7</v>
      </c>
      <c r="K1086" s="45" t="s">
        <v>1252</v>
      </c>
      <c r="L1086" s="46" t="s">
        <v>1258</v>
      </c>
      <c r="M1086" s="21" t="s">
        <v>1259</v>
      </c>
      <c r="N1086" s="48">
        <v>45590</v>
      </c>
      <c r="O1086" s="21">
        <f>INDEX(Auxiliar!$D$5:$F$13,MATCH(Table1[[#This Row],[Tipologia_Testes]],Auxiliar!$B$5:$B$13,0),MATCH(Table1[[#This Row],[Complexidade]],Auxiliar!$D$4:$F$4,0))</f>
        <v>2</v>
      </c>
      <c r="P1086" s="43" t="s">
        <v>1344</v>
      </c>
      <c r="Q1086" s="114"/>
      <c r="R1086" s="152">
        <v>45593</v>
      </c>
      <c r="S1086" s="152"/>
      <c r="T1086" s="152">
        <v>45593</v>
      </c>
      <c r="U1086" s="152">
        <v>45624</v>
      </c>
      <c r="V1086" s="152"/>
      <c r="W1086" s="2">
        <f>VLOOKUP(Table1[[#This Row],[Status]],Auxiliar!$B$16:$D$24,3,0)*Table1[[#This Row],[Estimação (horas)]]</f>
        <v>0.5</v>
      </c>
      <c r="X1086" s="114"/>
    </row>
    <row r="1087" spans="2:24" ht="17.7" customHeight="1" x14ac:dyDescent="0.25">
      <c r="B1087" s="39" t="s">
        <v>26</v>
      </c>
      <c r="C1087" s="39" t="s">
        <v>26</v>
      </c>
      <c r="D1087" s="39" t="s">
        <v>1342</v>
      </c>
      <c r="E1087" s="39" t="s">
        <v>1343</v>
      </c>
      <c r="F1087" s="39" t="s">
        <v>336</v>
      </c>
      <c r="G1087" s="39" t="s">
        <v>362</v>
      </c>
      <c r="H1087" s="59" t="str">
        <f>Table1[[#This Row],[Tabela]]&amp;Table1[[#This Row],[Campo]]</f>
        <v>lt003_entityttl_lblty</v>
      </c>
      <c r="I1087" s="2" t="s">
        <v>619</v>
      </c>
      <c r="J1087" s="45">
        <f>VLOOKUP(Table1[[#This Row],[Status]],Auxiliar!$B$16:$C$24,2,0)</f>
        <v>7</v>
      </c>
      <c r="K1087" s="45" t="s">
        <v>1253</v>
      </c>
      <c r="L1087" s="46" t="s">
        <v>1258</v>
      </c>
      <c r="M1087" s="21" t="s">
        <v>1259</v>
      </c>
      <c r="N1087" s="48">
        <v>45590</v>
      </c>
      <c r="O1087" s="21">
        <f>INDEX(Auxiliar!$D$5:$F$13,MATCH(Table1[[#This Row],[Tipologia_Testes]],Auxiliar!$B$5:$B$13,0),MATCH(Table1[[#This Row],[Complexidade]],Auxiliar!$D$4:$F$4,0))</f>
        <v>2</v>
      </c>
      <c r="P1087" s="43" t="s">
        <v>1344</v>
      </c>
      <c r="Q1087" s="114"/>
      <c r="R1087" s="152">
        <v>45593</v>
      </c>
      <c r="S1087" s="152"/>
      <c r="T1087" s="152">
        <v>45593</v>
      </c>
      <c r="U1087" s="152">
        <v>45624</v>
      </c>
      <c r="V1087" s="152"/>
      <c r="W1087" s="2">
        <f>VLOOKUP(Table1[[#This Row],[Status]],Auxiliar!$B$16:$D$24,3,0)*Table1[[#This Row],[Estimação (horas)]]</f>
        <v>0.5</v>
      </c>
      <c r="X1087" s="114"/>
    </row>
    <row r="1088" spans="2:24" ht="17.7" customHeight="1" x14ac:dyDescent="0.25">
      <c r="B1088" s="39" t="s">
        <v>26</v>
      </c>
      <c r="C1088" s="39" t="s">
        <v>26</v>
      </c>
      <c r="D1088" s="39" t="s">
        <v>1342</v>
      </c>
      <c r="E1088" s="39" t="s">
        <v>1343</v>
      </c>
      <c r="F1088" s="39" t="s">
        <v>336</v>
      </c>
      <c r="G1088" s="39" t="s">
        <v>362</v>
      </c>
      <c r="H1088" s="59" t="str">
        <f>Table1[[#This Row],[Tabela]]&amp;Table1[[#This Row],[Campo]]</f>
        <v>lt003_entityttl_lblty</v>
      </c>
      <c r="I1088" s="2" t="s">
        <v>619</v>
      </c>
      <c r="J1088" s="45">
        <f>VLOOKUP(Table1[[#This Row],[Status]],Auxiliar!$B$16:$C$24,2,0)</f>
        <v>7</v>
      </c>
      <c r="K1088" s="45" t="s">
        <v>1255</v>
      </c>
      <c r="L1088" s="46" t="s">
        <v>1258</v>
      </c>
      <c r="M1088" s="21" t="s">
        <v>1259</v>
      </c>
      <c r="N1088" s="48">
        <v>45590</v>
      </c>
      <c r="O1088" s="21">
        <f>INDEX(Auxiliar!$D$5:$F$13,MATCH(Table1[[#This Row],[Tipologia_Testes]],Auxiliar!$B$5:$B$13,0),MATCH(Table1[[#This Row],[Complexidade]],Auxiliar!$D$4:$F$4,0))</f>
        <v>0.1</v>
      </c>
      <c r="P1088" s="43" t="s">
        <v>1344</v>
      </c>
      <c r="Q1088" s="114"/>
      <c r="R1088" s="152">
        <v>45593</v>
      </c>
      <c r="S1088" s="152"/>
      <c r="T1088" s="152">
        <v>45593</v>
      </c>
      <c r="U1088" s="152">
        <v>45624</v>
      </c>
      <c r="V1088" s="152"/>
      <c r="W1088" s="2">
        <f>VLOOKUP(Table1[[#This Row],[Status]],Auxiliar!$B$16:$D$24,3,0)*Table1[[#This Row],[Estimação (horas)]]</f>
        <v>2.5000000000000001E-2</v>
      </c>
      <c r="X1088" s="114"/>
    </row>
    <row r="1089" spans="2:24" ht="34.950000000000003" customHeight="1" x14ac:dyDescent="0.25">
      <c r="B1089" s="41" t="s">
        <v>26</v>
      </c>
      <c r="C1089" s="41" t="s">
        <v>26</v>
      </c>
      <c r="D1089" s="36" t="s">
        <v>1345</v>
      </c>
      <c r="E1089" s="111" t="s">
        <v>1346</v>
      </c>
      <c r="F1089" s="40" t="s">
        <v>336</v>
      </c>
      <c r="G1089" s="38" t="s">
        <v>239</v>
      </c>
      <c r="H1089" s="60" t="str">
        <f>Table1[[#This Row],[Tabela]]&amp;Table1[[#This Row],[Campo]]</f>
        <v>lt003_entityisin</v>
      </c>
      <c r="I1089" s="2" t="s">
        <v>1927</v>
      </c>
      <c r="J1089" s="45">
        <f>VLOOKUP(Table1[[#This Row],[Status]],Auxiliar!$B$16:$C$24,2,0)</f>
        <v>2</v>
      </c>
      <c r="K1089" s="45" t="s">
        <v>1252</v>
      </c>
      <c r="L1089" s="46" t="s">
        <v>1258</v>
      </c>
      <c r="M1089" s="21" t="s">
        <v>1259</v>
      </c>
      <c r="N1089" s="48">
        <v>45611</v>
      </c>
      <c r="O1089" s="21">
        <f>INDEX(Auxiliar!$D$5:$F$13,MATCH(Table1[[#This Row],[Tipologia_Testes]],Auxiliar!$B$5:$B$13,0),MATCH(Table1[[#This Row],[Complexidade]],Auxiliar!$D$4:$F$4,0))</f>
        <v>2</v>
      </c>
      <c r="P1089" s="43" t="s">
        <v>661</v>
      </c>
      <c r="Q1089" s="114"/>
      <c r="R1089" s="152">
        <v>45589</v>
      </c>
      <c r="S1089" s="152"/>
      <c r="T1089" s="152">
        <v>45589</v>
      </c>
      <c r="U1089" s="152"/>
      <c r="V1089" s="152">
        <v>45611</v>
      </c>
      <c r="W1089" s="2">
        <f>VLOOKUP(Table1[[#This Row],[Status]],Auxiliar!$B$16:$D$24,3,0)*Table1[[#This Row],[Estimação (horas)]]</f>
        <v>1</v>
      </c>
      <c r="X1089" s="114"/>
    </row>
    <row r="1090" spans="2:24" ht="17.7" customHeight="1" x14ac:dyDescent="0.25">
      <c r="B1090" s="39" t="s">
        <v>26</v>
      </c>
      <c r="C1090" s="39" t="s">
        <v>26</v>
      </c>
      <c r="D1090" s="39" t="s">
        <v>1345</v>
      </c>
      <c r="E1090" s="39" t="s">
        <v>1346</v>
      </c>
      <c r="F1090" s="39" t="s">
        <v>336</v>
      </c>
      <c r="G1090" s="39" t="s">
        <v>239</v>
      </c>
      <c r="H1090" s="59" t="str">
        <f>Table1[[#This Row],[Tabela]]&amp;Table1[[#This Row],[Campo]]</f>
        <v>lt003_entityisin</v>
      </c>
      <c r="I1090" s="2" t="s">
        <v>1927</v>
      </c>
      <c r="J1090" s="45">
        <f>VLOOKUP(Table1[[#This Row],[Status]],Auxiliar!$B$16:$C$24,2,0)</f>
        <v>2</v>
      </c>
      <c r="K1090" s="45" t="s">
        <v>1253</v>
      </c>
      <c r="L1090" s="46" t="s">
        <v>1258</v>
      </c>
      <c r="M1090" s="21" t="s">
        <v>1259</v>
      </c>
      <c r="N1090" s="48">
        <v>45611</v>
      </c>
      <c r="O1090" s="21">
        <f>INDEX(Auxiliar!$D$5:$F$13,MATCH(Table1[[#This Row],[Tipologia_Testes]],Auxiliar!$B$5:$B$13,0),MATCH(Table1[[#This Row],[Complexidade]],Auxiliar!$D$4:$F$4,0))</f>
        <v>2</v>
      </c>
      <c r="P1090" s="43" t="s">
        <v>661</v>
      </c>
      <c r="Q1090" s="114"/>
      <c r="R1090" s="152">
        <v>45589</v>
      </c>
      <c r="S1090" s="152"/>
      <c r="T1090" s="152">
        <v>45589</v>
      </c>
      <c r="U1090" s="152"/>
      <c r="V1090" s="152">
        <v>45611</v>
      </c>
      <c r="W1090" s="2">
        <f>VLOOKUP(Table1[[#This Row],[Status]],Auxiliar!$B$16:$D$24,3,0)*Table1[[#This Row],[Estimação (horas)]]</f>
        <v>1</v>
      </c>
      <c r="X1090" s="114"/>
    </row>
    <row r="1091" spans="2:24" ht="17.7" customHeight="1" x14ac:dyDescent="0.25">
      <c r="B1091" s="39" t="s">
        <v>26</v>
      </c>
      <c r="C1091" s="39" t="s">
        <v>26</v>
      </c>
      <c r="D1091" s="39" t="s">
        <v>1345</v>
      </c>
      <c r="E1091" s="39" t="s">
        <v>1346</v>
      </c>
      <c r="F1091" s="39" t="s">
        <v>336</v>
      </c>
      <c r="G1091" s="39" t="s">
        <v>239</v>
      </c>
      <c r="H1091" s="59" t="str">
        <f>Table1[[#This Row],[Tabela]]&amp;Table1[[#This Row],[Campo]]</f>
        <v>lt003_entityisin</v>
      </c>
      <c r="I1091" s="2" t="s">
        <v>1927</v>
      </c>
      <c r="J1091" s="45">
        <f>VLOOKUP(Table1[[#This Row],[Status]],Auxiliar!$B$16:$C$24,2,0)</f>
        <v>2</v>
      </c>
      <c r="K1091" s="45" t="s">
        <v>1255</v>
      </c>
      <c r="L1091" s="46" t="s">
        <v>1258</v>
      </c>
      <c r="M1091" s="21" t="s">
        <v>1259</v>
      </c>
      <c r="N1091" s="48">
        <v>45611</v>
      </c>
      <c r="O1091" s="21">
        <f>INDEX(Auxiliar!$D$5:$F$13,MATCH(Table1[[#This Row],[Tipologia_Testes]],Auxiliar!$B$5:$B$13,0),MATCH(Table1[[#This Row],[Complexidade]],Auxiliar!$D$4:$F$4,0))</f>
        <v>0.1</v>
      </c>
      <c r="P1091" s="43" t="s">
        <v>661</v>
      </c>
      <c r="Q1091" s="114"/>
      <c r="R1091" s="152">
        <v>45589</v>
      </c>
      <c r="S1091" s="152"/>
      <c r="T1091" s="152">
        <v>45589</v>
      </c>
      <c r="U1091" s="152"/>
      <c r="V1091" s="152">
        <v>45611</v>
      </c>
      <c r="W1091" s="2">
        <f>VLOOKUP(Table1[[#This Row],[Status]],Auxiliar!$B$16:$D$24,3,0)*Table1[[#This Row],[Estimação (horas)]]</f>
        <v>0.05</v>
      </c>
      <c r="X1091" s="114"/>
    </row>
    <row r="1092" spans="2:24" ht="34.950000000000003" customHeight="1" x14ac:dyDescent="0.25">
      <c r="B1092" s="41" t="s">
        <v>26</v>
      </c>
      <c r="C1092" s="41" t="s">
        <v>26</v>
      </c>
      <c r="D1092" s="36" t="s">
        <v>1347</v>
      </c>
      <c r="E1092" s="111" t="s">
        <v>1348</v>
      </c>
      <c r="F1092" s="40" t="s">
        <v>336</v>
      </c>
      <c r="G1092" s="38" t="s">
        <v>363</v>
      </c>
      <c r="H1092" s="60" t="str">
        <f>Table1[[#This Row],[Tabela]]&amp;Table1[[#This Row],[Campo]]</f>
        <v>lt003_entitygrp_annl_trnvr_le</v>
      </c>
      <c r="I1092" s="2" t="s">
        <v>1927</v>
      </c>
      <c r="J1092" s="45">
        <f>VLOOKUP(Table1[[#This Row],[Status]],Auxiliar!$B$16:$C$24,2,0)</f>
        <v>2</v>
      </c>
      <c r="K1092" s="45" t="s">
        <v>1252</v>
      </c>
      <c r="L1092" s="46" t="s">
        <v>1258</v>
      </c>
      <c r="M1092" s="21" t="s">
        <v>1259</v>
      </c>
      <c r="N1092" s="48">
        <v>45611</v>
      </c>
      <c r="O1092" s="21">
        <f>INDEX(Auxiliar!$D$5:$F$13,MATCH(Table1[[#This Row],[Tipologia_Testes]],Auxiliar!$B$5:$B$13,0),MATCH(Table1[[#This Row],[Complexidade]],Auxiliar!$D$4:$F$4,0))</f>
        <v>2</v>
      </c>
      <c r="P1092" s="43" t="s">
        <v>1344</v>
      </c>
      <c r="Q1092" s="114"/>
      <c r="R1092" s="152">
        <v>45593</v>
      </c>
      <c r="S1092" s="152"/>
      <c r="T1092" s="152">
        <v>45593</v>
      </c>
      <c r="U1092" s="152">
        <v>45611</v>
      </c>
      <c r="V1092" s="152">
        <v>45611</v>
      </c>
      <c r="W1092" s="2">
        <f>VLOOKUP(Table1[[#This Row],[Status]],Auxiliar!$B$16:$D$24,3,0)*Table1[[#This Row],[Estimação (horas)]]</f>
        <v>1</v>
      </c>
      <c r="X1092" s="114"/>
    </row>
    <row r="1093" spans="2:24" ht="17.7" customHeight="1" x14ac:dyDescent="0.25">
      <c r="B1093" s="39" t="s">
        <v>26</v>
      </c>
      <c r="C1093" s="39" t="s">
        <v>26</v>
      </c>
      <c r="D1093" s="39" t="s">
        <v>1347</v>
      </c>
      <c r="E1093" s="39" t="s">
        <v>1348</v>
      </c>
      <c r="F1093" s="39" t="s">
        <v>336</v>
      </c>
      <c r="G1093" s="39" t="s">
        <v>363</v>
      </c>
      <c r="H1093" s="59" t="str">
        <f>Table1[[#This Row],[Tabela]]&amp;Table1[[#This Row],[Campo]]</f>
        <v>lt003_entitygrp_annl_trnvr_le</v>
      </c>
      <c r="I1093" s="2" t="s">
        <v>1927</v>
      </c>
      <c r="J1093" s="45">
        <f>VLOOKUP(Table1[[#This Row],[Status]],Auxiliar!$B$16:$C$24,2,0)</f>
        <v>2</v>
      </c>
      <c r="K1093" s="45" t="s">
        <v>1253</v>
      </c>
      <c r="L1093" s="46" t="s">
        <v>1258</v>
      </c>
      <c r="M1093" s="21" t="s">
        <v>1259</v>
      </c>
      <c r="N1093" s="48">
        <v>45611</v>
      </c>
      <c r="O1093" s="21">
        <f>INDEX(Auxiliar!$D$5:$F$13,MATCH(Table1[[#This Row],[Tipologia_Testes]],Auxiliar!$B$5:$B$13,0),MATCH(Table1[[#This Row],[Complexidade]],Auxiliar!$D$4:$F$4,0))</f>
        <v>2</v>
      </c>
      <c r="P1093" s="43" t="s">
        <v>1344</v>
      </c>
      <c r="Q1093" s="114"/>
      <c r="R1093" s="152">
        <v>45593</v>
      </c>
      <c r="S1093" s="152"/>
      <c r="T1093" s="152">
        <v>45593</v>
      </c>
      <c r="U1093" s="152">
        <v>45611</v>
      </c>
      <c r="V1093" s="152">
        <v>45611</v>
      </c>
      <c r="W1093" s="2">
        <f>VLOOKUP(Table1[[#This Row],[Status]],Auxiliar!$B$16:$D$24,3,0)*Table1[[#This Row],[Estimação (horas)]]</f>
        <v>1</v>
      </c>
      <c r="X1093" s="114"/>
    </row>
    <row r="1094" spans="2:24" ht="17.7" customHeight="1" x14ac:dyDescent="0.25">
      <c r="B1094" s="39" t="s">
        <v>26</v>
      </c>
      <c r="C1094" s="39" t="s">
        <v>26</v>
      </c>
      <c r="D1094" s="39" t="s">
        <v>1347</v>
      </c>
      <c r="E1094" s="39" t="s">
        <v>1348</v>
      </c>
      <c r="F1094" s="39" t="s">
        <v>336</v>
      </c>
      <c r="G1094" s="39" t="s">
        <v>363</v>
      </c>
      <c r="H1094" s="59" t="str">
        <f>Table1[[#This Row],[Tabela]]&amp;Table1[[#This Row],[Campo]]</f>
        <v>lt003_entitygrp_annl_trnvr_le</v>
      </c>
      <c r="I1094" s="2" t="s">
        <v>1927</v>
      </c>
      <c r="J1094" s="45">
        <f>VLOOKUP(Table1[[#This Row],[Status]],Auxiliar!$B$16:$C$24,2,0)</f>
        <v>2</v>
      </c>
      <c r="K1094" s="45" t="s">
        <v>1255</v>
      </c>
      <c r="L1094" s="46" t="s">
        <v>1258</v>
      </c>
      <c r="M1094" s="21" t="s">
        <v>1259</v>
      </c>
      <c r="N1094" s="48">
        <v>45611</v>
      </c>
      <c r="O1094" s="21">
        <f>INDEX(Auxiliar!$D$5:$F$13,MATCH(Table1[[#This Row],[Tipologia_Testes]],Auxiliar!$B$5:$B$13,0),MATCH(Table1[[#This Row],[Complexidade]],Auxiliar!$D$4:$F$4,0))</f>
        <v>0.1</v>
      </c>
      <c r="P1094" s="43" t="s">
        <v>1344</v>
      </c>
      <c r="Q1094" s="114"/>
      <c r="R1094" s="152">
        <v>45593</v>
      </c>
      <c r="S1094" s="152"/>
      <c r="T1094" s="152">
        <v>45593</v>
      </c>
      <c r="U1094" s="152">
        <v>45611</v>
      </c>
      <c r="V1094" s="152">
        <v>45611</v>
      </c>
      <c r="W1094" s="2">
        <f>VLOOKUP(Table1[[#This Row],[Status]],Auxiliar!$B$16:$D$24,3,0)*Table1[[#This Row],[Estimação (horas)]]</f>
        <v>0.05</v>
      </c>
      <c r="X1094" s="114"/>
    </row>
    <row r="1095" spans="2:24" ht="34.950000000000003" customHeight="1" x14ac:dyDescent="0.25">
      <c r="B1095" s="41" t="s">
        <v>26</v>
      </c>
      <c r="C1095" s="41" t="s">
        <v>26</v>
      </c>
      <c r="D1095" s="36" t="s">
        <v>1349</v>
      </c>
      <c r="E1095" s="111" t="s">
        <v>1343</v>
      </c>
      <c r="F1095" s="40" t="s">
        <v>336</v>
      </c>
      <c r="G1095" s="38" t="s">
        <v>364</v>
      </c>
      <c r="H1095" s="60" t="str">
        <f>Table1[[#This Row],[Tabela]]&amp;Table1[[#This Row],[Campo]]</f>
        <v>lt003_entitygrp_ttl_lblty</v>
      </c>
      <c r="I1095" s="2" t="s">
        <v>1927</v>
      </c>
      <c r="J1095" s="45">
        <f>VLOOKUP(Table1[[#This Row],[Status]],Auxiliar!$B$16:$C$24,2,0)</f>
        <v>2</v>
      </c>
      <c r="K1095" s="45" t="s">
        <v>1252</v>
      </c>
      <c r="L1095" s="46" t="s">
        <v>1258</v>
      </c>
      <c r="M1095" s="21" t="s">
        <v>1259</v>
      </c>
      <c r="N1095" s="48">
        <v>45611</v>
      </c>
      <c r="O1095" s="21">
        <f>INDEX(Auxiliar!$D$5:$F$13,MATCH(Table1[[#This Row],[Tipologia_Testes]],Auxiliar!$B$5:$B$13,0),MATCH(Table1[[#This Row],[Complexidade]],Auxiliar!$D$4:$F$4,0))</f>
        <v>2</v>
      </c>
      <c r="P1095" s="43" t="s">
        <v>1344</v>
      </c>
      <c r="Q1095" s="114"/>
      <c r="R1095" s="152">
        <v>45593</v>
      </c>
      <c r="S1095" s="152"/>
      <c r="T1095" s="152">
        <v>45593</v>
      </c>
      <c r="U1095" s="152">
        <v>45611</v>
      </c>
      <c r="V1095" s="152">
        <v>45611</v>
      </c>
      <c r="W1095" s="2">
        <f>VLOOKUP(Table1[[#This Row],[Status]],Auxiliar!$B$16:$D$24,3,0)*Table1[[#This Row],[Estimação (horas)]]</f>
        <v>1</v>
      </c>
      <c r="X1095" s="114"/>
    </row>
    <row r="1096" spans="2:24" ht="17.7" customHeight="1" x14ac:dyDescent="0.25">
      <c r="B1096" s="39" t="s">
        <v>26</v>
      </c>
      <c r="C1096" s="39" t="s">
        <v>26</v>
      </c>
      <c r="D1096" s="39" t="s">
        <v>1349</v>
      </c>
      <c r="E1096" s="39" t="s">
        <v>1343</v>
      </c>
      <c r="F1096" s="39" t="s">
        <v>336</v>
      </c>
      <c r="G1096" s="39" t="s">
        <v>364</v>
      </c>
      <c r="H1096" s="59" t="str">
        <f>Table1[[#This Row],[Tabela]]&amp;Table1[[#This Row],[Campo]]</f>
        <v>lt003_entitygrp_ttl_lblty</v>
      </c>
      <c r="I1096" s="2" t="s">
        <v>1927</v>
      </c>
      <c r="J1096" s="45">
        <f>VLOOKUP(Table1[[#This Row],[Status]],Auxiliar!$B$16:$C$24,2,0)</f>
        <v>2</v>
      </c>
      <c r="K1096" s="45" t="s">
        <v>1253</v>
      </c>
      <c r="L1096" s="46" t="s">
        <v>1258</v>
      </c>
      <c r="M1096" s="21" t="s">
        <v>1259</v>
      </c>
      <c r="N1096" s="48">
        <v>45611</v>
      </c>
      <c r="O1096" s="21">
        <f>INDEX(Auxiliar!$D$5:$F$13,MATCH(Table1[[#This Row],[Tipologia_Testes]],Auxiliar!$B$5:$B$13,0),MATCH(Table1[[#This Row],[Complexidade]],Auxiliar!$D$4:$F$4,0))</f>
        <v>2</v>
      </c>
      <c r="P1096" s="43" t="s">
        <v>1344</v>
      </c>
      <c r="Q1096" s="114"/>
      <c r="R1096" s="152">
        <v>45593</v>
      </c>
      <c r="S1096" s="152"/>
      <c r="T1096" s="152">
        <v>45593</v>
      </c>
      <c r="U1096" s="152">
        <v>45611</v>
      </c>
      <c r="V1096" s="152">
        <v>45611</v>
      </c>
      <c r="W1096" s="2">
        <f>VLOOKUP(Table1[[#This Row],[Status]],Auxiliar!$B$16:$D$24,3,0)*Table1[[#This Row],[Estimação (horas)]]</f>
        <v>1</v>
      </c>
      <c r="X1096" s="114"/>
    </row>
    <row r="1097" spans="2:24" ht="17.7" customHeight="1" x14ac:dyDescent="0.25">
      <c r="B1097" s="39" t="s">
        <v>26</v>
      </c>
      <c r="C1097" s="39" t="s">
        <v>26</v>
      </c>
      <c r="D1097" s="39" t="s">
        <v>1349</v>
      </c>
      <c r="E1097" s="39" t="s">
        <v>1343</v>
      </c>
      <c r="F1097" s="39" t="s">
        <v>336</v>
      </c>
      <c r="G1097" s="39" t="s">
        <v>364</v>
      </c>
      <c r="H1097" s="59" t="str">
        <f>Table1[[#This Row],[Tabela]]&amp;Table1[[#This Row],[Campo]]</f>
        <v>lt003_entitygrp_ttl_lblty</v>
      </c>
      <c r="I1097" s="2" t="s">
        <v>1927</v>
      </c>
      <c r="J1097" s="45">
        <f>VLOOKUP(Table1[[#This Row],[Status]],Auxiliar!$B$16:$C$24,2,0)</f>
        <v>2</v>
      </c>
      <c r="K1097" s="45" t="s">
        <v>1255</v>
      </c>
      <c r="L1097" s="46" t="s">
        <v>1258</v>
      </c>
      <c r="M1097" s="21" t="s">
        <v>1259</v>
      </c>
      <c r="N1097" s="48">
        <v>45611</v>
      </c>
      <c r="O1097" s="21">
        <f>INDEX(Auxiliar!$D$5:$F$13,MATCH(Table1[[#This Row],[Tipologia_Testes]],Auxiliar!$B$5:$B$13,0),MATCH(Table1[[#This Row],[Complexidade]],Auxiliar!$D$4:$F$4,0))</f>
        <v>0.1</v>
      </c>
      <c r="P1097" s="43" t="s">
        <v>1344</v>
      </c>
      <c r="Q1097" s="114"/>
      <c r="R1097" s="152">
        <v>45593</v>
      </c>
      <c r="S1097" s="152"/>
      <c r="T1097" s="152">
        <v>45593</v>
      </c>
      <c r="U1097" s="152">
        <v>45611</v>
      </c>
      <c r="V1097" s="152">
        <v>45611</v>
      </c>
      <c r="W1097" s="2">
        <f>VLOOKUP(Table1[[#This Row],[Status]],Auxiliar!$B$16:$D$24,3,0)*Table1[[#This Row],[Estimação (horas)]]</f>
        <v>0.05</v>
      </c>
      <c r="X1097" s="114"/>
    </row>
    <row r="1098" spans="2:24" ht="34.950000000000003" customHeight="1" x14ac:dyDescent="0.25">
      <c r="B1098" s="41" t="s">
        <v>26</v>
      </c>
      <c r="C1098" s="41" t="s">
        <v>26</v>
      </c>
      <c r="D1098" s="36" t="s">
        <v>326</v>
      </c>
      <c r="E1098" s="111" t="s">
        <v>1350</v>
      </c>
      <c r="F1098" s="40" t="s">
        <v>336</v>
      </c>
      <c r="G1098" s="38" t="s">
        <v>365</v>
      </c>
      <c r="H1098" s="60" t="str">
        <f>Table1[[#This Row],[Tabela]]&amp;Table1[[#This Row],[Campo]]</f>
        <v>lt003_entityflg_grp_nfrd_applcblty</v>
      </c>
      <c r="I1098" s="2" t="s">
        <v>1927</v>
      </c>
      <c r="J1098" s="45">
        <f>VLOOKUP(Table1[[#This Row],[Status]],Auxiliar!$B$16:$C$24,2,0)</f>
        <v>2</v>
      </c>
      <c r="K1098" s="45" t="s">
        <v>1252</v>
      </c>
      <c r="L1098" s="46" t="s">
        <v>1258</v>
      </c>
      <c r="M1098" s="21" t="s">
        <v>1259</v>
      </c>
      <c r="N1098" s="48">
        <v>45618</v>
      </c>
      <c r="O1098" s="21">
        <f>INDEX(Auxiliar!$D$5:$F$13,MATCH(Table1[[#This Row],[Tipologia_Testes]],Auxiliar!$B$5:$B$13,0),MATCH(Table1[[#This Row],[Complexidade]],Auxiliar!$D$4:$F$4,0))</f>
        <v>2</v>
      </c>
      <c r="P1098" s="43" t="s">
        <v>573</v>
      </c>
      <c r="Q1098" s="114"/>
      <c r="R1098" s="152">
        <v>45589</v>
      </c>
      <c r="S1098" s="152"/>
      <c r="T1098" s="152">
        <v>45589</v>
      </c>
      <c r="U1098" s="152"/>
      <c r="V1098" s="152">
        <v>45596</v>
      </c>
      <c r="W1098" s="2">
        <f>VLOOKUP(Table1[[#This Row],[Status]],Auxiliar!$B$16:$D$24,3,0)*Table1[[#This Row],[Estimação (horas)]]</f>
        <v>1</v>
      </c>
      <c r="X1098" s="114"/>
    </row>
    <row r="1099" spans="2:24" ht="17.7" customHeight="1" x14ac:dyDescent="0.25">
      <c r="B1099" s="39" t="s">
        <v>26</v>
      </c>
      <c r="C1099" s="39" t="s">
        <v>26</v>
      </c>
      <c r="D1099" s="39" t="s">
        <v>326</v>
      </c>
      <c r="E1099" s="39" t="s">
        <v>1350</v>
      </c>
      <c r="F1099" s="39" t="s">
        <v>336</v>
      </c>
      <c r="G1099" s="39" t="s">
        <v>365</v>
      </c>
      <c r="H1099" s="59" t="str">
        <f>Table1[[#This Row],[Tabela]]&amp;Table1[[#This Row],[Campo]]</f>
        <v>lt003_entityflg_grp_nfrd_applcblty</v>
      </c>
      <c r="I1099" s="2" t="s">
        <v>1927</v>
      </c>
      <c r="J1099" s="45">
        <f>VLOOKUP(Table1[[#This Row],[Status]],Auxiliar!$B$16:$C$24,2,0)</f>
        <v>2</v>
      </c>
      <c r="K1099" s="45" t="s">
        <v>1253</v>
      </c>
      <c r="L1099" s="46" t="s">
        <v>1258</v>
      </c>
      <c r="M1099" s="21" t="s">
        <v>1259</v>
      </c>
      <c r="N1099" s="48">
        <v>45618</v>
      </c>
      <c r="O1099" s="21">
        <f>INDEX(Auxiliar!$D$5:$F$13,MATCH(Table1[[#This Row],[Tipologia_Testes]],Auxiliar!$B$5:$B$13,0),MATCH(Table1[[#This Row],[Complexidade]],Auxiliar!$D$4:$F$4,0))</f>
        <v>2</v>
      </c>
      <c r="P1099" s="43" t="s">
        <v>573</v>
      </c>
      <c r="Q1099" s="114"/>
      <c r="R1099" s="152">
        <v>45589</v>
      </c>
      <c r="S1099" s="152"/>
      <c r="T1099" s="152">
        <v>45589</v>
      </c>
      <c r="U1099" s="152"/>
      <c r="V1099" s="152">
        <v>45596</v>
      </c>
      <c r="W1099" s="2">
        <f>VLOOKUP(Table1[[#This Row],[Status]],Auxiliar!$B$16:$D$24,3,0)*Table1[[#This Row],[Estimação (horas)]]</f>
        <v>1</v>
      </c>
      <c r="X1099" s="114"/>
    </row>
    <row r="1100" spans="2:24" ht="17.7" customHeight="1" x14ac:dyDescent="0.25">
      <c r="B1100" s="39" t="s">
        <v>26</v>
      </c>
      <c r="C1100" s="39" t="s">
        <v>26</v>
      </c>
      <c r="D1100" s="39" t="s">
        <v>326</v>
      </c>
      <c r="E1100" s="39" t="s">
        <v>1350</v>
      </c>
      <c r="F1100" s="39" t="s">
        <v>336</v>
      </c>
      <c r="G1100" s="39" t="s">
        <v>365</v>
      </c>
      <c r="H1100" s="59" t="str">
        <f>Table1[[#This Row],[Tabela]]&amp;Table1[[#This Row],[Campo]]</f>
        <v>lt003_entityflg_grp_nfrd_applcblty</v>
      </c>
      <c r="I1100" s="2" t="s">
        <v>1927</v>
      </c>
      <c r="J1100" s="45">
        <f>VLOOKUP(Table1[[#This Row],[Status]],Auxiliar!$B$16:$C$24,2,0)</f>
        <v>2</v>
      </c>
      <c r="K1100" s="45" t="s">
        <v>1255</v>
      </c>
      <c r="L1100" s="46" t="s">
        <v>1258</v>
      </c>
      <c r="M1100" s="21" t="s">
        <v>1259</v>
      </c>
      <c r="N1100" s="48">
        <v>45618</v>
      </c>
      <c r="O1100" s="21">
        <f>INDEX(Auxiliar!$D$5:$F$13,MATCH(Table1[[#This Row],[Tipologia_Testes]],Auxiliar!$B$5:$B$13,0),MATCH(Table1[[#This Row],[Complexidade]],Auxiliar!$D$4:$F$4,0))</f>
        <v>0.1</v>
      </c>
      <c r="P1100" s="43" t="s">
        <v>573</v>
      </c>
      <c r="Q1100" s="114"/>
      <c r="R1100" s="152">
        <v>45589</v>
      </c>
      <c r="S1100" s="152"/>
      <c r="T1100" s="152">
        <v>45589</v>
      </c>
      <c r="U1100" s="152"/>
      <c r="V1100" s="152">
        <v>45596</v>
      </c>
      <c r="W1100" s="2">
        <f>VLOOKUP(Table1[[#This Row],[Status]],Auxiliar!$B$16:$D$24,3,0)*Table1[[#This Row],[Estimação (horas)]]</f>
        <v>0.05</v>
      </c>
      <c r="X1100" s="114"/>
    </row>
    <row r="1101" spans="2:24" ht="34.950000000000003" customHeight="1" x14ac:dyDescent="0.25">
      <c r="B1101" s="41" t="s">
        <v>26</v>
      </c>
      <c r="C1101" s="41" t="s">
        <v>26</v>
      </c>
      <c r="D1101" s="36" t="s">
        <v>326</v>
      </c>
      <c r="E1101" s="111" t="s">
        <v>1351</v>
      </c>
      <c r="F1101" s="40" t="s">
        <v>336</v>
      </c>
      <c r="G1101" s="38" t="s">
        <v>366</v>
      </c>
      <c r="H1101" s="60" t="str">
        <f>Table1[[#This Row],[Tabela]]&amp;Table1[[#This Row],[Campo]]</f>
        <v>lt003_entitygrp_emssns_scp1</v>
      </c>
      <c r="I1101" s="2" t="s">
        <v>1927</v>
      </c>
      <c r="J1101" s="45">
        <f>VLOOKUP(Table1[[#This Row],[Status]],Auxiliar!$B$16:$C$24,2,0)</f>
        <v>2</v>
      </c>
      <c r="K1101" s="45" t="s">
        <v>1252</v>
      </c>
      <c r="L1101" s="46" t="s">
        <v>1258</v>
      </c>
      <c r="M1101" s="21" t="s">
        <v>1259</v>
      </c>
      <c r="N1101" s="48">
        <v>45604</v>
      </c>
      <c r="O1101" s="21">
        <f>INDEX(Auxiliar!$D$5:$F$13,MATCH(Table1[[#This Row],[Tipologia_Testes]],Auxiliar!$B$5:$B$13,0),MATCH(Table1[[#This Row],[Complexidade]],Auxiliar!$D$4:$F$4,0))</f>
        <v>2</v>
      </c>
      <c r="P1101" s="43" t="s">
        <v>1352</v>
      </c>
      <c r="Q1101" s="114"/>
      <c r="R1101" s="152">
        <v>45589</v>
      </c>
      <c r="S1101" s="152"/>
      <c r="T1101" s="152">
        <v>45589</v>
      </c>
      <c r="U1101" s="152"/>
      <c r="V1101" s="152">
        <v>45596</v>
      </c>
      <c r="W1101" s="2">
        <f>VLOOKUP(Table1[[#This Row],[Status]],Auxiliar!$B$16:$D$24,3,0)*Table1[[#This Row],[Estimação (horas)]]</f>
        <v>1</v>
      </c>
      <c r="X1101" s="114"/>
    </row>
    <row r="1102" spans="2:24" ht="17.7" customHeight="1" x14ac:dyDescent="0.25">
      <c r="B1102" s="39" t="s">
        <v>26</v>
      </c>
      <c r="C1102" s="39" t="s">
        <v>26</v>
      </c>
      <c r="D1102" s="39" t="s">
        <v>326</v>
      </c>
      <c r="E1102" s="39" t="s">
        <v>1351</v>
      </c>
      <c r="F1102" s="39" t="s">
        <v>336</v>
      </c>
      <c r="G1102" s="39" t="s">
        <v>366</v>
      </c>
      <c r="H1102" s="59" t="str">
        <f>Table1[[#This Row],[Tabela]]&amp;Table1[[#This Row],[Campo]]</f>
        <v>lt003_entitygrp_emssns_scp1</v>
      </c>
      <c r="I1102" s="2" t="s">
        <v>1927</v>
      </c>
      <c r="J1102" s="45">
        <f>VLOOKUP(Table1[[#This Row],[Status]],Auxiliar!$B$16:$C$24,2,0)</f>
        <v>2</v>
      </c>
      <c r="K1102" s="45" t="s">
        <v>1253</v>
      </c>
      <c r="L1102" s="46" t="s">
        <v>1258</v>
      </c>
      <c r="M1102" s="21" t="s">
        <v>1259</v>
      </c>
      <c r="N1102" s="48">
        <v>45604</v>
      </c>
      <c r="O1102" s="21">
        <f>INDEX(Auxiliar!$D$5:$F$13,MATCH(Table1[[#This Row],[Tipologia_Testes]],Auxiliar!$B$5:$B$13,0),MATCH(Table1[[#This Row],[Complexidade]],Auxiliar!$D$4:$F$4,0))</f>
        <v>2</v>
      </c>
      <c r="P1102" s="43" t="s">
        <v>1352</v>
      </c>
      <c r="Q1102" s="114"/>
      <c r="R1102" s="152">
        <v>45589</v>
      </c>
      <c r="S1102" s="152"/>
      <c r="T1102" s="152">
        <v>45589</v>
      </c>
      <c r="U1102" s="152"/>
      <c r="V1102" s="152">
        <v>45596</v>
      </c>
      <c r="W1102" s="2">
        <f>VLOOKUP(Table1[[#This Row],[Status]],Auxiliar!$B$16:$D$24,3,0)*Table1[[#This Row],[Estimação (horas)]]</f>
        <v>1</v>
      </c>
      <c r="X1102" s="114"/>
    </row>
    <row r="1103" spans="2:24" ht="17.7" customHeight="1" x14ac:dyDescent="0.25">
      <c r="B1103" s="39" t="s">
        <v>26</v>
      </c>
      <c r="C1103" s="39" t="s">
        <v>26</v>
      </c>
      <c r="D1103" s="39" t="s">
        <v>326</v>
      </c>
      <c r="E1103" s="39" t="s">
        <v>1351</v>
      </c>
      <c r="F1103" s="39" t="s">
        <v>336</v>
      </c>
      <c r="G1103" s="39" t="s">
        <v>366</v>
      </c>
      <c r="H1103" s="59" t="str">
        <f>Table1[[#This Row],[Tabela]]&amp;Table1[[#This Row],[Campo]]</f>
        <v>lt003_entitygrp_emssns_scp1</v>
      </c>
      <c r="I1103" s="2" t="s">
        <v>1927</v>
      </c>
      <c r="J1103" s="45">
        <f>VLOOKUP(Table1[[#This Row],[Status]],Auxiliar!$B$16:$C$24,2,0)</f>
        <v>2</v>
      </c>
      <c r="K1103" s="45" t="s">
        <v>1255</v>
      </c>
      <c r="L1103" s="46" t="s">
        <v>1258</v>
      </c>
      <c r="M1103" s="21" t="s">
        <v>1259</v>
      </c>
      <c r="N1103" s="48">
        <v>45604</v>
      </c>
      <c r="O1103" s="21">
        <f>INDEX(Auxiliar!$D$5:$F$13,MATCH(Table1[[#This Row],[Tipologia_Testes]],Auxiliar!$B$5:$B$13,0),MATCH(Table1[[#This Row],[Complexidade]],Auxiliar!$D$4:$F$4,0))</f>
        <v>0.1</v>
      </c>
      <c r="P1103" s="43" t="s">
        <v>1352</v>
      </c>
      <c r="Q1103" s="114"/>
      <c r="R1103" s="152">
        <v>45589</v>
      </c>
      <c r="S1103" s="152"/>
      <c r="T1103" s="152">
        <v>45589</v>
      </c>
      <c r="U1103" s="152"/>
      <c r="V1103" s="152">
        <v>45596</v>
      </c>
      <c r="W1103" s="2">
        <f>VLOOKUP(Table1[[#This Row],[Status]],Auxiliar!$B$16:$D$24,3,0)*Table1[[#This Row],[Estimação (horas)]]</f>
        <v>0.05</v>
      </c>
      <c r="X1103" s="114"/>
    </row>
    <row r="1104" spans="2:24" ht="34.950000000000003" customHeight="1" x14ac:dyDescent="0.25">
      <c r="B1104" s="41" t="s">
        <v>26</v>
      </c>
      <c r="C1104" s="41" t="s">
        <v>26</v>
      </c>
      <c r="D1104" s="36" t="s">
        <v>326</v>
      </c>
      <c r="E1104" s="111" t="s">
        <v>1353</v>
      </c>
      <c r="F1104" s="40" t="s">
        <v>336</v>
      </c>
      <c r="G1104" s="38" t="s">
        <v>367</v>
      </c>
      <c r="H1104" s="60" t="str">
        <f>Table1[[#This Row],[Tabela]]&amp;Table1[[#This Row],[Campo]]</f>
        <v>lt003_entitygrp_emssns_scp2</v>
      </c>
      <c r="I1104" s="2" t="s">
        <v>1927</v>
      </c>
      <c r="J1104" s="45">
        <f>VLOOKUP(Table1[[#This Row],[Status]],Auxiliar!$B$16:$C$24,2,0)</f>
        <v>2</v>
      </c>
      <c r="K1104" s="45" t="s">
        <v>1252</v>
      </c>
      <c r="L1104" s="46" t="s">
        <v>1258</v>
      </c>
      <c r="M1104" s="21" t="s">
        <v>1259</v>
      </c>
      <c r="N1104" s="48">
        <v>45604</v>
      </c>
      <c r="O1104" s="21">
        <f>INDEX(Auxiliar!$D$5:$F$13,MATCH(Table1[[#This Row],[Tipologia_Testes]],Auxiliar!$B$5:$B$13,0),MATCH(Table1[[#This Row],[Complexidade]],Auxiliar!$D$4:$F$4,0))</f>
        <v>2</v>
      </c>
      <c r="P1104" s="43" t="s">
        <v>1352</v>
      </c>
      <c r="Q1104" s="114"/>
      <c r="R1104" s="152">
        <v>45589</v>
      </c>
      <c r="S1104" s="152"/>
      <c r="T1104" s="152">
        <v>45589</v>
      </c>
      <c r="U1104" s="152"/>
      <c r="V1104" s="152">
        <v>45596</v>
      </c>
      <c r="W1104" s="2">
        <f>VLOOKUP(Table1[[#This Row],[Status]],Auxiliar!$B$16:$D$24,3,0)*Table1[[#This Row],[Estimação (horas)]]</f>
        <v>1</v>
      </c>
      <c r="X1104" s="114"/>
    </row>
    <row r="1105" spans="2:24" ht="17.7" customHeight="1" x14ac:dyDescent="0.25">
      <c r="B1105" s="39" t="s">
        <v>26</v>
      </c>
      <c r="C1105" s="39" t="s">
        <v>26</v>
      </c>
      <c r="D1105" s="39" t="s">
        <v>326</v>
      </c>
      <c r="E1105" s="39" t="s">
        <v>1353</v>
      </c>
      <c r="F1105" s="39" t="s">
        <v>336</v>
      </c>
      <c r="G1105" s="39" t="s">
        <v>367</v>
      </c>
      <c r="H1105" s="59" t="str">
        <f>Table1[[#This Row],[Tabela]]&amp;Table1[[#This Row],[Campo]]</f>
        <v>lt003_entitygrp_emssns_scp2</v>
      </c>
      <c r="I1105" s="2" t="s">
        <v>1927</v>
      </c>
      <c r="J1105" s="45">
        <f>VLOOKUP(Table1[[#This Row],[Status]],Auxiliar!$B$16:$C$24,2,0)</f>
        <v>2</v>
      </c>
      <c r="K1105" s="45" t="s">
        <v>1253</v>
      </c>
      <c r="L1105" s="46" t="s">
        <v>1258</v>
      </c>
      <c r="M1105" s="21" t="s">
        <v>1259</v>
      </c>
      <c r="N1105" s="48">
        <v>45604</v>
      </c>
      <c r="O1105" s="21">
        <f>INDEX(Auxiliar!$D$5:$F$13,MATCH(Table1[[#This Row],[Tipologia_Testes]],Auxiliar!$B$5:$B$13,0),MATCH(Table1[[#This Row],[Complexidade]],Auxiliar!$D$4:$F$4,0))</f>
        <v>2</v>
      </c>
      <c r="P1105" s="43" t="s">
        <v>1352</v>
      </c>
      <c r="Q1105" s="114"/>
      <c r="R1105" s="152">
        <v>45589</v>
      </c>
      <c r="S1105" s="152"/>
      <c r="T1105" s="152">
        <v>45589</v>
      </c>
      <c r="U1105" s="152"/>
      <c r="V1105" s="152">
        <v>45596</v>
      </c>
      <c r="W1105" s="2">
        <f>VLOOKUP(Table1[[#This Row],[Status]],Auxiliar!$B$16:$D$24,3,0)*Table1[[#This Row],[Estimação (horas)]]</f>
        <v>1</v>
      </c>
      <c r="X1105" s="114"/>
    </row>
    <row r="1106" spans="2:24" ht="17.7" customHeight="1" x14ac:dyDescent="0.25">
      <c r="B1106" s="39" t="s">
        <v>26</v>
      </c>
      <c r="C1106" s="39" t="s">
        <v>26</v>
      </c>
      <c r="D1106" s="39" t="s">
        <v>326</v>
      </c>
      <c r="E1106" s="39" t="s">
        <v>1353</v>
      </c>
      <c r="F1106" s="39" t="s">
        <v>336</v>
      </c>
      <c r="G1106" s="39" t="s">
        <v>367</v>
      </c>
      <c r="H1106" s="59" t="str">
        <f>Table1[[#This Row],[Tabela]]&amp;Table1[[#This Row],[Campo]]</f>
        <v>lt003_entitygrp_emssns_scp2</v>
      </c>
      <c r="I1106" s="2" t="s">
        <v>1927</v>
      </c>
      <c r="J1106" s="45">
        <f>VLOOKUP(Table1[[#This Row],[Status]],Auxiliar!$B$16:$C$24,2,0)</f>
        <v>2</v>
      </c>
      <c r="K1106" s="45" t="s">
        <v>1255</v>
      </c>
      <c r="L1106" s="46" t="s">
        <v>1258</v>
      </c>
      <c r="M1106" s="21" t="s">
        <v>1259</v>
      </c>
      <c r="N1106" s="48">
        <v>45604</v>
      </c>
      <c r="O1106" s="21">
        <f>INDEX(Auxiliar!$D$5:$F$13,MATCH(Table1[[#This Row],[Tipologia_Testes]],Auxiliar!$B$5:$B$13,0),MATCH(Table1[[#This Row],[Complexidade]],Auxiliar!$D$4:$F$4,0))</f>
        <v>0.1</v>
      </c>
      <c r="P1106" s="43" t="s">
        <v>1352</v>
      </c>
      <c r="Q1106" s="114"/>
      <c r="R1106" s="152">
        <v>45589</v>
      </c>
      <c r="S1106" s="152"/>
      <c r="T1106" s="152">
        <v>45589</v>
      </c>
      <c r="U1106" s="152"/>
      <c r="V1106" s="152">
        <v>45596</v>
      </c>
      <c r="W1106" s="2">
        <f>VLOOKUP(Table1[[#This Row],[Status]],Auxiliar!$B$16:$D$24,3,0)*Table1[[#This Row],[Estimação (horas)]]</f>
        <v>0.05</v>
      </c>
      <c r="X1106" s="114"/>
    </row>
    <row r="1107" spans="2:24" ht="34.950000000000003" customHeight="1" x14ac:dyDescent="0.25">
      <c r="B1107" s="41" t="s">
        <v>26</v>
      </c>
      <c r="C1107" s="41" t="s">
        <v>26</v>
      </c>
      <c r="D1107" s="36" t="s">
        <v>326</v>
      </c>
      <c r="E1107" s="111" t="s">
        <v>1354</v>
      </c>
      <c r="F1107" s="40" t="s">
        <v>336</v>
      </c>
      <c r="G1107" s="38" t="s">
        <v>368</v>
      </c>
      <c r="H1107" s="60" t="str">
        <f>Table1[[#This Row],[Tabela]]&amp;Table1[[#This Row],[Campo]]</f>
        <v>lt003_entitygrp_emssns_scp3</v>
      </c>
      <c r="I1107" s="2" t="s">
        <v>1927</v>
      </c>
      <c r="J1107" s="45">
        <f>VLOOKUP(Table1[[#This Row],[Status]],Auxiliar!$B$16:$C$24,2,0)</f>
        <v>2</v>
      </c>
      <c r="K1107" s="45" t="s">
        <v>1252</v>
      </c>
      <c r="L1107" s="46" t="s">
        <v>1258</v>
      </c>
      <c r="M1107" s="21" t="s">
        <v>1259</v>
      </c>
      <c r="N1107" s="48">
        <v>45604</v>
      </c>
      <c r="O1107" s="21">
        <f>INDEX(Auxiliar!$D$5:$F$13,MATCH(Table1[[#This Row],[Tipologia_Testes]],Auxiliar!$B$5:$B$13,0),MATCH(Table1[[#This Row],[Complexidade]],Auxiliar!$D$4:$F$4,0))</f>
        <v>2</v>
      </c>
      <c r="P1107" s="43" t="s">
        <v>1352</v>
      </c>
      <c r="Q1107" s="114"/>
      <c r="R1107" s="152">
        <v>45589</v>
      </c>
      <c r="S1107" s="152"/>
      <c r="T1107" s="152">
        <v>45589</v>
      </c>
      <c r="U1107" s="152"/>
      <c r="V1107" s="152">
        <v>45596</v>
      </c>
      <c r="W1107" s="2">
        <f>VLOOKUP(Table1[[#This Row],[Status]],Auxiliar!$B$16:$D$24,3,0)*Table1[[#This Row],[Estimação (horas)]]</f>
        <v>1</v>
      </c>
      <c r="X1107" s="114"/>
    </row>
    <row r="1108" spans="2:24" ht="17.7" customHeight="1" x14ac:dyDescent="0.25">
      <c r="B1108" s="39" t="s">
        <v>26</v>
      </c>
      <c r="C1108" s="39" t="s">
        <v>26</v>
      </c>
      <c r="D1108" s="39" t="s">
        <v>326</v>
      </c>
      <c r="E1108" s="39" t="s">
        <v>1354</v>
      </c>
      <c r="F1108" s="39" t="s">
        <v>336</v>
      </c>
      <c r="G1108" s="39" t="s">
        <v>368</v>
      </c>
      <c r="H1108" s="59" t="str">
        <f>Table1[[#This Row],[Tabela]]&amp;Table1[[#This Row],[Campo]]</f>
        <v>lt003_entitygrp_emssns_scp3</v>
      </c>
      <c r="I1108" s="2" t="s">
        <v>1927</v>
      </c>
      <c r="J1108" s="45">
        <f>VLOOKUP(Table1[[#This Row],[Status]],Auxiliar!$B$16:$C$24,2,0)</f>
        <v>2</v>
      </c>
      <c r="K1108" s="45" t="s">
        <v>1253</v>
      </c>
      <c r="L1108" s="46" t="s">
        <v>1258</v>
      </c>
      <c r="M1108" s="21" t="s">
        <v>1259</v>
      </c>
      <c r="N1108" s="48">
        <v>45604</v>
      </c>
      <c r="O1108" s="21">
        <f>INDEX(Auxiliar!$D$5:$F$13,MATCH(Table1[[#This Row],[Tipologia_Testes]],Auxiliar!$B$5:$B$13,0),MATCH(Table1[[#This Row],[Complexidade]],Auxiliar!$D$4:$F$4,0))</f>
        <v>2</v>
      </c>
      <c r="P1108" s="43" t="s">
        <v>1352</v>
      </c>
      <c r="Q1108" s="114"/>
      <c r="R1108" s="152">
        <v>45589</v>
      </c>
      <c r="S1108" s="152"/>
      <c r="T1108" s="152">
        <v>45589</v>
      </c>
      <c r="U1108" s="152"/>
      <c r="V1108" s="152">
        <v>45596</v>
      </c>
      <c r="W1108" s="2">
        <f>VLOOKUP(Table1[[#This Row],[Status]],Auxiliar!$B$16:$D$24,3,0)*Table1[[#This Row],[Estimação (horas)]]</f>
        <v>1</v>
      </c>
      <c r="X1108" s="114"/>
    </row>
    <row r="1109" spans="2:24" ht="17.7" customHeight="1" x14ac:dyDescent="0.25">
      <c r="B1109" s="39" t="s">
        <v>26</v>
      </c>
      <c r="C1109" s="39" t="s">
        <v>26</v>
      </c>
      <c r="D1109" s="39" t="s">
        <v>326</v>
      </c>
      <c r="E1109" s="39" t="s">
        <v>1354</v>
      </c>
      <c r="F1109" s="39" t="s">
        <v>336</v>
      </c>
      <c r="G1109" s="39" t="s">
        <v>368</v>
      </c>
      <c r="H1109" s="59" t="str">
        <f>Table1[[#This Row],[Tabela]]&amp;Table1[[#This Row],[Campo]]</f>
        <v>lt003_entitygrp_emssns_scp3</v>
      </c>
      <c r="I1109" s="2" t="s">
        <v>1927</v>
      </c>
      <c r="J1109" s="45">
        <f>VLOOKUP(Table1[[#This Row],[Status]],Auxiliar!$B$16:$C$24,2,0)</f>
        <v>2</v>
      </c>
      <c r="K1109" s="45" t="s">
        <v>1255</v>
      </c>
      <c r="L1109" s="46" t="s">
        <v>1258</v>
      </c>
      <c r="M1109" s="21" t="s">
        <v>1259</v>
      </c>
      <c r="N1109" s="48">
        <v>45604</v>
      </c>
      <c r="O1109" s="21">
        <f>INDEX(Auxiliar!$D$5:$F$13,MATCH(Table1[[#This Row],[Tipologia_Testes]],Auxiliar!$B$5:$B$13,0),MATCH(Table1[[#This Row],[Complexidade]],Auxiliar!$D$4:$F$4,0))</f>
        <v>0.1</v>
      </c>
      <c r="P1109" s="43" t="s">
        <v>1352</v>
      </c>
      <c r="Q1109" s="114"/>
      <c r="R1109" s="152">
        <v>45589</v>
      </c>
      <c r="S1109" s="152"/>
      <c r="T1109" s="152">
        <v>45589</v>
      </c>
      <c r="U1109" s="152"/>
      <c r="V1109" s="152">
        <v>45596</v>
      </c>
      <c r="W1109" s="2">
        <f>VLOOKUP(Table1[[#This Row],[Status]],Auxiliar!$B$16:$D$24,3,0)*Table1[[#This Row],[Estimação (horas)]]</f>
        <v>0.05</v>
      </c>
      <c r="X1109" s="114"/>
    </row>
    <row r="1110" spans="2:24" ht="17.7" customHeight="1" x14ac:dyDescent="0.25">
      <c r="B1110" s="41" t="s">
        <v>26</v>
      </c>
      <c r="C1110" s="41" t="s">
        <v>26</v>
      </c>
      <c r="D1110" s="37" t="s">
        <v>1355</v>
      </c>
      <c r="E1110" s="42" t="s">
        <v>1337</v>
      </c>
      <c r="F1110" s="40" t="s">
        <v>369</v>
      </c>
      <c r="G1110" s="38" t="s">
        <v>370</v>
      </c>
      <c r="H1110" s="60" t="str">
        <f>Table1[[#This Row],[Tabela]]&amp;Table1[[#This Row],[Campo]]</f>
        <v>lt004_protectiontyp_ep_scr</v>
      </c>
      <c r="I1110" s="2" t="s">
        <v>1927</v>
      </c>
      <c r="J1110" s="45">
        <f>VLOOKUP(Table1[[#This Row],[Status]],Auxiliar!$B$16:$C$24,2,0)</f>
        <v>2</v>
      </c>
      <c r="K1110" s="45" t="s">
        <v>1252</v>
      </c>
      <c r="L1110" s="46" t="s">
        <v>1258</v>
      </c>
      <c r="M1110" s="21" t="s">
        <v>1259</v>
      </c>
      <c r="N1110" s="48">
        <v>45611</v>
      </c>
      <c r="O1110" s="21">
        <f>INDEX(Auxiliar!$D$5:$F$13,MATCH(Table1[[#This Row],[Tipologia_Testes]],Auxiliar!$B$5:$B$13,0),MATCH(Table1[[#This Row],[Complexidade]],Auxiliar!$D$4:$F$4,0))</f>
        <v>2</v>
      </c>
      <c r="P1110" s="43"/>
      <c r="Q1110" s="152"/>
      <c r="R1110" s="152">
        <v>45583</v>
      </c>
      <c r="S1110" s="152"/>
      <c r="T1110" s="152">
        <v>45583</v>
      </c>
      <c r="U1110" s="152">
        <v>45611</v>
      </c>
      <c r="V1110" s="152">
        <v>45611</v>
      </c>
      <c r="W1110" s="2">
        <f>VLOOKUP(Table1[[#This Row],[Status]],Auxiliar!$B$16:$D$24,3,0)*Table1[[#This Row],[Estimação (horas)]]</f>
        <v>1</v>
      </c>
      <c r="X1110" s="114"/>
    </row>
    <row r="1111" spans="2:24" ht="17.7" customHeight="1" x14ac:dyDescent="0.25">
      <c r="B1111" s="39" t="s">
        <v>26</v>
      </c>
      <c r="C1111" s="39" t="s">
        <v>26</v>
      </c>
      <c r="D1111" s="39" t="s">
        <v>1355</v>
      </c>
      <c r="E1111" s="39" t="s">
        <v>1337</v>
      </c>
      <c r="F1111" s="39" t="s">
        <v>369</v>
      </c>
      <c r="G1111" s="39" t="s">
        <v>370</v>
      </c>
      <c r="H1111" s="59" t="str">
        <f>Table1[[#This Row],[Tabela]]&amp;Table1[[#This Row],[Campo]]</f>
        <v>lt004_protectiontyp_ep_scr</v>
      </c>
      <c r="I1111" s="2" t="s">
        <v>1927</v>
      </c>
      <c r="J1111" s="45">
        <f>VLOOKUP(Table1[[#This Row],[Status]],Auxiliar!$B$16:$C$24,2,0)</f>
        <v>2</v>
      </c>
      <c r="K1111" s="45" t="s">
        <v>1253</v>
      </c>
      <c r="L1111" s="46" t="s">
        <v>1258</v>
      </c>
      <c r="M1111" s="21" t="s">
        <v>1259</v>
      </c>
      <c r="N1111" s="48">
        <v>45611</v>
      </c>
      <c r="O1111" s="21">
        <f>INDEX(Auxiliar!$D$5:$F$13,MATCH(Table1[[#This Row],[Tipologia_Testes]],Auxiliar!$B$5:$B$13,0),MATCH(Table1[[#This Row],[Complexidade]],Auxiliar!$D$4:$F$4,0))</f>
        <v>2</v>
      </c>
      <c r="P1111" s="43"/>
      <c r="Q1111" s="152"/>
      <c r="R1111" s="152">
        <v>45583</v>
      </c>
      <c r="S1111" s="152"/>
      <c r="T1111" s="152">
        <v>45583</v>
      </c>
      <c r="U1111" s="152">
        <v>45611</v>
      </c>
      <c r="V1111" s="152">
        <v>45611</v>
      </c>
      <c r="W1111" s="2">
        <f>VLOOKUP(Table1[[#This Row],[Status]],Auxiliar!$B$16:$D$24,3,0)*Table1[[#This Row],[Estimação (horas)]]</f>
        <v>1</v>
      </c>
      <c r="X1111" s="114"/>
    </row>
    <row r="1112" spans="2:24" ht="17.7" customHeight="1" x14ac:dyDescent="0.25">
      <c r="B1112" s="39" t="s">
        <v>26</v>
      </c>
      <c r="C1112" s="39" t="s">
        <v>26</v>
      </c>
      <c r="D1112" s="39" t="s">
        <v>1355</v>
      </c>
      <c r="E1112" s="39" t="s">
        <v>1337</v>
      </c>
      <c r="F1112" s="39" t="s">
        <v>369</v>
      </c>
      <c r="G1112" s="39" t="s">
        <v>370</v>
      </c>
      <c r="H1112" s="59" t="str">
        <f>Table1[[#This Row],[Tabela]]&amp;Table1[[#This Row],[Campo]]</f>
        <v>lt004_protectiontyp_ep_scr</v>
      </c>
      <c r="I1112" s="2" t="s">
        <v>1927</v>
      </c>
      <c r="J1112" s="45">
        <f>VLOOKUP(Table1[[#This Row],[Status]],Auxiliar!$B$16:$C$24,2,0)</f>
        <v>2</v>
      </c>
      <c r="K1112" s="45" t="s">
        <v>1255</v>
      </c>
      <c r="L1112" s="46" t="s">
        <v>1258</v>
      </c>
      <c r="M1112" s="21" t="s">
        <v>1259</v>
      </c>
      <c r="N1112" s="48">
        <v>45611</v>
      </c>
      <c r="O1112" s="21">
        <f>INDEX(Auxiliar!$D$5:$F$13,MATCH(Table1[[#This Row],[Tipologia_Testes]],Auxiliar!$B$5:$B$13,0),MATCH(Table1[[#This Row],[Complexidade]],Auxiliar!$D$4:$F$4,0))</f>
        <v>0.1</v>
      </c>
      <c r="P1112" s="43"/>
      <c r="Q1112" s="152"/>
      <c r="R1112" s="152">
        <v>45583</v>
      </c>
      <c r="S1112" s="152"/>
      <c r="T1112" s="152">
        <v>45583</v>
      </c>
      <c r="U1112" s="152">
        <v>45611</v>
      </c>
      <c r="V1112" s="152">
        <v>45611</v>
      </c>
      <c r="W1112" s="2">
        <f>VLOOKUP(Table1[[#This Row],[Status]],Auxiliar!$B$16:$D$24,3,0)*Table1[[#This Row],[Estimação (horas)]]</f>
        <v>0.05</v>
      </c>
      <c r="X1112" s="114"/>
    </row>
    <row r="1113" spans="2:24" ht="17.7" customHeight="1" x14ac:dyDescent="0.25">
      <c r="B1113" s="41" t="s">
        <v>26</v>
      </c>
      <c r="C1113" s="41" t="s">
        <v>26</v>
      </c>
      <c r="D1113" s="37" t="s">
        <v>1355</v>
      </c>
      <c r="E1113" s="42" t="s">
        <v>1337</v>
      </c>
      <c r="F1113" s="40" t="s">
        <v>369</v>
      </c>
      <c r="G1113" s="38" t="s">
        <v>371</v>
      </c>
      <c r="H1113" s="60" t="str">
        <f>Table1[[#This Row],[Tabela]]&amp;Table1[[#This Row],[Campo]]</f>
        <v>lt004_protectionep_scr</v>
      </c>
      <c r="I1113" s="2" t="s">
        <v>1927</v>
      </c>
      <c r="J1113" s="45">
        <f>VLOOKUP(Table1[[#This Row],[Status]],Auxiliar!$B$16:$C$24,2,0)</f>
        <v>2</v>
      </c>
      <c r="K1113" s="45" t="s">
        <v>1252</v>
      </c>
      <c r="L1113" s="46" t="s">
        <v>1258</v>
      </c>
      <c r="M1113" s="21" t="s">
        <v>1259</v>
      </c>
      <c r="N1113" s="48">
        <v>45604</v>
      </c>
      <c r="O1113" s="21">
        <f>INDEX(Auxiliar!$D$5:$F$13,MATCH(Table1[[#This Row],[Tipologia_Testes]],Auxiliar!$B$5:$B$13,0),MATCH(Table1[[#This Row],[Complexidade]],Auxiliar!$D$4:$F$4,0))</f>
        <v>2</v>
      </c>
      <c r="P1113" s="43" t="s">
        <v>1356</v>
      </c>
      <c r="Q1113" s="152"/>
      <c r="R1113" s="152">
        <v>45583</v>
      </c>
      <c r="S1113" s="152"/>
      <c r="T1113" s="152">
        <v>45583</v>
      </c>
      <c r="U1113" s="152">
        <v>45596</v>
      </c>
      <c r="V1113" s="152">
        <v>45596</v>
      </c>
      <c r="W1113" s="2">
        <f>VLOOKUP(Table1[[#This Row],[Status]],Auxiliar!$B$16:$D$24,3,0)*Table1[[#This Row],[Estimação (horas)]]</f>
        <v>1</v>
      </c>
      <c r="X1113" s="114"/>
    </row>
    <row r="1114" spans="2:24" ht="17.7" customHeight="1" x14ac:dyDescent="0.25">
      <c r="B1114" s="39" t="s">
        <v>26</v>
      </c>
      <c r="C1114" s="39" t="s">
        <v>26</v>
      </c>
      <c r="D1114" s="39" t="s">
        <v>1355</v>
      </c>
      <c r="E1114" s="39" t="s">
        <v>1337</v>
      </c>
      <c r="F1114" s="39" t="s">
        <v>369</v>
      </c>
      <c r="G1114" s="39" t="s">
        <v>371</v>
      </c>
      <c r="H1114" s="59" t="str">
        <f>Table1[[#This Row],[Tabela]]&amp;Table1[[#This Row],[Campo]]</f>
        <v>lt004_protectionep_scr</v>
      </c>
      <c r="I1114" s="2" t="s">
        <v>1927</v>
      </c>
      <c r="J1114" s="45">
        <f>VLOOKUP(Table1[[#This Row],[Status]],Auxiliar!$B$16:$C$24,2,0)</f>
        <v>2</v>
      </c>
      <c r="K1114" s="45" t="s">
        <v>1253</v>
      </c>
      <c r="L1114" s="46" t="s">
        <v>1258</v>
      </c>
      <c r="M1114" s="21" t="s">
        <v>1259</v>
      </c>
      <c r="N1114" s="48">
        <v>45604</v>
      </c>
      <c r="O1114" s="21">
        <f>INDEX(Auxiliar!$D$5:$F$13,MATCH(Table1[[#This Row],[Tipologia_Testes]],Auxiliar!$B$5:$B$13,0),MATCH(Table1[[#This Row],[Complexidade]],Auxiliar!$D$4:$F$4,0))</f>
        <v>2</v>
      </c>
      <c r="P1114" s="43" t="s">
        <v>1356</v>
      </c>
      <c r="Q1114" s="152"/>
      <c r="R1114" s="152">
        <v>45583</v>
      </c>
      <c r="S1114" s="152"/>
      <c r="T1114" s="152">
        <v>45583</v>
      </c>
      <c r="U1114" s="152">
        <v>45596</v>
      </c>
      <c r="V1114" s="152">
        <v>45596</v>
      </c>
      <c r="W1114" s="2">
        <f>VLOOKUP(Table1[[#This Row],[Status]],Auxiliar!$B$16:$D$24,3,0)*Table1[[#This Row],[Estimação (horas)]]</f>
        <v>1</v>
      </c>
      <c r="X1114" s="114"/>
    </row>
    <row r="1115" spans="2:24" ht="17.7" customHeight="1" x14ac:dyDescent="0.25">
      <c r="B1115" s="39" t="s">
        <v>26</v>
      </c>
      <c r="C1115" s="39" t="s">
        <v>26</v>
      </c>
      <c r="D1115" s="39" t="s">
        <v>1355</v>
      </c>
      <c r="E1115" s="39" t="s">
        <v>1337</v>
      </c>
      <c r="F1115" s="39" t="s">
        <v>369</v>
      </c>
      <c r="G1115" s="39" t="s">
        <v>371</v>
      </c>
      <c r="H1115" s="59" t="str">
        <f>Table1[[#This Row],[Tabela]]&amp;Table1[[#This Row],[Campo]]</f>
        <v>lt004_protectionep_scr</v>
      </c>
      <c r="I1115" s="2" t="s">
        <v>1927</v>
      </c>
      <c r="J1115" s="45">
        <f>VLOOKUP(Table1[[#This Row],[Status]],Auxiliar!$B$16:$C$24,2,0)</f>
        <v>2</v>
      </c>
      <c r="K1115" s="45" t="s">
        <v>1255</v>
      </c>
      <c r="L1115" s="46" t="s">
        <v>1258</v>
      </c>
      <c r="M1115" s="21" t="s">
        <v>1259</v>
      </c>
      <c r="N1115" s="48">
        <v>45604</v>
      </c>
      <c r="O1115" s="21">
        <f>INDEX(Auxiliar!$D$5:$F$13,MATCH(Table1[[#This Row],[Tipologia_Testes]],Auxiliar!$B$5:$B$13,0),MATCH(Table1[[#This Row],[Complexidade]],Auxiliar!$D$4:$F$4,0))</f>
        <v>0.1</v>
      </c>
      <c r="P1115" s="43" t="s">
        <v>1356</v>
      </c>
      <c r="Q1115" s="152"/>
      <c r="R1115" s="152">
        <v>45583</v>
      </c>
      <c r="S1115" s="152"/>
      <c r="T1115" s="152">
        <v>45583</v>
      </c>
      <c r="U1115" s="152">
        <v>45596</v>
      </c>
      <c r="V1115" s="152">
        <v>45596</v>
      </c>
      <c r="W1115" s="2">
        <f>VLOOKUP(Table1[[#This Row],[Status]],Auxiliar!$B$16:$D$24,3,0)*Table1[[#This Row],[Estimação (horas)]]</f>
        <v>0.05</v>
      </c>
      <c r="X1115" s="114"/>
    </row>
    <row r="1116" spans="2:24" ht="17.7" customHeight="1" x14ac:dyDescent="0.25">
      <c r="B1116" s="41" t="s">
        <v>26</v>
      </c>
      <c r="C1116" s="41" t="s">
        <v>26</v>
      </c>
      <c r="D1116" s="37" t="s">
        <v>1355</v>
      </c>
      <c r="E1116" s="42" t="s">
        <v>1337</v>
      </c>
      <c r="F1116" s="40" t="s">
        <v>369</v>
      </c>
      <c r="G1116" s="38" t="s">
        <v>372</v>
      </c>
      <c r="H1116" s="60" t="str">
        <f>Table1[[#This Row],[Tabela]]&amp;Table1[[#This Row],[Campo]]</f>
        <v>lt004_protectiontyp_epc_lbl</v>
      </c>
      <c r="I1116" s="2" t="s">
        <v>1927</v>
      </c>
      <c r="J1116" s="45">
        <f>VLOOKUP(Table1[[#This Row],[Status]],Auxiliar!$B$16:$C$24,2,0)</f>
        <v>2</v>
      </c>
      <c r="K1116" s="45" t="s">
        <v>1252</v>
      </c>
      <c r="L1116" s="46" t="s">
        <v>1258</v>
      </c>
      <c r="M1116" s="21" t="s">
        <v>1259</v>
      </c>
      <c r="N1116" s="48">
        <v>45604</v>
      </c>
      <c r="O1116" s="21">
        <f>INDEX(Auxiliar!$D$5:$F$13,MATCH(Table1[[#This Row],[Tipologia_Testes]],Auxiliar!$B$5:$B$13,0),MATCH(Table1[[#This Row],[Complexidade]],Auxiliar!$D$4:$F$4,0))</f>
        <v>2</v>
      </c>
      <c r="P1116" s="43" t="s">
        <v>1356</v>
      </c>
      <c r="Q1116" s="114"/>
      <c r="R1116" s="152">
        <v>45583</v>
      </c>
      <c r="S1116" s="152"/>
      <c r="T1116" s="152">
        <v>45583</v>
      </c>
      <c r="U1116" s="152">
        <v>45596</v>
      </c>
      <c r="V1116" s="152">
        <v>45596</v>
      </c>
      <c r="W1116" s="2">
        <f>VLOOKUP(Table1[[#This Row],[Status]],Auxiliar!$B$16:$D$24,3,0)*Table1[[#This Row],[Estimação (horas)]]</f>
        <v>1</v>
      </c>
      <c r="X1116" s="114"/>
    </row>
    <row r="1117" spans="2:24" ht="17.7" customHeight="1" x14ac:dyDescent="0.25">
      <c r="B1117" s="39" t="s">
        <v>26</v>
      </c>
      <c r="C1117" s="39" t="s">
        <v>26</v>
      </c>
      <c r="D1117" s="39" t="s">
        <v>1355</v>
      </c>
      <c r="E1117" s="39" t="s">
        <v>1337</v>
      </c>
      <c r="F1117" s="39" t="s">
        <v>369</v>
      </c>
      <c r="G1117" s="39" t="s">
        <v>372</v>
      </c>
      <c r="H1117" s="59" t="str">
        <f>Table1[[#This Row],[Tabela]]&amp;Table1[[#This Row],[Campo]]</f>
        <v>lt004_protectiontyp_epc_lbl</v>
      </c>
      <c r="I1117" s="2" t="s">
        <v>1927</v>
      </c>
      <c r="J1117" s="45">
        <f>VLOOKUP(Table1[[#This Row],[Status]],Auxiliar!$B$16:$C$24,2,0)</f>
        <v>2</v>
      </c>
      <c r="K1117" s="45" t="s">
        <v>1253</v>
      </c>
      <c r="L1117" s="46" t="s">
        <v>1258</v>
      </c>
      <c r="M1117" s="21" t="s">
        <v>1259</v>
      </c>
      <c r="N1117" s="48">
        <v>45604</v>
      </c>
      <c r="O1117" s="21">
        <f>INDEX(Auxiliar!$D$5:$F$13,MATCH(Table1[[#This Row],[Tipologia_Testes]],Auxiliar!$B$5:$B$13,0),MATCH(Table1[[#This Row],[Complexidade]],Auxiliar!$D$4:$F$4,0))</f>
        <v>2</v>
      </c>
      <c r="P1117" s="43" t="s">
        <v>1356</v>
      </c>
      <c r="Q1117" s="114"/>
      <c r="R1117" s="152">
        <v>45583</v>
      </c>
      <c r="S1117" s="152"/>
      <c r="T1117" s="152">
        <v>45583</v>
      </c>
      <c r="U1117" s="152">
        <v>45596</v>
      </c>
      <c r="V1117" s="152">
        <v>45596</v>
      </c>
      <c r="W1117" s="2">
        <f>VLOOKUP(Table1[[#This Row],[Status]],Auxiliar!$B$16:$D$24,3,0)*Table1[[#This Row],[Estimação (horas)]]</f>
        <v>1</v>
      </c>
      <c r="X1117" s="114"/>
    </row>
    <row r="1118" spans="2:24" ht="17.7" customHeight="1" x14ac:dyDescent="0.25">
      <c r="B1118" s="39" t="s">
        <v>26</v>
      </c>
      <c r="C1118" s="39" t="s">
        <v>26</v>
      </c>
      <c r="D1118" s="39" t="s">
        <v>1355</v>
      </c>
      <c r="E1118" s="39" t="s">
        <v>1337</v>
      </c>
      <c r="F1118" s="39" t="s">
        <v>369</v>
      </c>
      <c r="G1118" s="39" t="s">
        <v>372</v>
      </c>
      <c r="H1118" s="59" t="str">
        <f>Table1[[#This Row],[Tabela]]&amp;Table1[[#This Row],[Campo]]</f>
        <v>lt004_protectiontyp_epc_lbl</v>
      </c>
      <c r="I1118" s="2" t="s">
        <v>1927</v>
      </c>
      <c r="J1118" s="45">
        <f>VLOOKUP(Table1[[#This Row],[Status]],Auxiliar!$B$16:$C$24,2,0)</f>
        <v>2</v>
      </c>
      <c r="K1118" s="45" t="s">
        <v>1255</v>
      </c>
      <c r="L1118" s="46" t="s">
        <v>1258</v>
      </c>
      <c r="M1118" s="21" t="s">
        <v>1259</v>
      </c>
      <c r="N1118" s="48">
        <v>45604</v>
      </c>
      <c r="O1118" s="21">
        <f>INDEX(Auxiliar!$D$5:$F$13,MATCH(Table1[[#This Row],[Tipologia_Testes]],Auxiliar!$B$5:$B$13,0),MATCH(Table1[[#This Row],[Complexidade]],Auxiliar!$D$4:$F$4,0))</f>
        <v>0.1</v>
      </c>
      <c r="P1118" s="43" t="s">
        <v>1356</v>
      </c>
      <c r="Q1118" s="114"/>
      <c r="R1118" s="152">
        <v>45583</v>
      </c>
      <c r="S1118" s="152"/>
      <c r="T1118" s="152">
        <v>45583</v>
      </c>
      <c r="U1118" s="152">
        <v>45596</v>
      </c>
      <c r="V1118" s="152">
        <v>45596</v>
      </c>
      <c r="W1118" s="2">
        <f>VLOOKUP(Table1[[#This Row],[Status]],Auxiliar!$B$16:$D$24,3,0)*Table1[[#This Row],[Estimação (horas)]]</f>
        <v>0.05</v>
      </c>
      <c r="X1118" s="114"/>
    </row>
    <row r="1119" spans="2:24" ht="17.7" customHeight="1" x14ac:dyDescent="0.25">
      <c r="B1119" s="41" t="s">
        <v>26</v>
      </c>
      <c r="C1119" s="41" t="s">
        <v>26</v>
      </c>
      <c r="D1119" s="37" t="s">
        <v>1355</v>
      </c>
      <c r="E1119" s="42" t="s">
        <v>1337</v>
      </c>
      <c r="F1119" s="40" t="s">
        <v>369</v>
      </c>
      <c r="G1119" s="38" t="s">
        <v>373</v>
      </c>
      <c r="H1119" s="60" t="str">
        <f>Table1[[#This Row],[Tabela]]&amp;Table1[[#This Row],[Campo]]</f>
        <v>lt004_protectionepc_lbl</v>
      </c>
      <c r="I1119" s="2" t="s">
        <v>1927</v>
      </c>
      <c r="J1119" s="45">
        <f>VLOOKUP(Table1[[#This Row],[Status]],Auxiliar!$B$16:$C$24,2,0)</f>
        <v>2</v>
      </c>
      <c r="K1119" s="45" t="s">
        <v>1252</v>
      </c>
      <c r="L1119" s="46" t="s">
        <v>1258</v>
      </c>
      <c r="M1119" s="21" t="s">
        <v>1259</v>
      </c>
      <c r="N1119" s="48">
        <v>45604</v>
      </c>
      <c r="O1119" s="21">
        <f>INDEX(Auxiliar!$D$5:$F$13,MATCH(Table1[[#This Row],[Tipologia_Testes]],Auxiliar!$B$5:$B$13,0),MATCH(Table1[[#This Row],[Complexidade]],Auxiliar!$D$4:$F$4,0))</f>
        <v>2</v>
      </c>
      <c r="P1119" s="43" t="s">
        <v>1356</v>
      </c>
      <c r="Q1119" s="114"/>
      <c r="R1119" s="152">
        <v>45583</v>
      </c>
      <c r="S1119" s="152"/>
      <c r="T1119" s="152">
        <v>45583</v>
      </c>
      <c r="U1119" s="152">
        <v>45596</v>
      </c>
      <c r="V1119" s="152">
        <v>45596</v>
      </c>
      <c r="W1119" s="2">
        <f>VLOOKUP(Table1[[#This Row],[Status]],Auxiliar!$B$16:$D$24,3,0)*Table1[[#This Row],[Estimação (horas)]]</f>
        <v>1</v>
      </c>
      <c r="X1119" s="114"/>
    </row>
    <row r="1120" spans="2:24" ht="17.7" customHeight="1" x14ac:dyDescent="0.25">
      <c r="B1120" s="39" t="s">
        <v>26</v>
      </c>
      <c r="C1120" s="39" t="s">
        <v>26</v>
      </c>
      <c r="D1120" s="39" t="s">
        <v>1355</v>
      </c>
      <c r="E1120" s="39" t="s">
        <v>1337</v>
      </c>
      <c r="F1120" s="39" t="s">
        <v>369</v>
      </c>
      <c r="G1120" s="39" t="s">
        <v>373</v>
      </c>
      <c r="H1120" s="59" t="str">
        <f>Table1[[#This Row],[Tabela]]&amp;Table1[[#This Row],[Campo]]</f>
        <v>lt004_protectionepc_lbl</v>
      </c>
      <c r="I1120" s="2" t="s">
        <v>1927</v>
      </c>
      <c r="J1120" s="45">
        <f>VLOOKUP(Table1[[#This Row],[Status]],Auxiliar!$B$16:$C$24,2,0)</f>
        <v>2</v>
      </c>
      <c r="K1120" s="45" t="s">
        <v>1253</v>
      </c>
      <c r="L1120" s="46" t="s">
        <v>1258</v>
      </c>
      <c r="M1120" s="21" t="s">
        <v>1259</v>
      </c>
      <c r="N1120" s="48">
        <v>45604</v>
      </c>
      <c r="O1120" s="21">
        <f>INDEX(Auxiliar!$D$5:$F$13,MATCH(Table1[[#This Row],[Tipologia_Testes]],Auxiliar!$B$5:$B$13,0),MATCH(Table1[[#This Row],[Complexidade]],Auxiliar!$D$4:$F$4,0))</f>
        <v>2</v>
      </c>
      <c r="P1120" s="43" t="s">
        <v>1356</v>
      </c>
      <c r="Q1120" s="114"/>
      <c r="R1120" s="152">
        <v>45583</v>
      </c>
      <c r="S1120" s="152"/>
      <c r="T1120" s="152">
        <v>45583</v>
      </c>
      <c r="U1120" s="152">
        <v>45596</v>
      </c>
      <c r="V1120" s="152">
        <v>45596</v>
      </c>
      <c r="W1120" s="2">
        <f>VLOOKUP(Table1[[#This Row],[Status]],Auxiliar!$B$16:$D$24,3,0)*Table1[[#This Row],[Estimação (horas)]]</f>
        <v>1</v>
      </c>
      <c r="X1120" s="114"/>
    </row>
    <row r="1121" spans="2:24" ht="17.7" customHeight="1" x14ac:dyDescent="0.25">
      <c r="B1121" s="39" t="s">
        <v>26</v>
      </c>
      <c r="C1121" s="39" t="s">
        <v>26</v>
      </c>
      <c r="D1121" s="39" t="s">
        <v>1355</v>
      </c>
      <c r="E1121" s="39" t="s">
        <v>1337</v>
      </c>
      <c r="F1121" s="39" t="s">
        <v>369</v>
      </c>
      <c r="G1121" s="39" t="s">
        <v>373</v>
      </c>
      <c r="H1121" s="59" t="str">
        <f>Table1[[#This Row],[Tabela]]&amp;Table1[[#This Row],[Campo]]</f>
        <v>lt004_protectionepc_lbl</v>
      </c>
      <c r="I1121" s="2" t="s">
        <v>1927</v>
      </c>
      <c r="J1121" s="45">
        <f>VLOOKUP(Table1[[#This Row],[Status]],Auxiliar!$B$16:$C$24,2,0)</f>
        <v>2</v>
      </c>
      <c r="K1121" s="45" t="s">
        <v>1255</v>
      </c>
      <c r="L1121" s="46" t="s">
        <v>1258</v>
      </c>
      <c r="M1121" s="21" t="s">
        <v>1259</v>
      </c>
      <c r="N1121" s="48">
        <v>45604</v>
      </c>
      <c r="O1121" s="21">
        <f>INDEX(Auxiliar!$D$5:$F$13,MATCH(Table1[[#This Row],[Tipologia_Testes]],Auxiliar!$B$5:$B$13,0),MATCH(Table1[[#This Row],[Complexidade]],Auxiliar!$D$4:$F$4,0))</f>
        <v>0.1</v>
      </c>
      <c r="P1121" s="43" t="s">
        <v>1356</v>
      </c>
      <c r="Q1121" s="114"/>
      <c r="R1121" s="152">
        <v>45583</v>
      </c>
      <c r="S1121" s="152"/>
      <c r="T1121" s="152">
        <v>45583</v>
      </c>
      <c r="U1121" s="152">
        <v>45596</v>
      </c>
      <c r="V1121" s="152">
        <v>45596</v>
      </c>
      <c r="W1121" s="2">
        <f>VLOOKUP(Table1[[#This Row],[Status]],Auxiliar!$B$16:$D$24,3,0)*Table1[[#This Row],[Estimação (horas)]]</f>
        <v>0.05</v>
      </c>
      <c r="X1121" s="114"/>
    </row>
    <row r="1122" spans="2:24" ht="52.2" customHeight="1" x14ac:dyDescent="0.25">
      <c r="B1122" s="41" t="s">
        <v>26</v>
      </c>
      <c r="C1122" s="41" t="s">
        <v>26</v>
      </c>
      <c r="D1122" s="36" t="s">
        <v>1357</v>
      </c>
      <c r="E1122" s="40" t="s">
        <v>1358</v>
      </c>
      <c r="F1122" s="40" t="s">
        <v>369</v>
      </c>
      <c r="G1122" s="38" t="s">
        <v>374</v>
      </c>
      <c r="H1122" s="60" t="str">
        <f>Table1[[#This Row],[Tabela]]&amp;Table1[[#This Row],[Campo]]</f>
        <v>lt004_protectionemssns_scp1_prtctn</v>
      </c>
      <c r="I1122" s="2" t="s">
        <v>619</v>
      </c>
      <c r="J1122" s="45">
        <f>VLOOKUP(Table1[[#This Row],[Status]],Auxiliar!$B$16:$C$24,2,0)</f>
        <v>7</v>
      </c>
      <c r="K1122" s="45" t="s">
        <v>1252</v>
      </c>
      <c r="L1122" s="46" t="s">
        <v>1258</v>
      </c>
      <c r="M1122" s="21" t="s">
        <v>1259</v>
      </c>
      <c r="N1122" s="48">
        <v>45625</v>
      </c>
      <c r="O1122" s="21">
        <f>INDEX(Auxiliar!$D$5:$F$13,MATCH(Table1[[#This Row],[Tipologia_Testes]],Auxiliar!$B$5:$B$13,0),MATCH(Table1[[#This Row],[Complexidade]],Auxiliar!$D$4:$F$4,0))</f>
        <v>2</v>
      </c>
      <c r="P1122" s="43" t="s">
        <v>1344</v>
      </c>
      <c r="Q1122" s="114"/>
      <c r="R1122" s="152">
        <v>45622</v>
      </c>
      <c r="S1122" s="152"/>
      <c r="T1122" s="152"/>
      <c r="U1122" s="152"/>
      <c r="V1122" s="152"/>
      <c r="W1122" s="2">
        <f>VLOOKUP(Table1[[#This Row],[Status]],Auxiliar!$B$16:$D$24,3,0)*Table1[[#This Row],[Estimação (horas)]]</f>
        <v>0.5</v>
      </c>
      <c r="X1122" s="114"/>
    </row>
    <row r="1123" spans="2:24" ht="17.7" customHeight="1" x14ac:dyDescent="0.25">
      <c r="B1123" s="39" t="s">
        <v>26</v>
      </c>
      <c r="C1123" s="39" t="s">
        <v>26</v>
      </c>
      <c r="D1123" s="39" t="s">
        <v>1357</v>
      </c>
      <c r="E1123" s="39" t="s">
        <v>1358</v>
      </c>
      <c r="F1123" s="39" t="s">
        <v>369</v>
      </c>
      <c r="G1123" s="39" t="s">
        <v>374</v>
      </c>
      <c r="H1123" s="59" t="str">
        <f>Table1[[#This Row],[Tabela]]&amp;Table1[[#This Row],[Campo]]</f>
        <v>lt004_protectionemssns_scp1_prtctn</v>
      </c>
      <c r="I1123" s="2" t="s">
        <v>619</v>
      </c>
      <c r="J1123" s="45">
        <f>VLOOKUP(Table1[[#This Row],[Status]],Auxiliar!$B$16:$C$24,2,0)</f>
        <v>7</v>
      </c>
      <c r="K1123" s="45" t="s">
        <v>1253</v>
      </c>
      <c r="L1123" s="46" t="s">
        <v>1258</v>
      </c>
      <c r="M1123" s="21" t="s">
        <v>1259</v>
      </c>
      <c r="N1123" s="48">
        <v>45625</v>
      </c>
      <c r="O1123" s="21">
        <f>INDEX(Auxiliar!$D$5:$F$13,MATCH(Table1[[#This Row],[Tipologia_Testes]],Auxiliar!$B$5:$B$13,0),MATCH(Table1[[#This Row],[Complexidade]],Auxiliar!$D$4:$F$4,0))</f>
        <v>2</v>
      </c>
      <c r="P1123" s="43" t="s">
        <v>1344</v>
      </c>
      <c r="Q1123" s="114"/>
      <c r="R1123" s="152">
        <v>45622</v>
      </c>
      <c r="S1123" s="152"/>
      <c r="T1123" s="152"/>
      <c r="U1123" s="152"/>
      <c r="V1123" s="152"/>
      <c r="W1123" s="2">
        <f>VLOOKUP(Table1[[#This Row],[Status]],Auxiliar!$B$16:$D$24,3,0)*Table1[[#This Row],[Estimação (horas)]]</f>
        <v>0.5</v>
      </c>
      <c r="X1123" s="114"/>
    </row>
    <row r="1124" spans="2:24" ht="17.7" customHeight="1" x14ac:dyDescent="0.25">
      <c r="B1124" s="39" t="s">
        <v>26</v>
      </c>
      <c r="C1124" s="39" t="s">
        <v>26</v>
      </c>
      <c r="D1124" s="39" t="s">
        <v>1357</v>
      </c>
      <c r="E1124" s="39" t="s">
        <v>1358</v>
      </c>
      <c r="F1124" s="39" t="s">
        <v>369</v>
      </c>
      <c r="G1124" s="39" t="s">
        <v>374</v>
      </c>
      <c r="H1124" s="59" t="str">
        <f>Table1[[#This Row],[Tabela]]&amp;Table1[[#This Row],[Campo]]</f>
        <v>lt004_protectionemssns_scp1_prtctn</v>
      </c>
      <c r="I1124" s="2" t="s">
        <v>619</v>
      </c>
      <c r="J1124" s="45">
        <f>VLOOKUP(Table1[[#This Row],[Status]],Auxiliar!$B$16:$C$24,2,0)</f>
        <v>7</v>
      </c>
      <c r="K1124" s="45" t="s">
        <v>1255</v>
      </c>
      <c r="L1124" s="46" t="s">
        <v>1258</v>
      </c>
      <c r="M1124" s="21" t="s">
        <v>1259</v>
      </c>
      <c r="N1124" s="48">
        <v>45625</v>
      </c>
      <c r="O1124" s="21">
        <f>INDEX(Auxiliar!$D$5:$F$13,MATCH(Table1[[#This Row],[Tipologia_Testes]],Auxiliar!$B$5:$B$13,0),MATCH(Table1[[#This Row],[Complexidade]],Auxiliar!$D$4:$F$4,0))</f>
        <v>0.1</v>
      </c>
      <c r="P1124" s="43" t="s">
        <v>1344</v>
      </c>
      <c r="Q1124" s="114"/>
      <c r="R1124" s="152">
        <v>45622</v>
      </c>
      <c r="S1124" s="152"/>
      <c r="T1124" s="152"/>
      <c r="U1124" s="152"/>
      <c r="V1124" s="152"/>
      <c r="W1124" s="2">
        <f>VLOOKUP(Table1[[#This Row],[Status]],Auxiliar!$B$16:$D$24,3,0)*Table1[[#This Row],[Estimação (horas)]]</f>
        <v>2.5000000000000001E-2</v>
      </c>
      <c r="X1124" s="114"/>
    </row>
    <row r="1125" spans="2:24" ht="52.2" customHeight="1" x14ac:dyDescent="0.25">
      <c r="B1125" s="41" t="s">
        <v>26</v>
      </c>
      <c r="C1125" s="41" t="s">
        <v>26</v>
      </c>
      <c r="D1125" s="36" t="s">
        <v>1357</v>
      </c>
      <c r="E1125" s="40" t="s">
        <v>1359</v>
      </c>
      <c r="F1125" s="40" t="s">
        <v>369</v>
      </c>
      <c r="G1125" s="38" t="s">
        <v>375</v>
      </c>
      <c r="H1125" s="60" t="str">
        <f>Table1[[#This Row],[Tabela]]&amp;Table1[[#This Row],[Campo]]</f>
        <v>lt004_protectionemssns_scp2_prtctn</v>
      </c>
      <c r="I1125" s="2" t="s">
        <v>619</v>
      </c>
      <c r="J1125" s="45">
        <f>VLOOKUP(Table1[[#This Row],[Status]],Auxiliar!$B$16:$C$24,2,0)</f>
        <v>7</v>
      </c>
      <c r="K1125" s="45" t="s">
        <v>1252</v>
      </c>
      <c r="L1125" s="46" t="s">
        <v>1258</v>
      </c>
      <c r="M1125" s="21" t="s">
        <v>1259</v>
      </c>
      <c r="N1125" s="48">
        <v>45625</v>
      </c>
      <c r="O1125" s="21">
        <f>INDEX(Auxiliar!$D$5:$F$13,MATCH(Table1[[#This Row],[Tipologia_Testes]],Auxiliar!$B$5:$B$13,0),MATCH(Table1[[#This Row],[Complexidade]],Auxiliar!$D$4:$F$4,0))</f>
        <v>2</v>
      </c>
      <c r="P1125" s="43" t="s">
        <v>1344</v>
      </c>
      <c r="Q1125" s="152"/>
      <c r="R1125" s="152">
        <v>45622</v>
      </c>
      <c r="S1125" s="152"/>
      <c r="T1125" s="152"/>
      <c r="U1125" s="152"/>
      <c r="V1125" s="152"/>
      <c r="W1125" s="2">
        <f>VLOOKUP(Table1[[#This Row],[Status]],Auxiliar!$B$16:$D$24,3,0)*Table1[[#This Row],[Estimação (horas)]]</f>
        <v>0.5</v>
      </c>
      <c r="X1125" s="114"/>
    </row>
    <row r="1126" spans="2:24" ht="17.7" customHeight="1" x14ac:dyDescent="0.25">
      <c r="B1126" s="39" t="s">
        <v>26</v>
      </c>
      <c r="C1126" s="39" t="s">
        <v>26</v>
      </c>
      <c r="D1126" s="39" t="s">
        <v>1357</v>
      </c>
      <c r="E1126" s="39" t="s">
        <v>1359</v>
      </c>
      <c r="F1126" s="39" t="s">
        <v>369</v>
      </c>
      <c r="G1126" s="39" t="s">
        <v>375</v>
      </c>
      <c r="H1126" s="59" t="str">
        <f>Table1[[#This Row],[Tabela]]&amp;Table1[[#This Row],[Campo]]</f>
        <v>lt004_protectionemssns_scp2_prtctn</v>
      </c>
      <c r="I1126" s="2" t="s">
        <v>619</v>
      </c>
      <c r="J1126" s="45">
        <f>VLOOKUP(Table1[[#This Row],[Status]],Auxiliar!$B$16:$C$24,2,0)</f>
        <v>7</v>
      </c>
      <c r="K1126" s="45" t="s">
        <v>1253</v>
      </c>
      <c r="L1126" s="46" t="s">
        <v>1258</v>
      </c>
      <c r="M1126" s="21" t="s">
        <v>1259</v>
      </c>
      <c r="N1126" s="48">
        <v>45625</v>
      </c>
      <c r="O1126" s="21">
        <f>INDEX(Auxiliar!$D$5:$F$13,MATCH(Table1[[#This Row],[Tipologia_Testes]],Auxiliar!$B$5:$B$13,0),MATCH(Table1[[#This Row],[Complexidade]],Auxiliar!$D$4:$F$4,0))</f>
        <v>2</v>
      </c>
      <c r="P1126" s="43" t="s">
        <v>1344</v>
      </c>
      <c r="Q1126" s="152"/>
      <c r="R1126" s="152">
        <v>45622</v>
      </c>
      <c r="S1126" s="152"/>
      <c r="T1126" s="152"/>
      <c r="U1126" s="152"/>
      <c r="V1126" s="152"/>
      <c r="W1126" s="2">
        <f>VLOOKUP(Table1[[#This Row],[Status]],Auxiliar!$B$16:$D$24,3,0)*Table1[[#This Row],[Estimação (horas)]]</f>
        <v>0.5</v>
      </c>
      <c r="X1126" s="114"/>
    </row>
    <row r="1127" spans="2:24" ht="17.7" customHeight="1" x14ac:dyDescent="0.25">
      <c r="B1127" s="39" t="s">
        <v>26</v>
      </c>
      <c r="C1127" s="39" t="s">
        <v>26</v>
      </c>
      <c r="D1127" s="39" t="s">
        <v>1357</v>
      </c>
      <c r="E1127" s="39" t="s">
        <v>1359</v>
      </c>
      <c r="F1127" s="39" t="s">
        <v>369</v>
      </c>
      <c r="G1127" s="39" t="s">
        <v>375</v>
      </c>
      <c r="H1127" s="59" t="str">
        <f>Table1[[#This Row],[Tabela]]&amp;Table1[[#This Row],[Campo]]</f>
        <v>lt004_protectionemssns_scp2_prtctn</v>
      </c>
      <c r="I1127" s="2" t="s">
        <v>619</v>
      </c>
      <c r="J1127" s="45">
        <f>VLOOKUP(Table1[[#This Row],[Status]],Auxiliar!$B$16:$C$24,2,0)</f>
        <v>7</v>
      </c>
      <c r="K1127" s="45" t="s">
        <v>1255</v>
      </c>
      <c r="L1127" s="46" t="s">
        <v>1258</v>
      </c>
      <c r="M1127" s="21" t="s">
        <v>1259</v>
      </c>
      <c r="N1127" s="48">
        <v>45625</v>
      </c>
      <c r="O1127" s="21">
        <f>INDEX(Auxiliar!$D$5:$F$13,MATCH(Table1[[#This Row],[Tipologia_Testes]],Auxiliar!$B$5:$B$13,0),MATCH(Table1[[#This Row],[Complexidade]],Auxiliar!$D$4:$F$4,0))</f>
        <v>0.1</v>
      </c>
      <c r="P1127" s="43" t="s">
        <v>1344</v>
      </c>
      <c r="Q1127" s="152"/>
      <c r="R1127" s="152">
        <v>45622</v>
      </c>
      <c r="S1127" s="152"/>
      <c r="T1127" s="152"/>
      <c r="U1127" s="152"/>
      <c r="V1127" s="152"/>
      <c r="W1127" s="2">
        <f>VLOOKUP(Table1[[#This Row],[Status]],Auxiliar!$B$16:$D$24,3,0)*Table1[[#This Row],[Estimação (horas)]]</f>
        <v>2.5000000000000001E-2</v>
      </c>
      <c r="X1127" s="114"/>
    </row>
    <row r="1128" spans="2:24" ht="52.2" customHeight="1" x14ac:dyDescent="0.25">
      <c r="B1128" s="41" t="s">
        <v>26</v>
      </c>
      <c r="C1128" s="41" t="s">
        <v>26</v>
      </c>
      <c r="D1128" s="36" t="s">
        <v>1357</v>
      </c>
      <c r="E1128" s="40" t="s">
        <v>1360</v>
      </c>
      <c r="F1128" s="40" t="s">
        <v>369</v>
      </c>
      <c r="G1128" s="38" t="s">
        <v>376</v>
      </c>
      <c r="H1128" s="60" t="str">
        <f>Table1[[#This Row],[Tabela]]&amp;Table1[[#This Row],[Campo]]</f>
        <v>lt004_protectionemssns_scp3_prtctn</v>
      </c>
      <c r="I1128" s="2" t="s">
        <v>619</v>
      </c>
      <c r="J1128" s="45">
        <f>VLOOKUP(Table1[[#This Row],[Status]],Auxiliar!$B$16:$C$24,2,0)</f>
        <v>7</v>
      </c>
      <c r="K1128" s="45" t="s">
        <v>1252</v>
      </c>
      <c r="L1128" s="46" t="s">
        <v>1258</v>
      </c>
      <c r="M1128" s="21" t="s">
        <v>1259</v>
      </c>
      <c r="N1128" s="48">
        <v>45625</v>
      </c>
      <c r="O1128" s="21">
        <f>INDEX(Auxiliar!$D$5:$F$13,MATCH(Table1[[#This Row],[Tipologia_Testes]],Auxiliar!$B$5:$B$13,0),MATCH(Table1[[#This Row],[Complexidade]],Auxiliar!$D$4:$F$4,0))</f>
        <v>2</v>
      </c>
      <c r="P1128" s="43" t="s">
        <v>1344</v>
      </c>
      <c r="Q1128" s="152"/>
      <c r="R1128" s="152">
        <v>45622</v>
      </c>
      <c r="S1128" s="152"/>
      <c r="T1128" s="152"/>
      <c r="U1128" s="152"/>
      <c r="V1128" s="152"/>
      <c r="W1128" s="2">
        <f>VLOOKUP(Table1[[#This Row],[Status]],Auxiliar!$B$16:$D$24,3,0)*Table1[[#This Row],[Estimação (horas)]]</f>
        <v>0.5</v>
      </c>
      <c r="X1128" s="114"/>
    </row>
    <row r="1129" spans="2:24" ht="17.7" customHeight="1" x14ac:dyDescent="0.25">
      <c r="B1129" s="39" t="s">
        <v>26</v>
      </c>
      <c r="C1129" s="39" t="s">
        <v>26</v>
      </c>
      <c r="D1129" s="39" t="s">
        <v>1357</v>
      </c>
      <c r="E1129" s="39" t="s">
        <v>1360</v>
      </c>
      <c r="F1129" s="39" t="s">
        <v>369</v>
      </c>
      <c r="G1129" s="39" t="s">
        <v>376</v>
      </c>
      <c r="H1129" s="59" t="str">
        <f>Table1[[#This Row],[Tabela]]&amp;Table1[[#This Row],[Campo]]</f>
        <v>lt004_protectionemssns_scp3_prtctn</v>
      </c>
      <c r="I1129" s="2" t="s">
        <v>619</v>
      </c>
      <c r="J1129" s="45">
        <f>VLOOKUP(Table1[[#This Row],[Status]],Auxiliar!$B$16:$C$24,2,0)</f>
        <v>7</v>
      </c>
      <c r="K1129" s="45" t="s">
        <v>1253</v>
      </c>
      <c r="L1129" s="46" t="s">
        <v>1258</v>
      </c>
      <c r="M1129" s="21" t="s">
        <v>1259</v>
      </c>
      <c r="N1129" s="48">
        <v>45625</v>
      </c>
      <c r="O1129" s="21">
        <f>INDEX(Auxiliar!$D$5:$F$13,MATCH(Table1[[#This Row],[Tipologia_Testes]],Auxiliar!$B$5:$B$13,0),MATCH(Table1[[#This Row],[Complexidade]],Auxiliar!$D$4:$F$4,0))</f>
        <v>2</v>
      </c>
      <c r="P1129" s="43" t="s">
        <v>1344</v>
      </c>
      <c r="Q1129" s="152"/>
      <c r="R1129" s="152">
        <v>45622</v>
      </c>
      <c r="S1129" s="152"/>
      <c r="T1129" s="152"/>
      <c r="U1129" s="152"/>
      <c r="V1129" s="152"/>
      <c r="W1129" s="2">
        <f>VLOOKUP(Table1[[#This Row],[Status]],Auxiliar!$B$16:$D$24,3,0)*Table1[[#This Row],[Estimação (horas)]]</f>
        <v>0.5</v>
      </c>
      <c r="X1129" s="114"/>
    </row>
    <row r="1130" spans="2:24" ht="17.7" customHeight="1" x14ac:dyDescent="0.25">
      <c r="B1130" s="39" t="s">
        <v>26</v>
      </c>
      <c r="C1130" s="39" t="s">
        <v>26</v>
      </c>
      <c r="D1130" s="39" t="s">
        <v>1357</v>
      </c>
      <c r="E1130" s="39" t="s">
        <v>1360</v>
      </c>
      <c r="F1130" s="39" t="s">
        <v>369</v>
      </c>
      <c r="G1130" s="39" t="s">
        <v>376</v>
      </c>
      <c r="H1130" s="59" t="str">
        <f>Table1[[#This Row],[Tabela]]&amp;Table1[[#This Row],[Campo]]</f>
        <v>lt004_protectionemssns_scp3_prtctn</v>
      </c>
      <c r="I1130" s="2" t="s">
        <v>619</v>
      </c>
      <c r="J1130" s="45">
        <f>VLOOKUP(Table1[[#This Row],[Status]],Auxiliar!$B$16:$C$24,2,0)</f>
        <v>7</v>
      </c>
      <c r="K1130" s="45" t="s">
        <v>1255</v>
      </c>
      <c r="L1130" s="46" t="s">
        <v>1258</v>
      </c>
      <c r="M1130" s="21" t="s">
        <v>1259</v>
      </c>
      <c r="N1130" s="48">
        <v>45625</v>
      </c>
      <c r="O1130" s="21">
        <f>INDEX(Auxiliar!$D$5:$F$13,MATCH(Table1[[#This Row],[Tipologia_Testes]],Auxiliar!$B$5:$B$13,0),MATCH(Table1[[#This Row],[Complexidade]],Auxiliar!$D$4:$F$4,0))</f>
        <v>0.1</v>
      </c>
      <c r="P1130" s="43" t="s">
        <v>1344</v>
      </c>
      <c r="Q1130" s="152"/>
      <c r="R1130" s="152">
        <v>45622</v>
      </c>
      <c r="S1130" s="152"/>
      <c r="T1130" s="152"/>
      <c r="U1130" s="152"/>
      <c r="V1130" s="152"/>
      <c r="W1130" s="2">
        <f>VLOOKUP(Table1[[#This Row],[Status]],Auxiliar!$B$16:$D$24,3,0)*Table1[[#This Row],[Estimação (horas)]]</f>
        <v>2.5000000000000001E-2</v>
      </c>
      <c r="X1130" s="114"/>
    </row>
    <row r="1131" spans="2:24" ht="17.7" customHeight="1" x14ac:dyDescent="0.25">
      <c r="B1131" s="41" t="s">
        <v>26</v>
      </c>
      <c r="C1131" s="41" t="s">
        <v>26</v>
      </c>
      <c r="D1131" s="37" t="s">
        <v>1355</v>
      </c>
      <c r="E1131" s="42" t="s">
        <v>1337</v>
      </c>
      <c r="F1131" s="40" t="s">
        <v>369</v>
      </c>
      <c r="G1131" s="38" t="s">
        <v>377</v>
      </c>
      <c r="H1131" s="60" t="str">
        <f>Table1[[#This Row],[Tabela]]&amp;Table1[[#This Row],[Campo]]</f>
        <v>lt004_protectionmthd_usd_prtctn_scp_1</v>
      </c>
      <c r="I1131" s="2" t="s">
        <v>619</v>
      </c>
      <c r="J1131" s="45">
        <f>VLOOKUP(Table1[[#This Row],[Status]],Auxiliar!$B$16:$C$24,2,0)</f>
        <v>7</v>
      </c>
      <c r="K1131" s="45" t="s">
        <v>1252</v>
      </c>
      <c r="L1131" s="46" t="s">
        <v>1258</v>
      </c>
      <c r="M1131" s="21" t="s">
        <v>1259</v>
      </c>
      <c r="N1131" s="48">
        <v>45625</v>
      </c>
      <c r="O1131" s="21">
        <f>INDEX(Auxiliar!$D$5:$F$13,MATCH(Table1[[#This Row],[Tipologia_Testes]],Auxiliar!$B$5:$B$13,0),MATCH(Table1[[#This Row],[Complexidade]],Auxiliar!$D$4:$F$4,0))</f>
        <v>2</v>
      </c>
      <c r="P1131" s="43" t="s">
        <v>1356</v>
      </c>
      <c r="Q1131" s="152"/>
      <c r="R1131" s="152">
        <v>45622</v>
      </c>
      <c r="S1131" s="152"/>
      <c r="T1131" s="152"/>
      <c r="U1131" s="152"/>
      <c r="V1131" s="152"/>
      <c r="W1131" s="2">
        <f>VLOOKUP(Table1[[#This Row],[Status]],Auxiliar!$B$16:$D$24,3,0)*Table1[[#This Row],[Estimação (horas)]]</f>
        <v>0.5</v>
      </c>
      <c r="X1131" s="114"/>
    </row>
    <row r="1132" spans="2:24" ht="17.7" customHeight="1" x14ac:dyDescent="0.25">
      <c r="B1132" s="39" t="s">
        <v>26</v>
      </c>
      <c r="C1132" s="39" t="s">
        <v>26</v>
      </c>
      <c r="D1132" s="39" t="s">
        <v>1355</v>
      </c>
      <c r="E1132" s="39" t="s">
        <v>1337</v>
      </c>
      <c r="F1132" s="39" t="s">
        <v>369</v>
      </c>
      <c r="G1132" s="39" t="s">
        <v>377</v>
      </c>
      <c r="H1132" s="59" t="str">
        <f>Table1[[#This Row],[Tabela]]&amp;Table1[[#This Row],[Campo]]</f>
        <v>lt004_protectionmthd_usd_prtctn_scp_1</v>
      </c>
      <c r="I1132" s="2" t="s">
        <v>619</v>
      </c>
      <c r="J1132" s="45">
        <f>VLOOKUP(Table1[[#This Row],[Status]],Auxiliar!$B$16:$C$24,2,0)</f>
        <v>7</v>
      </c>
      <c r="K1132" s="45" t="s">
        <v>1253</v>
      </c>
      <c r="L1132" s="46" t="s">
        <v>1258</v>
      </c>
      <c r="M1132" s="21" t="s">
        <v>1259</v>
      </c>
      <c r="N1132" s="48">
        <v>45625</v>
      </c>
      <c r="O1132" s="21">
        <f>INDEX(Auxiliar!$D$5:$F$13,MATCH(Table1[[#This Row],[Tipologia_Testes]],Auxiliar!$B$5:$B$13,0),MATCH(Table1[[#This Row],[Complexidade]],Auxiliar!$D$4:$F$4,0))</f>
        <v>2</v>
      </c>
      <c r="P1132" s="43" t="s">
        <v>1356</v>
      </c>
      <c r="Q1132" s="152"/>
      <c r="R1132" s="152">
        <v>45622</v>
      </c>
      <c r="S1132" s="152"/>
      <c r="T1132" s="152"/>
      <c r="U1132" s="152"/>
      <c r="V1132" s="152"/>
      <c r="W1132" s="2">
        <f>VLOOKUP(Table1[[#This Row],[Status]],Auxiliar!$B$16:$D$24,3,0)*Table1[[#This Row],[Estimação (horas)]]</f>
        <v>0.5</v>
      </c>
      <c r="X1132" s="114"/>
    </row>
    <row r="1133" spans="2:24" ht="17.7" customHeight="1" x14ac:dyDescent="0.25">
      <c r="B1133" s="39" t="s">
        <v>26</v>
      </c>
      <c r="C1133" s="39" t="s">
        <v>26</v>
      </c>
      <c r="D1133" s="39" t="s">
        <v>1355</v>
      </c>
      <c r="E1133" s="39" t="s">
        <v>1337</v>
      </c>
      <c r="F1133" s="39" t="s">
        <v>369</v>
      </c>
      <c r="G1133" s="39" t="s">
        <v>377</v>
      </c>
      <c r="H1133" s="59" t="str">
        <f>Table1[[#This Row],[Tabela]]&amp;Table1[[#This Row],[Campo]]</f>
        <v>lt004_protectionmthd_usd_prtctn_scp_1</v>
      </c>
      <c r="I1133" s="2" t="s">
        <v>619</v>
      </c>
      <c r="J1133" s="45">
        <f>VLOOKUP(Table1[[#This Row],[Status]],Auxiliar!$B$16:$C$24,2,0)</f>
        <v>7</v>
      </c>
      <c r="K1133" s="45" t="s">
        <v>1255</v>
      </c>
      <c r="L1133" s="46" t="s">
        <v>1258</v>
      </c>
      <c r="M1133" s="21" t="s">
        <v>1259</v>
      </c>
      <c r="N1133" s="48">
        <v>45625</v>
      </c>
      <c r="O1133" s="21">
        <f>INDEX(Auxiliar!$D$5:$F$13,MATCH(Table1[[#This Row],[Tipologia_Testes]],Auxiliar!$B$5:$B$13,0),MATCH(Table1[[#This Row],[Complexidade]],Auxiliar!$D$4:$F$4,0))</f>
        <v>0.1</v>
      </c>
      <c r="P1133" s="43" t="s">
        <v>1356</v>
      </c>
      <c r="Q1133" s="152"/>
      <c r="R1133" s="152">
        <v>45622</v>
      </c>
      <c r="S1133" s="152"/>
      <c r="T1133" s="152"/>
      <c r="U1133" s="152"/>
      <c r="V1133" s="152"/>
      <c r="W1133" s="2">
        <f>VLOOKUP(Table1[[#This Row],[Status]],Auxiliar!$B$16:$D$24,3,0)*Table1[[#This Row],[Estimação (horas)]]</f>
        <v>2.5000000000000001E-2</v>
      </c>
      <c r="X1133" s="114"/>
    </row>
    <row r="1134" spans="2:24" ht="17.7" customHeight="1" x14ac:dyDescent="0.25">
      <c r="B1134" s="41" t="s">
        <v>26</v>
      </c>
      <c r="C1134" s="41" t="s">
        <v>26</v>
      </c>
      <c r="D1134" s="37" t="s">
        <v>1355</v>
      </c>
      <c r="E1134" s="42" t="s">
        <v>1337</v>
      </c>
      <c r="F1134" s="40" t="s">
        <v>369</v>
      </c>
      <c r="G1134" s="38" t="s">
        <v>378</v>
      </c>
      <c r="H1134" s="60" t="str">
        <f>Table1[[#This Row],[Tabela]]&amp;Table1[[#This Row],[Campo]]</f>
        <v>lt004_protectionmthd_usd_prtctn_scp_2</v>
      </c>
      <c r="I1134" s="2" t="s">
        <v>619</v>
      </c>
      <c r="J1134" s="45">
        <f>VLOOKUP(Table1[[#This Row],[Status]],Auxiliar!$B$16:$C$24,2,0)</f>
        <v>7</v>
      </c>
      <c r="K1134" s="45" t="s">
        <v>1252</v>
      </c>
      <c r="L1134" s="46" t="s">
        <v>1258</v>
      </c>
      <c r="M1134" s="21" t="s">
        <v>1259</v>
      </c>
      <c r="N1134" s="48">
        <v>45625</v>
      </c>
      <c r="O1134" s="21">
        <f>INDEX(Auxiliar!$D$5:$F$13,MATCH(Table1[[#This Row],[Tipologia_Testes]],Auxiliar!$B$5:$B$13,0),MATCH(Table1[[#This Row],[Complexidade]],Auxiliar!$D$4:$F$4,0))</f>
        <v>2</v>
      </c>
      <c r="P1134" s="43" t="s">
        <v>1356</v>
      </c>
      <c r="Q1134" s="152"/>
      <c r="R1134" s="152">
        <v>45622</v>
      </c>
      <c r="S1134" s="152"/>
      <c r="T1134" s="152"/>
      <c r="U1134" s="152"/>
      <c r="V1134" s="152"/>
      <c r="W1134" s="2">
        <f>VLOOKUP(Table1[[#This Row],[Status]],Auxiliar!$B$16:$D$24,3,0)*Table1[[#This Row],[Estimação (horas)]]</f>
        <v>0.5</v>
      </c>
      <c r="X1134" s="114"/>
    </row>
    <row r="1135" spans="2:24" ht="17.7" customHeight="1" x14ac:dyDescent="0.25">
      <c r="B1135" s="39" t="s">
        <v>26</v>
      </c>
      <c r="C1135" s="39" t="s">
        <v>26</v>
      </c>
      <c r="D1135" s="39" t="s">
        <v>1355</v>
      </c>
      <c r="E1135" s="39" t="s">
        <v>1337</v>
      </c>
      <c r="F1135" s="39" t="s">
        <v>369</v>
      </c>
      <c r="G1135" s="39" t="s">
        <v>378</v>
      </c>
      <c r="H1135" s="59" t="str">
        <f>Table1[[#This Row],[Tabela]]&amp;Table1[[#This Row],[Campo]]</f>
        <v>lt004_protectionmthd_usd_prtctn_scp_2</v>
      </c>
      <c r="I1135" s="2" t="s">
        <v>619</v>
      </c>
      <c r="J1135" s="45">
        <f>VLOOKUP(Table1[[#This Row],[Status]],Auxiliar!$B$16:$C$24,2,0)</f>
        <v>7</v>
      </c>
      <c r="K1135" s="45" t="s">
        <v>1253</v>
      </c>
      <c r="L1135" s="46" t="s">
        <v>1258</v>
      </c>
      <c r="M1135" s="21" t="s">
        <v>1259</v>
      </c>
      <c r="N1135" s="48">
        <v>45625</v>
      </c>
      <c r="O1135" s="21">
        <f>INDEX(Auxiliar!$D$5:$F$13,MATCH(Table1[[#This Row],[Tipologia_Testes]],Auxiliar!$B$5:$B$13,0),MATCH(Table1[[#This Row],[Complexidade]],Auxiliar!$D$4:$F$4,0))</f>
        <v>2</v>
      </c>
      <c r="P1135" s="43" t="s">
        <v>1356</v>
      </c>
      <c r="Q1135" s="152"/>
      <c r="R1135" s="152">
        <v>45622</v>
      </c>
      <c r="S1135" s="152"/>
      <c r="T1135" s="152"/>
      <c r="U1135" s="152"/>
      <c r="V1135" s="152"/>
      <c r="W1135" s="2">
        <f>VLOOKUP(Table1[[#This Row],[Status]],Auxiliar!$B$16:$D$24,3,0)*Table1[[#This Row],[Estimação (horas)]]</f>
        <v>0.5</v>
      </c>
      <c r="X1135" s="114"/>
    </row>
    <row r="1136" spans="2:24" ht="17.7" customHeight="1" x14ac:dyDescent="0.25">
      <c r="B1136" s="39" t="s">
        <v>26</v>
      </c>
      <c r="C1136" s="39" t="s">
        <v>26</v>
      </c>
      <c r="D1136" s="39" t="s">
        <v>1355</v>
      </c>
      <c r="E1136" s="39" t="s">
        <v>1337</v>
      </c>
      <c r="F1136" s="39" t="s">
        <v>369</v>
      </c>
      <c r="G1136" s="39" t="s">
        <v>378</v>
      </c>
      <c r="H1136" s="59" t="str">
        <f>Table1[[#This Row],[Tabela]]&amp;Table1[[#This Row],[Campo]]</f>
        <v>lt004_protectionmthd_usd_prtctn_scp_2</v>
      </c>
      <c r="I1136" s="2" t="s">
        <v>619</v>
      </c>
      <c r="J1136" s="45">
        <f>VLOOKUP(Table1[[#This Row],[Status]],Auxiliar!$B$16:$C$24,2,0)</f>
        <v>7</v>
      </c>
      <c r="K1136" s="45" t="s">
        <v>1255</v>
      </c>
      <c r="L1136" s="46" t="s">
        <v>1258</v>
      </c>
      <c r="M1136" s="21" t="s">
        <v>1259</v>
      </c>
      <c r="N1136" s="48">
        <v>45625</v>
      </c>
      <c r="O1136" s="21">
        <f>INDEX(Auxiliar!$D$5:$F$13,MATCH(Table1[[#This Row],[Tipologia_Testes]],Auxiliar!$B$5:$B$13,0),MATCH(Table1[[#This Row],[Complexidade]],Auxiliar!$D$4:$F$4,0))</f>
        <v>0.1</v>
      </c>
      <c r="P1136" s="43" t="s">
        <v>1356</v>
      </c>
      <c r="Q1136" s="152"/>
      <c r="R1136" s="152">
        <v>45622</v>
      </c>
      <c r="S1136" s="152"/>
      <c r="T1136" s="152"/>
      <c r="U1136" s="152"/>
      <c r="V1136" s="152"/>
      <c r="W1136" s="2">
        <f>VLOOKUP(Table1[[#This Row],[Status]],Auxiliar!$B$16:$D$24,3,0)*Table1[[#This Row],[Estimação (horas)]]</f>
        <v>2.5000000000000001E-2</v>
      </c>
      <c r="X1136" s="114"/>
    </row>
    <row r="1137" spans="2:24" ht="17.7" customHeight="1" x14ac:dyDescent="0.25">
      <c r="B1137" s="41" t="s">
        <v>26</v>
      </c>
      <c r="C1137" s="41" t="s">
        <v>26</v>
      </c>
      <c r="D1137" s="37" t="s">
        <v>1355</v>
      </c>
      <c r="E1137" s="42" t="s">
        <v>1337</v>
      </c>
      <c r="F1137" s="40" t="s">
        <v>369</v>
      </c>
      <c r="G1137" s="38" t="s">
        <v>379</v>
      </c>
      <c r="H1137" s="60" t="str">
        <f>Table1[[#This Row],[Tabela]]&amp;Table1[[#This Row],[Campo]]</f>
        <v>lt004_protectionmthd_usd_prtctn_scp_3</v>
      </c>
      <c r="I1137" s="2" t="s">
        <v>619</v>
      </c>
      <c r="J1137" s="45">
        <f>VLOOKUP(Table1[[#This Row],[Status]],Auxiliar!$B$16:$C$24,2,0)</f>
        <v>7</v>
      </c>
      <c r="K1137" s="45" t="s">
        <v>1252</v>
      </c>
      <c r="L1137" s="46" t="s">
        <v>1258</v>
      </c>
      <c r="M1137" s="21" t="s">
        <v>1259</v>
      </c>
      <c r="N1137" s="48">
        <v>45625</v>
      </c>
      <c r="O1137" s="21">
        <f>INDEX(Auxiliar!$D$5:$F$13,MATCH(Table1[[#This Row],[Tipologia_Testes]],Auxiliar!$B$5:$B$13,0),MATCH(Table1[[#This Row],[Complexidade]],Auxiliar!$D$4:$F$4,0))</f>
        <v>2</v>
      </c>
      <c r="P1137" s="43" t="s">
        <v>1356</v>
      </c>
      <c r="Q1137" s="152"/>
      <c r="R1137" s="152">
        <v>45622</v>
      </c>
      <c r="S1137" s="152"/>
      <c r="T1137" s="152"/>
      <c r="U1137" s="152"/>
      <c r="V1137" s="152"/>
      <c r="W1137" s="2">
        <f>VLOOKUP(Table1[[#This Row],[Status]],Auxiliar!$B$16:$D$24,3,0)*Table1[[#This Row],[Estimação (horas)]]</f>
        <v>0.5</v>
      </c>
      <c r="X1137" s="114"/>
    </row>
    <row r="1138" spans="2:24" ht="17.7" customHeight="1" x14ac:dyDescent="0.25">
      <c r="B1138" s="39" t="s">
        <v>26</v>
      </c>
      <c r="C1138" s="39" t="s">
        <v>26</v>
      </c>
      <c r="D1138" s="39" t="s">
        <v>1355</v>
      </c>
      <c r="E1138" s="39" t="s">
        <v>1337</v>
      </c>
      <c r="F1138" s="39" t="s">
        <v>369</v>
      </c>
      <c r="G1138" s="39" t="s">
        <v>379</v>
      </c>
      <c r="H1138" s="59" t="str">
        <f>Table1[[#This Row],[Tabela]]&amp;Table1[[#This Row],[Campo]]</f>
        <v>lt004_protectionmthd_usd_prtctn_scp_3</v>
      </c>
      <c r="I1138" s="2" t="s">
        <v>619</v>
      </c>
      <c r="J1138" s="45">
        <f>VLOOKUP(Table1[[#This Row],[Status]],Auxiliar!$B$16:$C$24,2,0)</f>
        <v>7</v>
      </c>
      <c r="K1138" s="45" t="s">
        <v>1253</v>
      </c>
      <c r="L1138" s="46" t="s">
        <v>1258</v>
      </c>
      <c r="M1138" s="21" t="s">
        <v>1259</v>
      </c>
      <c r="N1138" s="48">
        <v>45625</v>
      </c>
      <c r="O1138" s="21">
        <f>INDEX(Auxiliar!$D$5:$F$13,MATCH(Table1[[#This Row],[Tipologia_Testes]],Auxiliar!$B$5:$B$13,0),MATCH(Table1[[#This Row],[Complexidade]],Auxiliar!$D$4:$F$4,0))</f>
        <v>2</v>
      </c>
      <c r="P1138" s="43" t="s">
        <v>1356</v>
      </c>
      <c r="Q1138" s="152"/>
      <c r="R1138" s="152">
        <v>45622</v>
      </c>
      <c r="S1138" s="152"/>
      <c r="T1138" s="152"/>
      <c r="U1138" s="152"/>
      <c r="V1138" s="152"/>
      <c r="W1138" s="2">
        <f>VLOOKUP(Table1[[#This Row],[Status]],Auxiliar!$B$16:$D$24,3,0)*Table1[[#This Row],[Estimação (horas)]]</f>
        <v>0.5</v>
      </c>
      <c r="X1138" s="114"/>
    </row>
    <row r="1139" spans="2:24" ht="17.7" customHeight="1" x14ac:dyDescent="0.25">
      <c r="B1139" s="39" t="s">
        <v>26</v>
      </c>
      <c r="C1139" s="39" t="s">
        <v>26</v>
      </c>
      <c r="D1139" s="39" t="s">
        <v>1355</v>
      </c>
      <c r="E1139" s="39" t="s">
        <v>1337</v>
      </c>
      <c r="F1139" s="39" t="s">
        <v>369</v>
      </c>
      <c r="G1139" s="39" t="s">
        <v>379</v>
      </c>
      <c r="H1139" s="59" t="str">
        <f>Table1[[#This Row],[Tabela]]&amp;Table1[[#This Row],[Campo]]</f>
        <v>lt004_protectionmthd_usd_prtctn_scp_3</v>
      </c>
      <c r="I1139" s="2" t="s">
        <v>619</v>
      </c>
      <c r="J1139" s="45">
        <f>VLOOKUP(Table1[[#This Row],[Status]],Auxiliar!$B$16:$C$24,2,0)</f>
        <v>7</v>
      </c>
      <c r="K1139" s="45" t="s">
        <v>1255</v>
      </c>
      <c r="L1139" s="46" t="s">
        <v>1258</v>
      </c>
      <c r="M1139" s="21" t="s">
        <v>1259</v>
      </c>
      <c r="N1139" s="48">
        <v>45625</v>
      </c>
      <c r="O1139" s="21">
        <f>INDEX(Auxiliar!$D$5:$F$13,MATCH(Table1[[#This Row],[Tipologia_Testes]],Auxiliar!$B$5:$B$13,0),MATCH(Table1[[#This Row],[Complexidade]],Auxiliar!$D$4:$F$4,0))</f>
        <v>0.1</v>
      </c>
      <c r="P1139" s="43" t="s">
        <v>1356</v>
      </c>
      <c r="Q1139" s="152"/>
      <c r="R1139" s="152">
        <v>45622</v>
      </c>
      <c r="S1139" s="152"/>
      <c r="T1139" s="152"/>
      <c r="U1139" s="152"/>
      <c r="V1139" s="152"/>
      <c r="W1139" s="2">
        <f>VLOOKUP(Table1[[#This Row],[Status]],Auxiliar!$B$16:$D$24,3,0)*Table1[[#This Row],[Estimação (horas)]]</f>
        <v>2.5000000000000001E-2</v>
      </c>
      <c r="X1139" s="114"/>
    </row>
    <row r="1140" spans="2:24" ht="34.950000000000003" customHeight="1" x14ac:dyDescent="0.25">
      <c r="B1140" s="41" t="s">
        <v>26</v>
      </c>
      <c r="C1140" s="41" t="s">
        <v>26</v>
      </c>
      <c r="D1140" s="36" t="s">
        <v>312</v>
      </c>
      <c r="E1140" s="40" t="s">
        <v>283</v>
      </c>
      <c r="F1140" s="40" t="s">
        <v>369</v>
      </c>
      <c r="G1140" s="38" t="s">
        <v>358</v>
      </c>
      <c r="H1140" s="60" t="str">
        <f>Table1[[#This Row],[Tabela]]&amp;Table1[[#This Row],[Campo]]</f>
        <v>lt004_protectionflg_act_physcl_rsk</v>
      </c>
      <c r="I1140" s="2" t="s">
        <v>615</v>
      </c>
      <c r="J1140" s="45">
        <f>VLOOKUP(Table1[[#This Row],[Status]],Auxiliar!$B$16:$C$24,2,0)</f>
        <v>4</v>
      </c>
      <c r="K1140" s="45" t="s">
        <v>1252</v>
      </c>
      <c r="L1140" s="46" t="s">
        <v>1258</v>
      </c>
      <c r="M1140" s="21" t="s">
        <v>1259</v>
      </c>
      <c r="N1140" s="48">
        <v>45604</v>
      </c>
      <c r="O1140" s="21">
        <f>INDEX(Auxiliar!$D$5:$F$13,MATCH(Table1[[#This Row],[Tipologia_Testes]],Auxiliar!$B$5:$B$13,0),MATCH(Table1[[#This Row],[Complexidade]],Auxiliar!$D$4:$F$4,0))</f>
        <v>2</v>
      </c>
      <c r="P1140" s="43" t="s">
        <v>1344</v>
      </c>
      <c r="Q1140" s="152"/>
      <c r="R1140" s="152">
        <v>45583</v>
      </c>
      <c r="S1140" s="152"/>
      <c r="T1140" s="152">
        <v>45583</v>
      </c>
      <c r="U1140" s="152">
        <v>45596</v>
      </c>
      <c r="V1140" s="152">
        <v>45596</v>
      </c>
      <c r="W1140" s="2">
        <f>VLOOKUP(Table1[[#This Row],[Status]],Auxiliar!$B$16:$D$24,3,0)*Table1[[#This Row],[Estimação (horas)]]</f>
        <v>0.5</v>
      </c>
      <c r="X1140" s="114"/>
    </row>
    <row r="1141" spans="2:24" ht="17.7" customHeight="1" x14ac:dyDescent="0.25">
      <c r="B1141" s="39" t="s">
        <v>26</v>
      </c>
      <c r="C1141" s="39" t="s">
        <v>26</v>
      </c>
      <c r="D1141" s="39" t="s">
        <v>312</v>
      </c>
      <c r="E1141" s="39" t="s">
        <v>283</v>
      </c>
      <c r="F1141" s="39" t="s">
        <v>369</v>
      </c>
      <c r="G1141" s="39" t="s">
        <v>358</v>
      </c>
      <c r="H1141" s="59" t="str">
        <f>Table1[[#This Row],[Tabela]]&amp;Table1[[#This Row],[Campo]]</f>
        <v>lt004_protectionflg_act_physcl_rsk</v>
      </c>
      <c r="I1141" s="2" t="s">
        <v>615</v>
      </c>
      <c r="J1141" s="45">
        <f>VLOOKUP(Table1[[#This Row],[Status]],Auxiliar!$B$16:$C$24,2,0)</f>
        <v>4</v>
      </c>
      <c r="K1141" s="45" t="s">
        <v>1253</v>
      </c>
      <c r="L1141" s="46" t="s">
        <v>1258</v>
      </c>
      <c r="M1141" s="21" t="s">
        <v>1259</v>
      </c>
      <c r="N1141" s="48">
        <v>45604</v>
      </c>
      <c r="O1141" s="21">
        <f>INDEX(Auxiliar!$D$5:$F$13,MATCH(Table1[[#This Row],[Tipologia_Testes]],Auxiliar!$B$5:$B$13,0),MATCH(Table1[[#This Row],[Complexidade]],Auxiliar!$D$4:$F$4,0))</f>
        <v>2</v>
      </c>
      <c r="P1141" s="43" t="s">
        <v>1344</v>
      </c>
      <c r="Q1141" s="152"/>
      <c r="R1141" s="152">
        <v>45583</v>
      </c>
      <c r="S1141" s="152"/>
      <c r="T1141" s="152">
        <v>45583</v>
      </c>
      <c r="U1141" s="152">
        <v>45596</v>
      </c>
      <c r="V1141" s="152">
        <v>45596</v>
      </c>
      <c r="W1141" s="2">
        <f>VLOOKUP(Table1[[#This Row],[Status]],Auxiliar!$B$16:$D$24,3,0)*Table1[[#This Row],[Estimação (horas)]]</f>
        <v>0.5</v>
      </c>
      <c r="X1141" s="114"/>
    </row>
    <row r="1142" spans="2:24" ht="17.7" customHeight="1" x14ac:dyDescent="0.25">
      <c r="B1142" s="39" t="s">
        <v>26</v>
      </c>
      <c r="C1142" s="39" t="s">
        <v>26</v>
      </c>
      <c r="D1142" s="39" t="s">
        <v>312</v>
      </c>
      <c r="E1142" s="39" t="s">
        <v>283</v>
      </c>
      <c r="F1142" s="39" t="s">
        <v>369</v>
      </c>
      <c r="G1142" s="39" t="s">
        <v>358</v>
      </c>
      <c r="H1142" s="59" t="str">
        <f>Table1[[#This Row],[Tabela]]&amp;Table1[[#This Row],[Campo]]</f>
        <v>lt004_protectionflg_act_physcl_rsk</v>
      </c>
      <c r="I1142" s="2" t="s">
        <v>615</v>
      </c>
      <c r="J1142" s="45">
        <f>VLOOKUP(Table1[[#This Row],[Status]],Auxiliar!$B$16:$C$24,2,0)</f>
        <v>4</v>
      </c>
      <c r="K1142" s="45" t="s">
        <v>1255</v>
      </c>
      <c r="L1142" s="46" t="s">
        <v>1258</v>
      </c>
      <c r="M1142" s="21" t="s">
        <v>1259</v>
      </c>
      <c r="N1142" s="48">
        <v>45604</v>
      </c>
      <c r="O1142" s="21">
        <f>INDEX(Auxiliar!$D$5:$F$13,MATCH(Table1[[#This Row],[Tipologia_Testes]],Auxiliar!$B$5:$B$13,0),MATCH(Table1[[#This Row],[Complexidade]],Auxiliar!$D$4:$F$4,0))</f>
        <v>0.1</v>
      </c>
      <c r="P1142" s="43" t="s">
        <v>1344</v>
      </c>
      <c r="Q1142" s="152"/>
      <c r="R1142" s="152">
        <v>45583</v>
      </c>
      <c r="S1142" s="152"/>
      <c r="T1142" s="152">
        <v>45583</v>
      </c>
      <c r="U1142" s="152">
        <v>45596</v>
      </c>
      <c r="V1142" s="152">
        <v>45596</v>
      </c>
      <c r="W1142" s="2">
        <f>VLOOKUP(Table1[[#This Row],[Status]],Auxiliar!$B$16:$D$24,3,0)*Table1[[#This Row],[Estimação (horas)]]</f>
        <v>2.5000000000000001E-2</v>
      </c>
      <c r="X1142" s="114"/>
    </row>
    <row r="1143" spans="2:24" ht="34.950000000000003" customHeight="1" x14ac:dyDescent="0.25">
      <c r="B1143" s="41" t="s">
        <v>26</v>
      </c>
      <c r="C1143" s="41" t="s">
        <v>26</v>
      </c>
      <c r="D1143" s="36" t="s">
        <v>312</v>
      </c>
      <c r="E1143" s="40" t="s">
        <v>284</v>
      </c>
      <c r="F1143" s="40" t="s">
        <v>369</v>
      </c>
      <c r="G1143" s="38" t="s">
        <v>359</v>
      </c>
      <c r="H1143" s="60" t="str">
        <f>Table1[[#This Row],[Tabela]]&amp;Table1[[#This Row],[Campo]]</f>
        <v>lt004_protectionflg_chrnc_physcl_rsk</v>
      </c>
      <c r="I1143" s="2" t="s">
        <v>615</v>
      </c>
      <c r="J1143" s="45">
        <f>VLOOKUP(Table1[[#This Row],[Status]],Auxiliar!$B$16:$C$24,2,0)</f>
        <v>4</v>
      </c>
      <c r="K1143" s="45" t="s">
        <v>1252</v>
      </c>
      <c r="L1143" s="46" t="s">
        <v>1258</v>
      </c>
      <c r="M1143" s="21" t="s">
        <v>1259</v>
      </c>
      <c r="N1143" s="48">
        <v>45604</v>
      </c>
      <c r="O1143" s="21">
        <f>INDEX(Auxiliar!$D$5:$F$13,MATCH(Table1[[#This Row],[Tipologia_Testes]],Auxiliar!$B$5:$B$13,0),MATCH(Table1[[#This Row],[Complexidade]],Auxiliar!$D$4:$F$4,0))</f>
        <v>2</v>
      </c>
      <c r="P1143" s="43" t="s">
        <v>1344</v>
      </c>
      <c r="Q1143" s="152"/>
      <c r="R1143" s="152">
        <v>45583</v>
      </c>
      <c r="S1143" s="152"/>
      <c r="T1143" s="152">
        <v>45583</v>
      </c>
      <c r="U1143" s="152">
        <v>45596</v>
      </c>
      <c r="V1143" s="152">
        <v>45596</v>
      </c>
      <c r="W1143" s="2">
        <f>VLOOKUP(Table1[[#This Row],[Status]],Auxiliar!$B$16:$D$24,3,0)*Table1[[#This Row],[Estimação (horas)]]</f>
        <v>0.5</v>
      </c>
      <c r="X1143" s="114"/>
    </row>
    <row r="1144" spans="2:24" ht="17.7" customHeight="1" x14ac:dyDescent="0.25">
      <c r="B1144" s="39" t="s">
        <v>26</v>
      </c>
      <c r="C1144" s="39" t="s">
        <v>26</v>
      </c>
      <c r="D1144" s="39" t="s">
        <v>312</v>
      </c>
      <c r="E1144" s="39" t="s">
        <v>284</v>
      </c>
      <c r="F1144" s="39" t="s">
        <v>369</v>
      </c>
      <c r="G1144" s="39" t="s">
        <v>359</v>
      </c>
      <c r="H1144" s="59" t="str">
        <f>Table1[[#This Row],[Tabela]]&amp;Table1[[#This Row],[Campo]]</f>
        <v>lt004_protectionflg_chrnc_physcl_rsk</v>
      </c>
      <c r="I1144" s="2" t="s">
        <v>615</v>
      </c>
      <c r="J1144" s="45">
        <f>VLOOKUP(Table1[[#This Row],[Status]],Auxiliar!$B$16:$C$24,2,0)</f>
        <v>4</v>
      </c>
      <c r="K1144" s="45" t="s">
        <v>1253</v>
      </c>
      <c r="L1144" s="46" t="s">
        <v>1258</v>
      </c>
      <c r="M1144" s="21" t="s">
        <v>1259</v>
      </c>
      <c r="N1144" s="48">
        <v>45604</v>
      </c>
      <c r="O1144" s="21">
        <f>INDEX(Auxiliar!$D$5:$F$13,MATCH(Table1[[#This Row],[Tipologia_Testes]],Auxiliar!$B$5:$B$13,0),MATCH(Table1[[#This Row],[Complexidade]],Auxiliar!$D$4:$F$4,0))</f>
        <v>2</v>
      </c>
      <c r="P1144" s="43" t="s">
        <v>1344</v>
      </c>
      <c r="Q1144" s="152"/>
      <c r="R1144" s="152">
        <v>45583</v>
      </c>
      <c r="S1144" s="152"/>
      <c r="T1144" s="152">
        <v>45583</v>
      </c>
      <c r="U1144" s="152">
        <v>45596</v>
      </c>
      <c r="V1144" s="152">
        <v>45596</v>
      </c>
      <c r="W1144" s="2">
        <f>VLOOKUP(Table1[[#This Row],[Status]],Auxiliar!$B$16:$D$24,3,0)*Table1[[#This Row],[Estimação (horas)]]</f>
        <v>0.5</v>
      </c>
      <c r="X1144" s="114"/>
    </row>
    <row r="1145" spans="2:24" ht="17.7" customHeight="1" x14ac:dyDescent="0.25">
      <c r="B1145" s="39" t="s">
        <v>26</v>
      </c>
      <c r="C1145" s="39" t="s">
        <v>26</v>
      </c>
      <c r="D1145" s="39" t="s">
        <v>312</v>
      </c>
      <c r="E1145" s="39" t="s">
        <v>284</v>
      </c>
      <c r="F1145" s="39" t="s">
        <v>369</v>
      </c>
      <c r="G1145" s="39" t="s">
        <v>359</v>
      </c>
      <c r="H1145" s="59" t="str">
        <f>Table1[[#This Row],[Tabela]]&amp;Table1[[#This Row],[Campo]]</f>
        <v>lt004_protectionflg_chrnc_physcl_rsk</v>
      </c>
      <c r="I1145" s="2" t="s">
        <v>615</v>
      </c>
      <c r="J1145" s="45">
        <f>VLOOKUP(Table1[[#This Row],[Status]],Auxiliar!$B$16:$C$24,2,0)</f>
        <v>4</v>
      </c>
      <c r="K1145" s="45" t="s">
        <v>1255</v>
      </c>
      <c r="L1145" s="46" t="s">
        <v>1258</v>
      </c>
      <c r="M1145" s="21" t="s">
        <v>1259</v>
      </c>
      <c r="N1145" s="48">
        <v>45604</v>
      </c>
      <c r="O1145" s="21">
        <f>INDEX(Auxiliar!$D$5:$F$13,MATCH(Table1[[#This Row],[Tipologia_Testes]],Auxiliar!$B$5:$B$13,0),MATCH(Table1[[#This Row],[Complexidade]],Auxiliar!$D$4:$F$4,0))</f>
        <v>0.1</v>
      </c>
      <c r="P1145" s="43" t="s">
        <v>1344</v>
      </c>
      <c r="Q1145" s="152"/>
      <c r="R1145" s="152">
        <v>45583</v>
      </c>
      <c r="S1145" s="152"/>
      <c r="T1145" s="152">
        <v>45583</v>
      </c>
      <c r="U1145" s="152">
        <v>45596</v>
      </c>
      <c r="V1145" s="152">
        <v>45596</v>
      </c>
      <c r="W1145" s="2">
        <f>VLOOKUP(Table1[[#This Row],[Status]],Auxiliar!$B$16:$D$24,3,0)*Table1[[#This Row],[Estimação (horas)]]</f>
        <v>2.5000000000000001E-2</v>
      </c>
      <c r="X1145" s="114"/>
    </row>
    <row r="1146" spans="2:24" ht="34.950000000000003" customHeight="1" x14ac:dyDescent="0.25">
      <c r="B1146" s="41" t="s">
        <v>26</v>
      </c>
      <c r="C1146" s="41" t="s">
        <v>26</v>
      </c>
      <c r="D1146" s="37" t="s">
        <v>478</v>
      </c>
      <c r="E1146" s="42" t="s">
        <v>481</v>
      </c>
      <c r="F1146" s="40" t="s">
        <v>369</v>
      </c>
      <c r="G1146" s="38" t="s">
        <v>481</v>
      </c>
      <c r="H1146" s="60" t="str">
        <f>Table1[[#This Row],[Tabela]]&amp;Table1[[#This Row],[Campo]]</f>
        <v>lt004_protectionflg_fin</v>
      </c>
      <c r="I1146" s="2" t="s">
        <v>619</v>
      </c>
      <c r="J1146" s="45">
        <f>VLOOKUP(Table1[[#This Row],[Status]],Auxiliar!$B$16:$C$24,2,0)</f>
        <v>7</v>
      </c>
      <c r="K1146" s="45" t="s">
        <v>1252</v>
      </c>
      <c r="L1146" s="46" t="s">
        <v>1258</v>
      </c>
      <c r="M1146" s="21" t="s">
        <v>1259</v>
      </c>
      <c r="N1146" s="48">
        <v>45590</v>
      </c>
      <c r="O1146" s="21">
        <f>INDEX(Auxiliar!$D$5:$F$13,MATCH(Table1[[#This Row],[Tipologia_Testes]],Auxiliar!$B$5:$B$13,0),MATCH(Table1[[#This Row],[Complexidade]],Auxiliar!$D$4:$F$4,0))</f>
        <v>2</v>
      </c>
      <c r="P1146" s="43"/>
      <c r="Q1146" s="152"/>
      <c r="R1146" s="152">
        <v>45593</v>
      </c>
      <c r="S1146" s="152"/>
      <c r="T1146" s="152">
        <v>45593</v>
      </c>
      <c r="U1146" s="152">
        <v>45624</v>
      </c>
      <c r="V1146" s="152"/>
      <c r="W1146" s="2">
        <f>VLOOKUP(Table1[[#This Row],[Status]],Auxiliar!$B$16:$D$24,3,0)*Table1[[#This Row],[Estimação (horas)]]</f>
        <v>0.5</v>
      </c>
      <c r="X1146" s="114"/>
    </row>
    <row r="1147" spans="2:24" ht="17.7" customHeight="1" x14ac:dyDescent="0.25">
      <c r="B1147" s="39" t="s">
        <v>26</v>
      </c>
      <c r="C1147" s="39" t="s">
        <v>26</v>
      </c>
      <c r="D1147" s="39" t="s">
        <v>478</v>
      </c>
      <c r="E1147" s="39" t="s">
        <v>481</v>
      </c>
      <c r="F1147" s="39" t="s">
        <v>369</v>
      </c>
      <c r="G1147" s="39" t="s">
        <v>481</v>
      </c>
      <c r="H1147" s="59" t="str">
        <f>Table1[[#This Row],[Tabela]]&amp;Table1[[#This Row],[Campo]]</f>
        <v>lt004_protectionflg_fin</v>
      </c>
      <c r="I1147" s="2" t="s">
        <v>619</v>
      </c>
      <c r="J1147" s="45">
        <f>VLOOKUP(Table1[[#This Row],[Status]],Auxiliar!$B$16:$C$24,2,0)</f>
        <v>7</v>
      </c>
      <c r="K1147" s="45" t="s">
        <v>1253</v>
      </c>
      <c r="L1147" s="46" t="s">
        <v>1258</v>
      </c>
      <c r="M1147" s="21" t="s">
        <v>1259</v>
      </c>
      <c r="N1147" s="48">
        <v>45590</v>
      </c>
      <c r="O1147" s="21">
        <f>INDEX(Auxiliar!$D$5:$F$13,MATCH(Table1[[#This Row],[Tipologia_Testes]],Auxiliar!$B$5:$B$13,0),MATCH(Table1[[#This Row],[Complexidade]],Auxiliar!$D$4:$F$4,0))</f>
        <v>2</v>
      </c>
      <c r="P1147" s="43"/>
      <c r="Q1147" s="152"/>
      <c r="R1147" s="152">
        <v>45593</v>
      </c>
      <c r="S1147" s="152"/>
      <c r="T1147" s="152">
        <v>45593</v>
      </c>
      <c r="U1147" s="152">
        <v>45624</v>
      </c>
      <c r="V1147" s="152"/>
      <c r="W1147" s="2">
        <f>VLOOKUP(Table1[[#This Row],[Status]],Auxiliar!$B$16:$D$24,3,0)*Table1[[#This Row],[Estimação (horas)]]</f>
        <v>0.5</v>
      </c>
      <c r="X1147" s="114"/>
    </row>
    <row r="1148" spans="2:24" ht="17.7" customHeight="1" x14ac:dyDescent="0.25">
      <c r="B1148" s="39" t="s">
        <v>26</v>
      </c>
      <c r="C1148" s="39" t="s">
        <v>26</v>
      </c>
      <c r="D1148" s="39" t="s">
        <v>478</v>
      </c>
      <c r="E1148" s="39" t="s">
        <v>481</v>
      </c>
      <c r="F1148" s="39" t="s">
        <v>369</v>
      </c>
      <c r="G1148" s="39" t="s">
        <v>481</v>
      </c>
      <c r="H1148" s="59" t="str">
        <f>Table1[[#This Row],[Tabela]]&amp;Table1[[#This Row],[Campo]]</f>
        <v>lt004_protectionflg_fin</v>
      </c>
      <c r="I1148" s="2" t="s">
        <v>619</v>
      </c>
      <c r="J1148" s="45">
        <f>VLOOKUP(Table1[[#This Row],[Status]],Auxiliar!$B$16:$C$24,2,0)</f>
        <v>7</v>
      </c>
      <c r="K1148" s="45" t="s">
        <v>1255</v>
      </c>
      <c r="L1148" s="46" t="s">
        <v>1258</v>
      </c>
      <c r="M1148" s="21" t="s">
        <v>1259</v>
      </c>
      <c r="N1148" s="48">
        <v>45590</v>
      </c>
      <c r="O1148" s="21">
        <f>INDEX(Auxiliar!$D$5:$F$13,MATCH(Table1[[#This Row],[Tipologia_Testes]],Auxiliar!$B$5:$B$13,0),MATCH(Table1[[#This Row],[Complexidade]],Auxiliar!$D$4:$F$4,0))</f>
        <v>0.1</v>
      </c>
      <c r="P1148" s="43"/>
      <c r="Q1148" s="152"/>
      <c r="R1148" s="152">
        <v>45593</v>
      </c>
      <c r="S1148" s="152"/>
      <c r="T1148" s="152">
        <v>45593</v>
      </c>
      <c r="U1148" s="152">
        <v>45624</v>
      </c>
      <c r="V1148" s="152"/>
      <c r="W1148" s="2">
        <f>VLOOKUP(Table1[[#This Row],[Status]],Auxiliar!$B$16:$D$24,3,0)*Table1[[#This Row],[Estimação (horas)]]</f>
        <v>2.5000000000000001E-2</v>
      </c>
      <c r="X1148" s="114"/>
    </row>
    <row r="1149" spans="2:24" ht="34.950000000000003" customHeight="1" x14ac:dyDescent="0.25">
      <c r="B1149" s="41" t="s">
        <v>26</v>
      </c>
      <c r="C1149" s="41" t="s">
        <v>26</v>
      </c>
      <c r="D1149" s="37" t="s">
        <v>478</v>
      </c>
      <c r="E1149" s="42" t="s">
        <v>479</v>
      </c>
      <c r="F1149" s="40" t="s">
        <v>369</v>
      </c>
      <c r="G1149" s="38" t="s">
        <v>1361</v>
      </c>
      <c r="H1149" s="60" t="str">
        <f>Table1[[#This Row],[Tabela]]&amp;Table1[[#This Row],[Campo]]</f>
        <v>lt004_protectionflg_exec</v>
      </c>
      <c r="I1149" s="2" t="s">
        <v>619</v>
      </c>
      <c r="J1149" s="45">
        <f>VLOOKUP(Table1[[#This Row],[Status]],Auxiliar!$B$16:$C$24,2,0)</f>
        <v>7</v>
      </c>
      <c r="K1149" s="45" t="s">
        <v>1252</v>
      </c>
      <c r="L1149" s="46" t="s">
        <v>1258</v>
      </c>
      <c r="M1149" s="21" t="s">
        <v>1259</v>
      </c>
      <c r="N1149" s="48">
        <v>45590</v>
      </c>
      <c r="O1149" s="21">
        <f>INDEX(Auxiliar!$D$5:$F$13,MATCH(Table1[[#This Row],[Tipologia_Testes]],Auxiliar!$B$5:$B$13,0),MATCH(Table1[[#This Row],[Complexidade]],Auxiliar!$D$4:$F$4,0))</f>
        <v>2</v>
      </c>
      <c r="P1149" s="43"/>
      <c r="Q1149" s="152"/>
      <c r="R1149" s="152">
        <v>45593</v>
      </c>
      <c r="S1149" s="152"/>
      <c r="T1149" s="152">
        <v>45593</v>
      </c>
      <c r="U1149" s="152">
        <v>45624</v>
      </c>
      <c r="V1149" s="152"/>
      <c r="W1149" s="2">
        <f>VLOOKUP(Table1[[#This Row],[Status]],Auxiliar!$B$16:$D$24,3,0)*Table1[[#This Row],[Estimação (horas)]]</f>
        <v>0.5</v>
      </c>
      <c r="X1149" s="114"/>
    </row>
    <row r="1150" spans="2:24" ht="17.7" customHeight="1" x14ac:dyDescent="0.25">
      <c r="B1150" s="39" t="s">
        <v>26</v>
      </c>
      <c r="C1150" s="39" t="s">
        <v>26</v>
      </c>
      <c r="D1150" s="39" t="s">
        <v>478</v>
      </c>
      <c r="E1150" s="39" t="s">
        <v>479</v>
      </c>
      <c r="F1150" s="39" t="s">
        <v>369</v>
      </c>
      <c r="G1150" s="39" t="s">
        <v>1361</v>
      </c>
      <c r="H1150" s="59" t="str">
        <f>Table1[[#This Row],[Tabela]]&amp;Table1[[#This Row],[Campo]]</f>
        <v>lt004_protectionflg_exec</v>
      </c>
      <c r="I1150" s="2" t="s">
        <v>619</v>
      </c>
      <c r="J1150" s="45">
        <f>VLOOKUP(Table1[[#This Row],[Status]],Auxiliar!$B$16:$C$24,2,0)</f>
        <v>7</v>
      </c>
      <c r="K1150" s="45" t="s">
        <v>1253</v>
      </c>
      <c r="L1150" s="46" t="s">
        <v>1258</v>
      </c>
      <c r="M1150" s="21" t="s">
        <v>1259</v>
      </c>
      <c r="N1150" s="48">
        <v>45590</v>
      </c>
      <c r="O1150" s="21">
        <f>INDEX(Auxiliar!$D$5:$F$13,MATCH(Table1[[#This Row],[Tipologia_Testes]],Auxiliar!$B$5:$B$13,0),MATCH(Table1[[#This Row],[Complexidade]],Auxiliar!$D$4:$F$4,0))</f>
        <v>2</v>
      </c>
      <c r="P1150" s="43"/>
      <c r="Q1150" s="152"/>
      <c r="R1150" s="152">
        <v>45593</v>
      </c>
      <c r="S1150" s="152"/>
      <c r="T1150" s="152">
        <v>45593</v>
      </c>
      <c r="U1150" s="152">
        <v>45624</v>
      </c>
      <c r="V1150" s="152"/>
      <c r="W1150" s="2">
        <f>VLOOKUP(Table1[[#This Row],[Status]],Auxiliar!$B$16:$D$24,3,0)*Table1[[#This Row],[Estimação (horas)]]</f>
        <v>0.5</v>
      </c>
      <c r="X1150" s="114"/>
    </row>
    <row r="1151" spans="2:24" ht="17.7" customHeight="1" x14ac:dyDescent="0.25">
      <c r="B1151" s="39" t="s">
        <v>26</v>
      </c>
      <c r="C1151" s="39" t="s">
        <v>26</v>
      </c>
      <c r="D1151" s="39" t="s">
        <v>478</v>
      </c>
      <c r="E1151" s="39" t="s">
        <v>479</v>
      </c>
      <c r="F1151" s="39" t="s">
        <v>369</v>
      </c>
      <c r="G1151" s="39" t="s">
        <v>1361</v>
      </c>
      <c r="H1151" s="59" t="str">
        <f>Table1[[#This Row],[Tabela]]&amp;Table1[[#This Row],[Campo]]</f>
        <v>lt004_protectionflg_exec</v>
      </c>
      <c r="I1151" s="2" t="s">
        <v>619</v>
      </c>
      <c r="J1151" s="45">
        <f>VLOOKUP(Table1[[#This Row],[Status]],Auxiliar!$B$16:$C$24,2,0)</f>
        <v>7</v>
      </c>
      <c r="K1151" s="45" t="s">
        <v>1255</v>
      </c>
      <c r="L1151" s="46" t="s">
        <v>1258</v>
      </c>
      <c r="M1151" s="21" t="s">
        <v>1259</v>
      </c>
      <c r="N1151" s="48">
        <v>45590</v>
      </c>
      <c r="O1151" s="21">
        <f>INDEX(Auxiliar!$D$5:$F$13,MATCH(Table1[[#This Row],[Tipologia_Testes]],Auxiliar!$B$5:$B$13,0),MATCH(Table1[[#This Row],[Complexidade]],Auxiliar!$D$4:$F$4,0))</f>
        <v>0.1</v>
      </c>
      <c r="P1151" s="43"/>
      <c r="Q1151" s="152"/>
      <c r="R1151" s="152">
        <v>45593</v>
      </c>
      <c r="S1151" s="152"/>
      <c r="T1151" s="152">
        <v>45593</v>
      </c>
      <c r="U1151" s="152">
        <v>45624</v>
      </c>
      <c r="V1151" s="152"/>
      <c r="W1151" s="2">
        <f>VLOOKUP(Table1[[#This Row],[Status]],Auxiliar!$B$16:$D$24,3,0)*Table1[[#This Row],[Estimação (horas)]]</f>
        <v>2.5000000000000001E-2</v>
      </c>
      <c r="X1151" s="114"/>
    </row>
    <row r="1152" spans="2:24" ht="34.950000000000003" customHeight="1" x14ac:dyDescent="0.25">
      <c r="B1152" s="41" t="s">
        <v>26</v>
      </c>
      <c r="C1152" s="41" t="s">
        <v>26</v>
      </c>
      <c r="D1152" s="37" t="s">
        <v>478</v>
      </c>
      <c r="E1152" s="40" t="s">
        <v>480</v>
      </c>
      <c r="F1152" s="40" t="s">
        <v>369</v>
      </c>
      <c r="G1152" s="38" t="s">
        <v>480</v>
      </c>
      <c r="H1152" s="60" t="str">
        <f>Table1[[#This Row],[Tabela]]&amp;Table1[[#This Row],[Campo]]</f>
        <v>lt004_protectionflg_col</v>
      </c>
      <c r="I1152" s="2" t="s">
        <v>619</v>
      </c>
      <c r="J1152" s="45">
        <f>VLOOKUP(Table1[[#This Row],[Status]],Auxiliar!$B$16:$C$24,2,0)</f>
        <v>7</v>
      </c>
      <c r="K1152" s="45" t="s">
        <v>1252</v>
      </c>
      <c r="L1152" s="46" t="s">
        <v>1258</v>
      </c>
      <c r="M1152" s="21" t="s">
        <v>1259</v>
      </c>
      <c r="N1152" s="48">
        <v>45590</v>
      </c>
      <c r="O1152" s="21">
        <f>INDEX(Auxiliar!$D$5:$F$13,MATCH(Table1[[#This Row],[Tipologia_Testes]],Auxiliar!$B$5:$B$13,0),MATCH(Table1[[#This Row],[Complexidade]],Auxiliar!$D$4:$F$4,0))</f>
        <v>2</v>
      </c>
      <c r="P1152" s="43"/>
      <c r="Q1152" s="152"/>
      <c r="R1152" s="152">
        <v>45593</v>
      </c>
      <c r="S1152" s="152"/>
      <c r="T1152" s="152">
        <v>45593</v>
      </c>
      <c r="U1152" s="152">
        <v>45624</v>
      </c>
      <c r="V1152" s="152"/>
      <c r="W1152" s="2">
        <f>VLOOKUP(Table1[[#This Row],[Status]],Auxiliar!$B$16:$D$24,3,0)*Table1[[#This Row],[Estimação (horas)]]</f>
        <v>0.5</v>
      </c>
      <c r="X1152" s="114"/>
    </row>
    <row r="1153" spans="2:24" ht="17.7" customHeight="1" x14ac:dyDescent="0.25">
      <c r="B1153" s="39" t="s">
        <v>26</v>
      </c>
      <c r="C1153" s="39" t="s">
        <v>26</v>
      </c>
      <c r="D1153" s="39" t="s">
        <v>478</v>
      </c>
      <c r="E1153" s="39" t="s">
        <v>480</v>
      </c>
      <c r="F1153" s="39" t="s">
        <v>369</v>
      </c>
      <c r="G1153" s="39" t="s">
        <v>480</v>
      </c>
      <c r="H1153" s="59" t="str">
        <f>Table1[[#This Row],[Tabela]]&amp;Table1[[#This Row],[Campo]]</f>
        <v>lt004_protectionflg_col</v>
      </c>
      <c r="I1153" s="2" t="s">
        <v>619</v>
      </c>
      <c r="J1153" s="45">
        <f>VLOOKUP(Table1[[#This Row],[Status]],Auxiliar!$B$16:$C$24,2,0)</f>
        <v>7</v>
      </c>
      <c r="K1153" s="45" t="s">
        <v>1253</v>
      </c>
      <c r="L1153" s="46" t="s">
        <v>1258</v>
      </c>
      <c r="M1153" s="21" t="s">
        <v>1259</v>
      </c>
      <c r="N1153" s="48">
        <v>45590</v>
      </c>
      <c r="O1153" s="21">
        <f>INDEX(Auxiliar!$D$5:$F$13,MATCH(Table1[[#This Row],[Tipologia_Testes]],Auxiliar!$B$5:$B$13,0),MATCH(Table1[[#This Row],[Complexidade]],Auxiliar!$D$4:$F$4,0))</f>
        <v>2</v>
      </c>
      <c r="P1153" s="43"/>
      <c r="Q1153" s="152"/>
      <c r="R1153" s="152">
        <v>45593</v>
      </c>
      <c r="S1153" s="152"/>
      <c r="T1153" s="152">
        <v>45593</v>
      </c>
      <c r="U1153" s="152">
        <v>45624</v>
      </c>
      <c r="V1153" s="152"/>
      <c r="W1153" s="2">
        <f>VLOOKUP(Table1[[#This Row],[Status]],Auxiliar!$B$16:$D$24,3,0)*Table1[[#This Row],[Estimação (horas)]]</f>
        <v>0.5</v>
      </c>
      <c r="X1153" s="114"/>
    </row>
    <row r="1154" spans="2:24" ht="17.7" customHeight="1" x14ac:dyDescent="0.25">
      <c r="B1154" s="39" t="s">
        <v>26</v>
      </c>
      <c r="C1154" s="39" t="s">
        <v>26</v>
      </c>
      <c r="D1154" s="39" t="s">
        <v>478</v>
      </c>
      <c r="E1154" s="39" t="s">
        <v>480</v>
      </c>
      <c r="F1154" s="39" t="s">
        <v>369</v>
      </c>
      <c r="G1154" s="39" t="s">
        <v>480</v>
      </c>
      <c r="H1154" s="59" t="str">
        <f>Table1[[#This Row],[Tabela]]&amp;Table1[[#This Row],[Campo]]</f>
        <v>lt004_protectionflg_col</v>
      </c>
      <c r="I1154" s="2" t="s">
        <v>619</v>
      </c>
      <c r="J1154" s="45">
        <f>VLOOKUP(Table1[[#This Row],[Status]],Auxiliar!$B$16:$C$24,2,0)</f>
        <v>7</v>
      </c>
      <c r="K1154" s="45" t="s">
        <v>1255</v>
      </c>
      <c r="L1154" s="46" t="s">
        <v>1258</v>
      </c>
      <c r="M1154" s="21" t="s">
        <v>1259</v>
      </c>
      <c r="N1154" s="48">
        <v>45590</v>
      </c>
      <c r="O1154" s="21">
        <f>INDEX(Auxiliar!$D$5:$F$13,MATCH(Table1[[#This Row],[Tipologia_Testes]],Auxiliar!$B$5:$B$13,0),MATCH(Table1[[#This Row],[Complexidade]],Auxiliar!$D$4:$F$4,0))</f>
        <v>0.1</v>
      </c>
      <c r="P1154" s="43"/>
      <c r="Q1154" s="152"/>
      <c r="R1154" s="152">
        <v>45593</v>
      </c>
      <c r="S1154" s="152"/>
      <c r="T1154" s="152">
        <v>45593</v>
      </c>
      <c r="U1154" s="152">
        <v>45624</v>
      </c>
      <c r="V1154" s="152"/>
      <c r="W1154" s="2">
        <f>VLOOKUP(Table1[[#This Row],[Status]],Auxiliar!$B$16:$D$24,3,0)*Table1[[#This Row],[Estimação (horas)]]</f>
        <v>2.5000000000000001E-2</v>
      </c>
      <c r="X1154" s="114"/>
    </row>
    <row r="1155" spans="2:24" ht="34.950000000000003" customHeight="1" x14ac:dyDescent="0.25">
      <c r="B1155" s="41" t="s">
        <v>26</v>
      </c>
      <c r="C1155" s="41" t="s">
        <v>26</v>
      </c>
      <c r="D1155" s="37" t="s">
        <v>478</v>
      </c>
      <c r="E1155" s="40" t="s">
        <v>482</v>
      </c>
      <c r="F1155" s="40" t="s">
        <v>369</v>
      </c>
      <c r="G1155" s="38" t="s">
        <v>482</v>
      </c>
      <c r="H1155" s="60" t="str">
        <f>Table1[[#This Row],[Tabela]]&amp;Table1[[#This Row],[Campo]]</f>
        <v>lt004_protectionflg_pro</v>
      </c>
      <c r="I1155" s="2" t="s">
        <v>619</v>
      </c>
      <c r="J1155" s="45">
        <f>VLOOKUP(Table1[[#This Row],[Status]],Auxiliar!$B$16:$C$24,2,0)</f>
        <v>7</v>
      </c>
      <c r="K1155" s="45" t="s">
        <v>1252</v>
      </c>
      <c r="L1155" s="46" t="s">
        <v>1258</v>
      </c>
      <c r="M1155" s="21" t="s">
        <v>1259</v>
      </c>
      <c r="N1155" s="48">
        <v>45590</v>
      </c>
      <c r="O1155" s="21">
        <f>INDEX(Auxiliar!$D$5:$F$13,MATCH(Table1[[#This Row],[Tipologia_Testes]],Auxiliar!$B$5:$B$13,0),MATCH(Table1[[#This Row],[Complexidade]],Auxiliar!$D$4:$F$4,0))</f>
        <v>2</v>
      </c>
      <c r="P1155" s="43"/>
      <c r="Q1155" s="152"/>
      <c r="R1155" s="152">
        <v>45593</v>
      </c>
      <c r="S1155" s="152"/>
      <c r="T1155" s="152">
        <v>45593</v>
      </c>
      <c r="U1155" s="152">
        <v>45624</v>
      </c>
      <c r="V1155" s="152"/>
      <c r="W1155" s="2">
        <f>VLOOKUP(Table1[[#This Row],[Status]],Auxiliar!$B$16:$D$24,3,0)*Table1[[#This Row],[Estimação (horas)]]</f>
        <v>0.5</v>
      </c>
      <c r="X1155" s="114"/>
    </row>
    <row r="1156" spans="2:24" ht="17.7" customHeight="1" x14ac:dyDescent="0.25">
      <c r="B1156" s="39" t="s">
        <v>26</v>
      </c>
      <c r="C1156" s="39" t="s">
        <v>26</v>
      </c>
      <c r="D1156" s="39" t="s">
        <v>478</v>
      </c>
      <c r="E1156" s="39" t="s">
        <v>482</v>
      </c>
      <c r="F1156" s="39" t="s">
        <v>369</v>
      </c>
      <c r="G1156" s="39" t="s">
        <v>482</v>
      </c>
      <c r="H1156" s="59" t="str">
        <f>Table1[[#This Row],[Tabela]]&amp;Table1[[#This Row],[Campo]]</f>
        <v>lt004_protectionflg_pro</v>
      </c>
      <c r="I1156" s="2" t="s">
        <v>619</v>
      </c>
      <c r="J1156" s="45">
        <f>VLOOKUP(Table1[[#This Row],[Status]],Auxiliar!$B$16:$C$24,2,0)</f>
        <v>7</v>
      </c>
      <c r="K1156" s="45" t="s">
        <v>1253</v>
      </c>
      <c r="L1156" s="46" t="s">
        <v>1258</v>
      </c>
      <c r="M1156" s="21" t="s">
        <v>1259</v>
      </c>
      <c r="N1156" s="48">
        <v>45590</v>
      </c>
      <c r="O1156" s="21">
        <f>INDEX(Auxiliar!$D$5:$F$13,MATCH(Table1[[#This Row],[Tipologia_Testes]],Auxiliar!$B$5:$B$13,0),MATCH(Table1[[#This Row],[Complexidade]],Auxiliar!$D$4:$F$4,0))</f>
        <v>2</v>
      </c>
      <c r="P1156" s="43"/>
      <c r="Q1156" s="152"/>
      <c r="R1156" s="152">
        <v>45593</v>
      </c>
      <c r="S1156" s="152"/>
      <c r="T1156" s="152">
        <v>45593</v>
      </c>
      <c r="U1156" s="152">
        <v>45624</v>
      </c>
      <c r="V1156" s="152"/>
      <c r="W1156" s="2">
        <f>VLOOKUP(Table1[[#This Row],[Status]],Auxiliar!$B$16:$D$24,3,0)*Table1[[#This Row],[Estimação (horas)]]</f>
        <v>0.5</v>
      </c>
      <c r="X1156" s="114"/>
    </row>
    <row r="1157" spans="2:24" ht="17.7" customHeight="1" x14ac:dyDescent="0.25">
      <c r="B1157" s="39" t="s">
        <v>26</v>
      </c>
      <c r="C1157" s="39" t="s">
        <v>26</v>
      </c>
      <c r="D1157" s="39" t="s">
        <v>478</v>
      </c>
      <c r="E1157" s="39" t="s">
        <v>482</v>
      </c>
      <c r="F1157" s="39" t="s">
        <v>369</v>
      </c>
      <c r="G1157" s="39" t="s">
        <v>482</v>
      </c>
      <c r="H1157" s="59" t="str">
        <f>Table1[[#This Row],[Tabela]]&amp;Table1[[#This Row],[Campo]]</f>
        <v>lt004_protectionflg_pro</v>
      </c>
      <c r="I1157" s="2" t="s">
        <v>619</v>
      </c>
      <c r="J1157" s="45">
        <f>VLOOKUP(Table1[[#This Row],[Status]],Auxiliar!$B$16:$C$24,2,0)</f>
        <v>7</v>
      </c>
      <c r="K1157" s="45" t="s">
        <v>1255</v>
      </c>
      <c r="L1157" s="46" t="s">
        <v>1258</v>
      </c>
      <c r="M1157" s="21" t="s">
        <v>1259</v>
      </c>
      <c r="N1157" s="48">
        <v>45590</v>
      </c>
      <c r="O1157" s="21">
        <f>INDEX(Auxiliar!$D$5:$F$13,MATCH(Table1[[#This Row],[Tipologia_Testes]],Auxiliar!$B$5:$B$13,0),MATCH(Table1[[#This Row],[Complexidade]],Auxiliar!$D$4:$F$4,0))</f>
        <v>0.1</v>
      </c>
      <c r="P1157" s="43"/>
      <c r="Q1157" s="152"/>
      <c r="R1157" s="152">
        <v>45593</v>
      </c>
      <c r="S1157" s="152"/>
      <c r="T1157" s="152">
        <v>45593</v>
      </c>
      <c r="U1157" s="152">
        <v>45624</v>
      </c>
      <c r="V1157" s="152"/>
      <c r="W1157" s="2">
        <f>VLOOKUP(Table1[[#This Row],[Status]],Auxiliar!$B$16:$D$24,3,0)*Table1[[#This Row],[Estimação (horas)]]</f>
        <v>2.5000000000000001E-2</v>
      </c>
      <c r="X1157" s="114"/>
    </row>
    <row r="1158" spans="2:24" ht="17.7" customHeight="1" x14ac:dyDescent="0.25">
      <c r="B1158" s="41" t="s">
        <v>26</v>
      </c>
      <c r="C1158" s="41" t="s">
        <v>26</v>
      </c>
      <c r="D1158" s="2" t="s">
        <v>38</v>
      </c>
      <c r="E1158" s="42" t="s">
        <v>38</v>
      </c>
      <c r="F1158" s="40" t="s">
        <v>380</v>
      </c>
      <c r="G1158" s="38" t="s">
        <v>381</v>
      </c>
      <c r="H1158" s="60" t="str">
        <f>Table1[[#This Row],[Tabela]]&amp;Table1[[#This Row],[Campo]]</f>
        <v>lt002_instrumentrsk_mtgtd_cct</v>
      </c>
      <c r="I1158" s="2" t="s">
        <v>1927</v>
      </c>
      <c r="J1158" s="45">
        <f>VLOOKUP(Table1[[#This Row],[Status]],Auxiliar!$B$16:$C$24,2,0)</f>
        <v>2</v>
      </c>
      <c r="K1158" s="45" t="s">
        <v>1252</v>
      </c>
      <c r="L1158" s="46" t="s">
        <v>1258</v>
      </c>
      <c r="M1158" s="21" t="s">
        <v>1259</v>
      </c>
      <c r="N1158" s="48">
        <v>45611</v>
      </c>
      <c r="O1158" s="21">
        <f>INDEX(Auxiliar!$D$5:$F$13,MATCH(Table1[[#This Row],[Tipologia_Testes]],Auxiliar!$B$5:$B$13,0),MATCH(Table1[[#This Row],[Complexidade]],Auxiliar!$D$4:$F$4,0))</f>
        <v>2</v>
      </c>
      <c r="P1158" s="43"/>
      <c r="Q1158" s="152"/>
      <c r="R1158" s="152">
        <v>45595</v>
      </c>
      <c r="S1158" s="152"/>
      <c r="T1158" s="152">
        <v>45595</v>
      </c>
      <c r="U1158" s="152">
        <v>374329</v>
      </c>
      <c r="V1158" s="152">
        <v>374329</v>
      </c>
      <c r="W1158" s="2">
        <f>VLOOKUP(Table1[[#This Row],[Status]],Auxiliar!$B$16:$D$24,3,0)*Table1[[#This Row],[Estimação (horas)]]</f>
        <v>1</v>
      </c>
      <c r="X1158" s="114"/>
    </row>
    <row r="1159" spans="2:24" ht="17.7" customHeight="1" x14ac:dyDescent="0.25">
      <c r="B1159" s="39" t="s">
        <v>26</v>
      </c>
      <c r="C1159" s="39" t="s">
        <v>26</v>
      </c>
      <c r="D1159" s="2" t="s">
        <v>38</v>
      </c>
      <c r="E1159" s="39" t="s">
        <v>38</v>
      </c>
      <c r="F1159" s="39" t="s">
        <v>380</v>
      </c>
      <c r="G1159" s="39" t="s">
        <v>381</v>
      </c>
      <c r="H1159" s="59" t="str">
        <f>Table1[[#This Row],[Tabela]]&amp;Table1[[#This Row],[Campo]]</f>
        <v>lt002_instrumentrsk_mtgtd_cct</v>
      </c>
      <c r="I1159" s="2" t="s">
        <v>1927</v>
      </c>
      <c r="J1159" s="45">
        <f>VLOOKUP(Table1[[#This Row],[Status]],Auxiliar!$B$16:$C$24,2,0)</f>
        <v>2</v>
      </c>
      <c r="K1159" s="45" t="s">
        <v>1253</v>
      </c>
      <c r="L1159" s="46" t="s">
        <v>1258</v>
      </c>
      <c r="M1159" s="21" t="s">
        <v>1259</v>
      </c>
      <c r="N1159" s="48">
        <v>45611</v>
      </c>
      <c r="O1159" s="21">
        <f>INDEX(Auxiliar!$D$5:$F$13,MATCH(Table1[[#This Row],[Tipologia_Testes]],Auxiliar!$B$5:$B$13,0),MATCH(Table1[[#This Row],[Complexidade]],Auxiliar!$D$4:$F$4,0))</f>
        <v>2</v>
      </c>
      <c r="P1159" s="43"/>
      <c r="Q1159" s="152"/>
      <c r="R1159" s="152">
        <v>45595</v>
      </c>
      <c r="S1159" s="152"/>
      <c r="T1159" s="152">
        <v>45595</v>
      </c>
      <c r="U1159" s="152">
        <v>374329</v>
      </c>
      <c r="V1159" s="152">
        <v>374329</v>
      </c>
      <c r="W1159" s="2">
        <f>VLOOKUP(Table1[[#This Row],[Status]],Auxiliar!$B$16:$D$24,3,0)*Table1[[#This Row],[Estimação (horas)]]</f>
        <v>1</v>
      </c>
      <c r="X1159" s="114"/>
    </row>
    <row r="1160" spans="2:24" ht="17.7" customHeight="1" x14ac:dyDescent="0.25">
      <c r="B1160" s="39" t="s">
        <v>26</v>
      </c>
      <c r="C1160" s="39" t="s">
        <v>26</v>
      </c>
      <c r="D1160" s="2" t="s">
        <v>38</v>
      </c>
      <c r="E1160" s="39" t="s">
        <v>38</v>
      </c>
      <c r="F1160" s="39" t="s">
        <v>380</v>
      </c>
      <c r="G1160" s="39" t="s">
        <v>381</v>
      </c>
      <c r="H1160" s="59" t="str">
        <f>Table1[[#This Row],[Tabela]]&amp;Table1[[#This Row],[Campo]]</f>
        <v>lt002_instrumentrsk_mtgtd_cct</v>
      </c>
      <c r="I1160" s="2" t="s">
        <v>1927</v>
      </c>
      <c r="J1160" s="45">
        <f>VLOOKUP(Table1[[#This Row],[Status]],Auxiliar!$B$16:$C$24,2,0)</f>
        <v>2</v>
      </c>
      <c r="K1160" s="45" t="s">
        <v>1255</v>
      </c>
      <c r="L1160" s="46" t="s">
        <v>1258</v>
      </c>
      <c r="M1160" s="21" t="s">
        <v>1259</v>
      </c>
      <c r="N1160" s="48">
        <v>45611</v>
      </c>
      <c r="O1160" s="21">
        <f>INDEX(Auxiliar!$D$5:$F$13,MATCH(Table1[[#This Row],[Tipologia_Testes]],Auxiliar!$B$5:$B$13,0),MATCH(Table1[[#This Row],[Complexidade]],Auxiliar!$D$4:$F$4,0))</f>
        <v>0.1</v>
      </c>
      <c r="P1160" s="43"/>
      <c r="Q1160" s="152"/>
      <c r="R1160" s="152">
        <v>45595</v>
      </c>
      <c r="S1160" s="152"/>
      <c r="T1160" s="152">
        <v>45595</v>
      </c>
      <c r="U1160" s="152">
        <v>374329</v>
      </c>
      <c r="V1160" s="152">
        <v>374329</v>
      </c>
      <c r="W1160" s="2">
        <f>VLOOKUP(Table1[[#This Row],[Status]],Auxiliar!$B$16:$D$24,3,0)*Table1[[#This Row],[Estimação (horas)]]</f>
        <v>0.05</v>
      </c>
      <c r="X1160" s="114"/>
    </row>
    <row r="1161" spans="2:24" ht="17.7" customHeight="1" x14ac:dyDescent="0.25">
      <c r="B1161" s="41" t="s">
        <v>26</v>
      </c>
      <c r="C1161" s="41" t="s">
        <v>26</v>
      </c>
      <c r="D1161" s="2" t="s">
        <v>38</v>
      </c>
      <c r="E1161" s="42" t="s">
        <v>38</v>
      </c>
      <c r="F1161" s="40" t="s">
        <v>380</v>
      </c>
      <c r="G1161" s="38" t="s">
        <v>382</v>
      </c>
      <c r="H1161" s="60" t="str">
        <f>Table1[[#This Row],[Tabela]]&amp;Table1[[#This Row],[Campo]]</f>
        <v>lt002_instrumentrsk_mtgtd_ccp</v>
      </c>
      <c r="I1161" s="2" t="s">
        <v>619</v>
      </c>
      <c r="J1161" s="45">
        <f>VLOOKUP(Table1[[#This Row],[Status]],Auxiliar!$B$16:$C$24,2,0)</f>
        <v>7</v>
      </c>
      <c r="K1161" s="45" t="s">
        <v>1252</v>
      </c>
      <c r="L1161" s="46" t="s">
        <v>1258</v>
      </c>
      <c r="M1161" s="21" t="s">
        <v>1259</v>
      </c>
      <c r="N1161" s="48">
        <v>45596</v>
      </c>
      <c r="O1161" s="21">
        <f>INDEX(Auxiliar!$D$5:$F$13,MATCH(Table1[[#This Row],[Tipologia_Testes]],Auxiliar!$B$5:$B$13,0),MATCH(Table1[[#This Row],[Complexidade]],Auxiliar!$D$4:$F$4,0))</f>
        <v>2</v>
      </c>
      <c r="P1161" s="43"/>
      <c r="Q1161" s="152"/>
      <c r="R1161" s="152">
        <v>45595</v>
      </c>
      <c r="S1161" s="152"/>
      <c r="T1161" s="152">
        <v>45595</v>
      </c>
      <c r="U1161" s="152">
        <v>374342</v>
      </c>
      <c r="V1161" s="152"/>
      <c r="W1161" s="2">
        <f>VLOOKUP(Table1[[#This Row],[Status]],Auxiliar!$B$16:$D$24,3,0)*Table1[[#This Row],[Estimação (horas)]]</f>
        <v>0.5</v>
      </c>
      <c r="X1161" s="114"/>
    </row>
    <row r="1162" spans="2:24" ht="17.7" customHeight="1" x14ac:dyDescent="0.25">
      <c r="B1162" s="39" t="s">
        <v>26</v>
      </c>
      <c r="C1162" s="39" t="s">
        <v>26</v>
      </c>
      <c r="D1162" s="2" t="s">
        <v>38</v>
      </c>
      <c r="E1162" s="39" t="s">
        <v>38</v>
      </c>
      <c r="F1162" s="39" t="s">
        <v>380</v>
      </c>
      <c r="G1162" s="39" t="s">
        <v>382</v>
      </c>
      <c r="H1162" s="59" t="str">
        <f>Table1[[#This Row],[Tabela]]&amp;Table1[[#This Row],[Campo]]</f>
        <v>lt002_instrumentrsk_mtgtd_ccp</v>
      </c>
      <c r="I1162" s="2" t="s">
        <v>619</v>
      </c>
      <c r="J1162" s="45">
        <f>VLOOKUP(Table1[[#This Row],[Status]],Auxiliar!$B$16:$C$24,2,0)</f>
        <v>7</v>
      </c>
      <c r="K1162" s="45" t="s">
        <v>1253</v>
      </c>
      <c r="L1162" s="46" t="s">
        <v>1258</v>
      </c>
      <c r="M1162" s="21" t="s">
        <v>1259</v>
      </c>
      <c r="N1162" s="48">
        <v>45596</v>
      </c>
      <c r="O1162" s="21">
        <f>INDEX(Auxiliar!$D$5:$F$13,MATCH(Table1[[#This Row],[Tipologia_Testes]],Auxiliar!$B$5:$B$13,0),MATCH(Table1[[#This Row],[Complexidade]],Auxiliar!$D$4:$F$4,0))</f>
        <v>2</v>
      </c>
      <c r="P1162" s="43"/>
      <c r="Q1162" s="152"/>
      <c r="R1162" s="152">
        <v>45595</v>
      </c>
      <c r="S1162" s="152"/>
      <c r="T1162" s="152">
        <v>45595</v>
      </c>
      <c r="U1162" s="152">
        <v>374342</v>
      </c>
      <c r="V1162" s="152"/>
      <c r="W1162" s="2">
        <f>VLOOKUP(Table1[[#This Row],[Status]],Auxiliar!$B$16:$D$24,3,0)*Table1[[#This Row],[Estimação (horas)]]</f>
        <v>0.5</v>
      </c>
      <c r="X1162" s="114"/>
    </row>
    <row r="1163" spans="2:24" ht="17.7" customHeight="1" x14ac:dyDescent="0.25">
      <c r="B1163" s="39" t="s">
        <v>26</v>
      </c>
      <c r="C1163" s="39" t="s">
        <v>26</v>
      </c>
      <c r="D1163" s="2" t="s">
        <v>38</v>
      </c>
      <c r="E1163" s="39" t="s">
        <v>38</v>
      </c>
      <c r="F1163" s="39" t="s">
        <v>380</v>
      </c>
      <c r="G1163" s="39" t="s">
        <v>382</v>
      </c>
      <c r="H1163" s="59" t="str">
        <f>Table1[[#This Row],[Tabela]]&amp;Table1[[#This Row],[Campo]]</f>
        <v>lt002_instrumentrsk_mtgtd_ccp</v>
      </c>
      <c r="I1163" s="2" t="s">
        <v>619</v>
      </c>
      <c r="J1163" s="45">
        <f>VLOOKUP(Table1[[#This Row],[Status]],Auxiliar!$B$16:$C$24,2,0)</f>
        <v>7</v>
      </c>
      <c r="K1163" s="45" t="s">
        <v>1255</v>
      </c>
      <c r="L1163" s="46" t="s">
        <v>1258</v>
      </c>
      <c r="M1163" s="21" t="s">
        <v>1259</v>
      </c>
      <c r="N1163" s="48">
        <v>45596</v>
      </c>
      <c r="O1163" s="21">
        <f>INDEX(Auxiliar!$D$5:$F$13,MATCH(Table1[[#This Row],[Tipologia_Testes]],Auxiliar!$B$5:$B$13,0),MATCH(Table1[[#This Row],[Complexidade]],Auxiliar!$D$4:$F$4,0))</f>
        <v>0.1</v>
      </c>
      <c r="P1163" s="43"/>
      <c r="Q1163" s="152"/>
      <c r="R1163" s="152">
        <v>45595</v>
      </c>
      <c r="S1163" s="152"/>
      <c r="T1163" s="152">
        <v>45595</v>
      </c>
      <c r="U1163" s="152">
        <v>374342</v>
      </c>
      <c r="V1163" s="152"/>
      <c r="W1163" s="2">
        <f>VLOOKUP(Table1[[#This Row],[Status]],Auxiliar!$B$16:$D$24,3,0)*Table1[[#This Row],[Estimação (horas)]]</f>
        <v>2.5000000000000001E-2</v>
      </c>
      <c r="X1163" s="114"/>
    </row>
    <row r="1164" spans="2:24" ht="17.7" customHeight="1" x14ac:dyDescent="0.25">
      <c r="B1164" s="41" t="s">
        <v>26</v>
      </c>
      <c r="C1164" s="41" t="s">
        <v>26</v>
      </c>
      <c r="D1164" s="37" t="s">
        <v>1355</v>
      </c>
      <c r="E1164" s="42" t="s">
        <v>1337</v>
      </c>
      <c r="F1164" s="40" t="s">
        <v>1955</v>
      </c>
      <c r="G1164" s="38" t="s">
        <v>383</v>
      </c>
      <c r="H1164" s="60" t="str">
        <f>Table1[[#This Row],[Tabela]]&amp;Table1[[#This Row],[Campo]]</f>
        <v>lt007_instr_activityenvrnmntl_objctv</v>
      </c>
      <c r="I1164" s="2" t="s">
        <v>619</v>
      </c>
      <c r="J1164" s="45">
        <f>VLOOKUP(Table1[[#This Row],[Status]],Auxiliar!$B$16:$C$24,2,0)</f>
        <v>7</v>
      </c>
      <c r="K1164" s="45" t="s">
        <v>1252</v>
      </c>
      <c r="L1164" s="46" t="s">
        <v>1258</v>
      </c>
      <c r="M1164" s="21" t="s">
        <v>1259</v>
      </c>
      <c r="N1164" s="48">
        <v>45596</v>
      </c>
      <c r="O1164" s="21">
        <f>INDEX(Auxiliar!$D$5:$F$13,MATCH(Table1[[#This Row],[Tipologia_Testes]],Auxiliar!$B$5:$B$13,0),MATCH(Table1[[#This Row],[Complexidade]],Auxiliar!$D$4:$F$4,0))</f>
        <v>2</v>
      </c>
      <c r="P1164" s="43"/>
      <c r="Q1164" s="152"/>
      <c r="R1164" s="152">
        <v>45593</v>
      </c>
      <c r="S1164" s="152"/>
      <c r="T1164" s="152">
        <v>45593</v>
      </c>
      <c r="U1164" s="152">
        <v>45624</v>
      </c>
      <c r="V1164" s="152"/>
      <c r="W1164" s="2">
        <f>VLOOKUP(Table1[[#This Row],[Status]],Auxiliar!$B$16:$D$24,3,0)*Table1[[#This Row],[Estimação (horas)]]</f>
        <v>0.5</v>
      </c>
      <c r="X1164" s="114"/>
    </row>
    <row r="1165" spans="2:24" ht="17.7" customHeight="1" x14ac:dyDescent="0.25">
      <c r="B1165" s="39" t="s">
        <v>26</v>
      </c>
      <c r="C1165" s="39" t="s">
        <v>26</v>
      </c>
      <c r="D1165" s="39" t="s">
        <v>1355</v>
      </c>
      <c r="E1165" s="39" t="s">
        <v>1337</v>
      </c>
      <c r="F1165" s="40" t="s">
        <v>1955</v>
      </c>
      <c r="G1165" s="39" t="s">
        <v>383</v>
      </c>
      <c r="H1165" s="59" t="str">
        <f>Table1[[#This Row],[Tabela]]&amp;Table1[[#This Row],[Campo]]</f>
        <v>lt007_instr_activityenvrnmntl_objctv</v>
      </c>
      <c r="I1165" s="2" t="s">
        <v>619</v>
      </c>
      <c r="J1165" s="45">
        <f>VLOOKUP(Table1[[#This Row],[Status]],Auxiliar!$B$16:$C$24,2,0)</f>
        <v>7</v>
      </c>
      <c r="K1165" s="45" t="s">
        <v>1253</v>
      </c>
      <c r="L1165" s="46" t="s">
        <v>1258</v>
      </c>
      <c r="M1165" s="21" t="s">
        <v>1259</v>
      </c>
      <c r="N1165" s="48">
        <v>45596</v>
      </c>
      <c r="O1165" s="21">
        <f>INDEX(Auxiliar!$D$5:$F$13,MATCH(Table1[[#This Row],[Tipologia_Testes]],Auxiliar!$B$5:$B$13,0),MATCH(Table1[[#This Row],[Complexidade]],Auxiliar!$D$4:$F$4,0))</f>
        <v>2</v>
      </c>
      <c r="P1165" s="43"/>
      <c r="Q1165" s="152"/>
      <c r="R1165" s="152">
        <v>45593</v>
      </c>
      <c r="S1165" s="152"/>
      <c r="T1165" s="152">
        <v>45593</v>
      </c>
      <c r="U1165" s="152">
        <v>45624</v>
      </c>
      <c r="V1165" s="152"/>
      <c r="W1165" s="2">
        <f>VLOOKUP(Table1[[#This Row],[Status]],Auxiliar!$B$16:$D$24,3,0)*Table1[[#This Row],[Estimação (horas)]]</f>
        <v>0.5</v>
      </c>
      <c r="X1165" s="114"/>
    </row>
    <row r="1166" spans="2:24" ht="17.7" customHeight="1" x14ac:dyDescent="0.25">
      <c r="B1166" s="39" t="s">
        <v>26</v>
      </c>
      <c r="C1166" s="39" t="s">
        <v>26</v>
      </c>
      <c r="D1166" s="39" t="s">
        <v>1355</v>
      </c>
      <c r="E1166" s="39" t="s">
        <v>1337</v>
      </c>
      <c r="F1166" s="40" t="s">
        <v>1955</v>
      </c>
      <c r="G1166" s="39" t="s">
        <v>383</v>
      </c>
      <c r="H1166" s="59" t="str">
        <f>Table1[[#This Row],[Tabela]]&amp;Table1[[#This Row],[Campo]]</f>
        <v>lt007_instr_activityenvrnmntl_objctv</v>
      </c>
      <c r="I1166" s="2" t="s">
        <v>619</v>
      </c>
      <c r="J1166" s="45">
        <f>VLOOKUP(Table1[[#This Row],[Status]],Auxiliar!$B$16:$C$24,2,0)</f>
        <v>7</v>
      </c>
      <c r="K1166" s="45" t="s">
        <v>1255</v>
      </c>
      <c r="L1166" s="46" t="s">
        <v>1258</v>
      </c>
      <c r="M1166" s="21" t="s">
        <v>1259</v>
      </c>
      <c r="N1166" s="48">
        <v>45596</v>
      </c>
      <c r="O1166" s="21">
        <f>INDEX(Auxiliar!$D$5:$F$13,MATCH(Table1[[#This Row],[Tipologia_Testes]],Auxiliar!$B$5:$B$13,0),MATCH(Table1[[#This Row],[Complexidade]],Auxiliar!$D$4:$F$4,0))</f>
        <v>0.1</v>
      </c>
      <c r="P1166" s="43"/>
      <c r="Q1166" s="152"/>
      <c r="R1166" s="152">
        <v>45593</v>
      </c>
      <c r="S1166" s="152"/>
      <c r="T1166" s="152">
        <v>45593</v>
      </c>
      <c r="U1166" s="152">
        <v>45624</v>
      </c>
      <c r="V1166" s="152"/>
      <c r="W1166" s="2">
        <f>VLOOKUP(Table1[[#This Row],[Status]],Auxiliar!$B$16:$D$24,3,0)*Table1[[#This Row],[Estimação (horas)]]</f>
        <v>2.5000000000000001E-2</v>
      </c>
      <c r="X1166" s="114"/>
    </row>
    <row r="1167" spans="2:24" ht="17.7" customHeight="1" x14ac:dyDescent="0.25">
      <c r="B1167" s="41" t="s">
        <v>26</v>
      </c>
      <c r="C1167" s="41" t="s">
        <v>26</v>
      </c>
      <c r="D1167" s="37" t="s">
        <v>1355</v>
      </c>
      <c r="E1167" s="42" t="s">
        <v>1337</v>
      </c>
      <c r="F1167" s="40" t="s">
        <v>1955</v>
      </c>
      <c r="G1167" s="38" t="s">
        <v>384</v>
      </c>
      <c r="H1167" s="60" t="str">
        <f>Table1[[#This Row],[Tabela]]&amp;Table1[[#This Row],[Campo]]</f>
        <v>lt007_instr_activitytyp_actvty</v>
      </c>
      <c r="I1167" s="2" t="s">
        <v>619</v>
      </c>
      <c r="J1167" s="45">
        <f>VLOOKUP(Table1[[#This Row],[Status]],Auxiliar!$B$16:$C$24,2,0)</f>
        <v>7</v>
      </c>
      <c r="K1167" s="45" t="s">
        <v>1252</v>
      </c>
      <c r="L1167" s="46" t="s">
        <v>1258</v>
      </c>
      <c r="M1167" s="21" t="s">
        <v>1259</v>
      </c>
      <c r="N1167" s="48">
        <v>45596</v>
      </c>
      <c r="O1167" s="21">
        <f>INDEX(Auxiliar!$D$5:$F$13,MATCH(Table1[[#This Row],[Tipologia_Testes]],Auxiliar!$B$5:$B$13,0),MATCH(Table1[[#This Row],[Complexidade]],Auxiliar!$D$4:$F$4,0))</f>
        <v>2</v>
      </c>
      <c r="P1167" s="43"/>
      <c r="Q1167" s="152"/>
      <c r="R1167" s="152">
        <v>45593</v>
      </c>
      <c r="S1167" s="152"/>
      <c r="T1167" s="152">
        <v>45593</v>
      </c>
      <c r="U1167" s="152">
        <v>45624</v>
      </c>
      <c r="V1167" s="152"/>
      <c r="W1167" s="2">
        <f>VLOOKUP(Table1[[#This Row],[Status]],Auxiliar!$B$16:$D$24,3,0)*Table1[[#This Row],[Estimação (horas)]]</f>
        <v>0.5</v>
      </c>
      <c r="X1167" s="114"/>
    </row>
    <row r="1168" spans="2:24" ht="17.7" customHeight="1" x14ac:dyDescent="0.25">
      <c r="B1168" s="39" t="s">
        <v>26</v>
      </c>
      <c r="C1168" s="39" t="s">
        <v>26</v>
      </c>
      <c r="D1168" s="39" t="s">
        <v>1355</v>
      </c>
      <c r="E1168" s="39" t="s">
        <v>1337</v>
      </c>
      <c r="F1168" s="40" t="s">
        <v>1955</v>
      </c>
      <c r="G1168" s="39" t="s">
        <v>384</v>
      </c>
      <c r="H1168" s="59" t="str">
        <f>Table1[[#This Row],[Tabela]]&amp;Table1[[#This Row],[Campo]]</f>
        <v>lt007_instr_activitytyp_actvty</v>
      </c>
      <c r="I1168" s="2" t="s">
        <v>619</v>
      </c>
      <c r="J1168" s="45">
        <f>VLOOKUP(Table1[[#This Row],[Status]],Auxiliar!$B$16:$C$24,2,0)</f>
        <v>7</v>
      </c>
      <c r="K1168" s="45" t="s">
        <v>1253</v>
      </c>
      <c r="L1168" s="46" t="s">
        <v>1258</v>
      </c>
      <c r="M1168" s="21" t="s">
        <v>1259</v>
      </c>
      <c r="N1168" s="48">
        <v>45596</v>
      </c>
      <c r="O1168" s="21">
        <f>INDEX(Auxiliar!$D$5:$F$13,MATCH(Table1[[#This Row],[Tipologia_Testes]],Auxiliar!$B$5:$B$13,0),MATCH(Table1[[#This Row],[Complexidade]],Auxiliar!$D$4:$F$4,0))</f>
        <v>2</v>
      </c>
      <c r="P1168" s="43"/>
      <c r="Q1168" s="152"/>
      <c r="R1168" s="152">
        <v>45593</v>
      </c>
      <c r="S1168" s="152"/>
      <c r="T1168" s="152">
        <v>45593</v>
      </c>
      <c r="U1168" s="152">
        <v>45624</v>
      </c>
      <c r="V1168" s="152"/>
      <c r="W1168" s="2">
        <f>VLOOKUP(Table1[[#This Row],[Status]],Auxiliar!$B$16:$D$24,3,0)*Table1[[#This Row],[Estimação (horas)]]</f>
        <v>0.5</v>
      </c>
      <c r="X1168" s="114"/>
    </row>
    <row r="1169" spans="2:24" ht="17.7" customHeight="1" x14ac:dyDescent="0.25">
      <c r="B1169" s="39" t="s">
        <v>26</v>
      </c>
      <c r="C1169" s="39" t="s">
        <v>26</v>
      </c>
      <c r="D1169" s="39" t="s">
        <v>1355</v>
      </c>
      <c r="E1169" s="39" t="s">
        <v>1337</v>
      </c>
      <c r="F1169" s="40" t="s">
        <v>1955</v>
      </c>
      <c r="G1169" s="39" t="s">
        <v>384</v>
      </c>
      <c r="H1169" s="59" t="str">
        <f>Table1[[#This Row],[Tabela]]&amp;Table1[[#This Row],[Campo]]</f>
        <v>lt007_instr_activitytyp_actvty</v>
      </c>
      <c r="I1169" s="2" t="s">
        <v>619</v>
      </c>
      <c r="J1169" s="45">
        <f>VLOOKUP(Table1[[#This Row],[Status]],Auxiliar!$B$16:$C$24,2,0)</f>
        <v>7</v>
      </c>
      <c r="K1169" s="45" t="s">
        <v>1255</v>
      </c>
      <c r="L1169" s="46" t="s">
        <v>1258</v>
      </c>
      <c r="M1169" s="21" t="s">
        <v>1259</v>
      </c>
      <c r="N1169" s="48">
        <v>45596</v>
      </c>
      <c r="O1169" s="21">
        <f>INDEX(Auxiliar!$D$5:$F$13,MATCH(Table1[[#This Row],[Tipologia_Testes]],Auxiliar!$B$5:$B$13,0),MATCH(Table1[[#This Row],[Complexidade]],Auxiliar!$D$4:$F$4,0))</f>
        <v>0.1</v>
      </c>
      <c r="P1169" s="43"/>
      <c r="Q1169" s="152"/>
      <c r="R1169" s="152">
        <v>45593</v>
      </c>
      <c r="S1169" s="152"/>
      <c r="T1169" s="152">
        <v>45593</v>
      </c>
      <c r="U1169" s="152">
        <v>45624</v>
      </c>
      <c r="V1169" s="152"/>
      <c r="W1169" s="2">
        <f>VLOOKUP(Table1[[#This Row],[Status]],Auxiliar!$B$16:$D$24,3,0)*Table1[[#This Row],[Estimação (horas)]]</f>
        <v>2.5000000000000001E-2</v>
      </c>
      <c r="X1169" s="114"/>
    </row>
    <row r="1170" spans="2:24" ht="17.7" customHeight="1" x14ac:dyDescent="0.25">
      <c r="B1170" s="41" t="s">
        <v>26</v>
      </c>
      <c r="C1170" s="41" t="s">
        <v>26</v>
      </c>
      <c r="D1170" s="38" t="s">
        <v>1355</v>
      </c>
      <c r="E1170" s="42" t="s">
        <v>1337</v>
      </c>
      <c r="F1170" s="40" t="s">
        <v>380</v>
      </c>
      <c r="G1170" s="38" t="s">
        <v>385</v>
      </c>
      <c r="H1170" s="60" t="str">
        <f>Table1[[#This Row],[Tabela]]&amp;Table1[[#This Row],[Campo]]</f>
        <v>lt002_instrumentlns_clltrlzd_clssfctn</v>
      </c>
      <c r="I1170" s="2" t="s">
        <v>614</v>
      </c>
      <c r="J1170" s="45">
        <f>VLOOKUP(Table1[[#This Row],[Status]],Auxiliar!$B$16:$C$24,2,0)</f>
        <v>1</v>
      </c>
      <c r="K1170" s="45" t="s">
        <v>1252</v>
      </c>
      <c r="L1170" s="46" t="s">
        <v>1258</v>
      </c>
      <c r="M1170" s="21" t="s">
        <v>1259</v>
      </c>
      <c r="N1170" s="48">
        <v>45583</v>
      </c>
      <c r="O1170" s="21">
        <f>INDEX(Auxiliar!$D$5:$F$13,MATCH(Table1[[#This Row],[Tipologia_Testes]],Auxiliar!$B$5:$B$13,0),MATCH(Table1[[#This Row],[Complexidade]],Auxiliar!$D$4:$F$4,0))</f>
        <v>2</v>
      </c>
      <c r="P1170" s="43" t="s">
        <v>1362</v>
      </c>
      <c r="Q1170" s="152"/>
      <c r="R1170" s="152">
        <v>45583</v>
      </c>
      <c r="S1170" s="152"/>
      <c r="T1170" s="152">
        <v>45583</v>
      </c>
      <c r="U1170" s="152">
        <v>45589</v>
      </c>
      <c r="V1170" s="152">
        <v>45589</v>
      </c>
      <c r="W1170" s="2">
        <f>VLOOKUP(Table1[[#This Row],[Status]],Auxiliar!$B$16:$D$24,3,0)*Table1[[#This Row],[Estimação (horas)]]</f>
        <v>2</v>
      </c>
      <c r="X1170" s="114"/>
    </row>
    <row r="1171" spans="2:24" ht="17.7" customHeight="1" x14ac:dyDescent="0.25">
      <c r="B1171" s="39" t="s">
        <v>26</v>
      </c>
      <c r="C1171" s="39" t="s">
        <v>26</v>
      </c>
      <c r="D1171" s="39" t="s">
        <v>1355</v>
      </c>
      <c r="E1171" s="39" t="s">
        <v>1337</v>
      </c>
      <c r="F1171" s="39" t="s">
        <v>380</v>
      </c>
      <c r="G1171" s="39" t="s">
        <v>385</v>
      </c>
      <c r="H1171" s="59" t="str">
        <f>Table1[[#This Row],[Tabela]]&amp;Table1[[#This Row],[Campo]]</f>
        <v>lt002_instrumentlns_clltrlzd_clssfctn</v>
      </c>
      <c r="I1171" s="2" t="s">
        <v>614</v>
      </c>
      <c r="J1171" s="45">
        <f>VLOOKUP(Table1[[#This Row],[Status]],Auxiliar!$B$16:$C$24,2,0)</f>
        <v>1</v>
      </c>
      <c r="K1171" s="45" t="s">
        <v>1253</v>
      </c>
      <c r="L1171" s="46" t="s">
        <v>1258</v>
      </c>
      <c r="M1171" s="21" t="s">
        <v>1259</v>
      </c>
      <c r="N1171" s="48">
        <v>45596</v>
      </c>
      <c r="O1171" s="21">
        <f>INDEX(Auxiliar!$D$5:$F$13,MATCH(Table1[[#This Row],[Tipologia_Testes]],Auxiliar!$B$5:$B$13,0),MATCH(Table1[[#This Row],[Complexidade]],Auxiliar!$D$4:$F$4,0))</f>
        <v>2</v>
      </c>
      <c r="P1171" s="43" t="s">
        <v>1362</v>
      </c>
      <c r="Q1171" s="152"/>
      <c r="R1171" s="152">
        <v>45583</v>
      </c>
      <c r="S1171" s="152"/>
      <c r="T1171" s="152">
        <v>45583</v>
      </c>
      <c r="U1171" s="152"/>
      <c r="V1171" s="152">
        <v>45589</v>
      </c>
      <c r="W1171" s="2">
        <f>VLOOKUP(Table1[[#This Row],[Status]],Auxiliar!$B$16:$D$24,3,0)*Table1[[#This Row],[Estimação (horas)]]</f>
        <v>2</v>
      </c>
      <c r="X1171" s="114"/>
    </row>
    <row r="1172" spans="2:24" ht="17.7" customHeight="1" x14ac:dyDescent="0.25">
      <c r="B1172" s="39" t="s">
        <v>26</v>
      </c>
      <c r="C1172" s="39" t="s">
        <v>26</v>
      </c>
      <c r="D1172" s="39" t="s">
        <v>1355</v>
      </c>
      <c r="E1172" s="39" t="s">
        <v>1337</v>
      </c>
      <c r="F1172" s="39" t="s">
        <v>380</v>
      </c>
      <c r="G1172" s="39" t="s">
        <v>385</v>
      </c>
      <c r="H1172" s="59" t="str">
        <f>Table1[[#This Row],[Tabela]]&amp;Table1[[#This Row],[Campo]]</f>
        <v>lt002_instrumentlns_clltrlzd_clssfctn</v>
      </c>
      <c r="I1172" s="2" t="s">
        <v>614</v>
      </c>
      <c r="J1172" s="45">
        <f>VLOOKUP(Table1[[#This Row],[Status]],Auxiliar!$B$16:$C$24,2,0)</f>
        <v>1</v>
      </c>
      <c r="K1172" s="45" t="s">
        <v>1255</v>
      </c>
      <c r="L1172" s="46" t="s">
        <v>1258</v>
      </c>
      <c r="M1172" s="21" t="s">
        <v>1259</v>
      </c>
      <c r="N1172" s="48">
        <v>45596</v>
      </c>
      <c r="O1172" s="21">
        <f>INDEX(Auxiliar!$D$5:$F$13,MATCH(Table1[[#This Row],[Tipologia_Testes]],Auxiliar!$B$5:$B$13,0),MATCH(Table1[[#This Row],[Complexidade]],Auxiliar!$D$4:$F$4,0))</f>
        <v>0.1</v>
      </c>
      <c r="P1172" s="43" t="s">
        <v>1362</v>
      </c>
      <c r="Q1172" s="152"/>
      <c r="R1172" s="152">
        <v>45583</v>
      </c>
      <c r="S1172" s="152"/>
      <c r="T1172" s="152">
        <v>45583</v>
      </c>
      <c r="U1172" s="152"/>
      <c r="V1172" s="152">
        <v>45589</v>
      </c>
      <c r="W1172" s="2">
        <f>VLOOKUP(Table1[[#This Row],[Status]],Auxiliar!$B$16:$D$24,3,0)*Table1[[#This Row],[Estimação (horas)]]</f>
        <v>0.1</v>
      </c>
      <c r="X1172" s="114"/>
    </row>
    <row r="1173" spans="2:24" ht="34.950000000000003" customHeight="1" x14ac:dyDescent="0.25">
      <c r="B1173" s="41" t="s">
        <v>26</v>
      </c>
      <c r="C1173" s="41" t="s">
        <v>26</v>
      </c>
      <c r="D1173" s="37" t="s">
        <v>1956</v>
      </c>
      <c r="E1173" s="111" t="s">
        <v>38</v>
      </c>
      <c r="F1173" s="40" t="s">
        <v>380</v>
      </c>
      <c r="G1173" s="38" t="s">
        <v>386</v>
      </c>
      <c r="H1173" s="60" t="str">
        <f>Table1[[#This Row],[Tabela]]&amp;Table1[[#This Row],[Campo]]</f>
        <v>lt002_instrumentmthd_usd_instrmnt_scp_1</v>
      </c>
      <c r="I1173" s="2" t="s">
        <v>619</v>
      </c>
      <c r="J1173" s="45">
        <f>VLOOKUP(Table1[[#This Row],[Status]],Auxiliar!$B$16:$C$24,2,0)</f>
        <v>7</v>
      </c>
      <c r="K1173" s="45" t="s">
        <v>1252</v>
      </c>
      <c r="L1173" s="46" t="s">
        <v>1258</v>
      </c>
      <c r="M1173" s="21" t="s">
        <v>1259</v>
      </c>
      <c r="N1173" s="48">
        <v>45625</v>
      </c>
      <c r="O1173" s="21">
        <f>INDEX(Auxiliar!$D$5:$F$13,MATCH(Table1[[#This Row],[Tipologia_Testes]],Auxiliar!$B$5:$B$13,0),MATCH(Table1[[#This Row],[Complexidade]],Auxiliar!$D$4:$F$4,0))</f>
        <v>2</v>
      </c>
      <c r="P1173" s="43"/>
      <c r="Q1173" s="152"/>
      <c r="R1173" s="152">
        <v>45622</v>
      </c>
      <c r="S1173" s="152"/>
      <c r="T1173" s="152"/>
      <c r="U1173" s="152"/>
      <c r="V1173" s="152"/>
      <c r="W1173" s="2">
        <f>VLOOKUP(Table1[[#This Row],[Status]],Auxiliar!$B$16:$D$24,3,0)*Table1[[#This Row],[Estimação (horas)]]</f>
        <v>0.5</v>
      </c>
      <c r="X1173" s="114"/>
    </row>
    <row r="1174" spans="2:24" ht="17.7" customHeight="1" x14ac:dyDescent="0.25">
      <c r="B1174" s="39" t="s">
        <v>26</v>
      </c>
      <c r="C1174" s="39" t="s">
        <v>26</v>
      </c>
      <c r="D1174" s="39" t="s">
        <v>1956</v>
      </c>
      <c r="E1174" s="39" t="s">
        <v>38</v>
      </c>
      <c r="F1174" s="39" t="s">
        <v>380</v>
      </c>
      <c r="G1174" s="39" t="s">
        <v>386</v>
      </c>
      <c r="H1174" s="59" t="str">
        <f>Table1[[#This Row],[Tabela]]&amp;Table1[[#This Row],[Campo]]</f>
        <v>lt002_instrumentmthd_usd_instrmnt_scp_1</v>
      </c>
      <c r="I1174" s="2" t="s">
        <v>619</v>
      </c>
      <c r="J1174" s="45">
        <f>VLOOKUP(Table1[[#This Row],[Status]],Auxiliar!$B$16:$C$24,2,0)</f>
        <v>7</v>
      </c>
      <c r="K1174" s="45" t="s">
        <v>1253</v>
      </c>
      <c r="L1174" s="46" t="s">
        <v>1258</v>
      </c>
      <c r="M1174" s="21" t="s">
        <v>1259</v>
      </c>
      <c r="N1174" s="48">
        <v>45625</v>
      </c>
      <c r="O1174" s="21">
        <f>INDEX(Auxiliar!$D$5:$F$13,MATCH(Table1[[#This Row],[Tipologia_Testes]],Auxiliar!$B$5:$B$13,0),MATCH(Table1[[#This Row],[Complexidade]],Auxiliar!$D$4:$F$4,0))</f>
        <v>2</v>
      </c>
      <c r="P1174" s="43"/>
      <c r="Q1174" s="152"/>
      <c r="R1174" s="152">
        <v>45622</v>
      </c>
      <c r="S1174" s="152"/>
      <c r="T1174" s="152"/>
      <c r="U1174" s="152"/>
      <c r="V1174" s="152"/>
      <c r="W1174" s="2">
        <f>VLOOKUP(Table1[[#This Row],[Status]],Auxiliar!$B$16:$D$24,3,0)*Table1[[#This Row],[Estimação (horas)]]</f>
        <v>0.5</v>
      </c>
      <c r="X1174" s="114"/>
    </row>
    <row r="1175" spans="2:24" ht="17.7" customHeight="1" x14ac:dyDescent="0.25">
      <c r="B1175" s="39" t="s">
        <v>26</v>
      </c>
      <c r="C1175" s="39" t="s">
        <v>26</v>
      </c>
      <c r="D1175" s="39" t="s">
        <v>1956</v>
      </c>
      <c r="E1175" s="39" t="s">
        <v>38</v>
      </c>
      <c r="F1175" s="39" t="s">
        <v>380</v>
      </c>
      <c r="G1175" s="39" t="s">
        <v>386</v>
      </c>
      <c r="H1175" s="59" t="str">
        <f>Table1[[#This Row],[Tabela]]&amp;Table1[[#This Row],[Campo]]</f>
        <v>lt002_instrumentmthd_usd_instrmnt_scp_1</v>
      </c>
      <c r="I1175" s="2" t="s">
        <v>619</v>
      </c>
      <c r="J1175" s="45">
        <f>VLOOKUP(Table1[[#This Row],[Status]],Auxiliar!$B$16:$C$24,2,0)</f>
        <v>7</v>
      </c>
      <c r="K1175" s="45" t="s">
        <v>1255</v>
      </c>
      <c r="L1175" s="46" t="s">
        <v>1258</v>
      </c>
      <c r="M1175" s="21" t="s">
        <v>1259</v>
      </c>
      <c r="N1175" s="48">
        <v>45625</v>
      </c>
      <c r="O1175" s="21">
        <f>INDEX(Auxiliar!$D$5:$F$13,MATCH(Table1[[#This Row],[Tipologia_Testes]],Auxiliar!$B$5:$B$13,0),MATCH(Table1[[#This Row],[Complexidade]],Auxiliar!$D$4:$F$4,0))</f>
        <v>0.1</v>
      </c>
      <c r="P1175" s="43"/>
      <c r="Q1175" s="152"/>
      <c r="R1175" s="152">
        <v>45622</v>
      </c>
      <c r="S1175" s="152"/>
      <c r="T1175" s="152"/>
      <c r="U1175" s="152"/>
      <c r="V1175" s="152"/>
      <c r="W1175" s="2">
        <f>VLOOKUP(Table1[[#This Row],[Status]],Auxiliar!$B$16:$D$24,3,0)*Table1[[#This Row],[Estimação (horas)]]</f>
        <v>2.5000000000000001E-2</v>
      </c>
      <c r="X1175" s="114"/>
    </row>
    <row r="1176" spans="2:24" ht="34.950000000000003" customHeight="1" x14ac:dyDescent="0.25">
      <c r="B1176" s="41" t="s">
        <v>26</v>
      </c>
      <c r="C1176" s="41" t="s">
        <v>26</v>
      </c>
      <c r="D1176" s="37" t="s">
        <v>1956</v>
      </c>
      <c r="E1176" s="111" t="s">
        <v>38</v>
      </c>
      <c r="F1176" s="40" t="s">
        <v>380</v>
      </c>
      <c r="G1176" s="38" t="s">
        <v>387</v>
      </c>
      <c r="H1176" s="60" t="str">
        <f>Table1[[#This Row],[Tabela]]&amp;Table1[[#This Row],[Campo]]</f>
        <v>lt002_instrumentmthd_usd_instrmnt_scp_2</v>
      </c>
      <c r="I1176" s="2" t="s">
        <v>619</v>
      </c>
      <c r="J1176" s="45">
        <f>VLOOKUP(Table1[[#This Row],[Status]],Auxiliar!$B$16:$C$24,2,0)</f>
        <v>7</v>
      </c>
      <c r="K1176" s="45" t="s">
        <v>1252</v>
      </c>
      <c r="L1176" s="46" t="s">
        <v>1258</v>
      </c>
      <c r="M1176" s="21" t="s">
        <v>1259</v>
      </c>
      <c r="N1176" s="48">
        <v>45625</v>
      </c>
      <c r="O1176" s="21">
        <f>INDEX(Auxiliar!$D$5:$F$13,MATCH(Table1[[#This Row],[Tipologia_Testes]],Auxiliar!$B$5:$B$13,0),MATCH(Table1[[#This Row],[Complexidade]],Auxiliar!$D$4:$F$4,0))</f>
        <v>2</v>
      </c>
      <c r="P1176" s="43"/>
      <c r="Q1176" s="152"/>
      <c r="R1176" s="152">
        <v>45622</v>
      </c>
      <c r="S1176" s="152"/>
      <c r="T1176" s="152"/>
      <c r="U1176" s="152"/>
      <c r="V1176" s="152"/>
      <c r="W1176" s="2">
        <f>VLOOKUP(Table1[[#This Row],[Status]],Auxiliar!$B$16:$D$24,3,0)*Table1[[#This Row],[Estimação (horas)]]</f>
        <v>0.5</v>
      </c>
      <c r="X1176" s="114"/>
    </row>
    <row r="1177" spans="2:24" ht="17.7" customHeight="1" x14ac:dyDescent="0.25">
      <c r="B1177" s="39" t="s">
        <v>26</v>
      </c>
      <c r="C1177" s="39" t="s">
        <v>26</v>
      </c>
      <c r="D1177" s="39" t="s">
        <v>1956</v>
      </c>
      <c r="E1177" s="39" t="s">
        <v>38</v>
      </c>
      <c r="F1177" s="39" t="s">
        <v>380</v>
      </c>
      <c r="G1177" s="39" t="s">
        <v>387</v>
      </c>
      <c r="H1177" s="59" t="str">
        <f>Table1[[#This Row],[Tabela]]&amp;Table1[[#This Row],[Campo]]</f>
        <v>lt002_instrumentmthd_usd_instrmnt_scp_2</v>
      </c>
      <c r="I1177" s="2" t="s">
        <v>619</v>
      </c>
      <c r="J1177" s="45">
        <f>VLOOKUP(Table1[[#This Row],[Status]],Auxiliar!$B$16:$C$24,2,0)</f>
        <v>7</v>
      </c>
      <c r="K1177" s="45" t="s">
        <v>1253</v>
      </c>
      <c r="L1177" s="46" t="s">
        <v>1258</v>
      </c>
      <c r="M1177" s="21" t="s">
        <v>1259</v>
      </c>
      <c r="N1177" s="48">
        <v>45625</v>
      </c>
      <c r="O1177" s="21">
        <f>INDEX(Auxiliar!$D$5:$F$13,MATCH(Table1[[#This Row],[Tipologia_Testes]],Auxiliar!$B$5:$B$13,0),MATCH(Table1[[#This Row],[Complexidade]],Auxiliar!$D$4:$F$4,0))</f>
        <v>2</v>
      </c>
      <c r="P1177" s="43"/>
      <c r="Q1177" s="152"/>
      <c r="R1177" s="152">
        <v>45622</v>
      </c>
      <c r="S1177" s="152"/>
      <c r="T1177" s="152"/>
      <c r="U1177" s="152"/>
      <c r="V1177" s="152"/>
      <c r="W1177" s="2">
        <f>VLOOKUP(Table1[[#This Row],[Status]],Auxiliar!$B$16:$D$24,3,0)*Table1[[#This Row],[Estimação (horas)]]</f>
        <v>0.5</v>
      </c>
      <c r="X1177" s="114"/>
    </row>
    <row r="1178" spans="2:24" ht="17.7" customHeight="1" x14ac:dyDescent="0.25">
      <c r="B1178" s="39" t="s">
        <v>26</v>
      </c>
      <c r="C1178" s="39" t="s">
        <v>26</v>
      </c>
      <c r="D1178" s="39" t="s">
        <v>1956</v>
      </c>
      <c r="E1178" s="39" t="s">
        <v>38</v>
      </c>
      <c r="F1178" s="39" t="s">
        <v>380</v>
      </c>
      <c r="G1178" s="39" t="s">
        <v>387</v>
      </c>
      <c r="H1178" s="59" t="str">
        <f>Table1[[#This Row],[Tabela]]&amp;Table1[[#This Row],[Campo]]</f>
        <v>lt002_instrumentmthd_usd_instrmnt_scp_2</v>
      </c>
      <c r="I1178" s="2" t="s">
        <v>619</v>
      </c>
      <c r="J1178" s="45">
        <f>VLOOKUP(Table1[[#This Row],[Status]],Auxiliar!$B$16:$C$24,2,0)</f>
        <v>7</v>
      </c>
      <c r="K1178" s="45" t="s">
        <v>1255</v>
      </c>
      <c r="L1178" s="46" t="s">
        <v>1258</v>
      </c>
      <c r="M1178" s="21" t="s">
        <v>1259</v>
      </c>
      <c r="N1178" s="48">
        <v>45625</v>
      </c>
      <c r="O1178" s="21">
        <f>INDEX(Auxiliar!$D$5:$F$13,MATCH(Table1[[#This Row],[Tipologia_Testes]],Auxiliar!$B$5:$B$13,0),MATCH(Table1[[#This Row],[Complexidade]],Auxiliar!$D$4:$F$4,0))</f>
        <v>0.1</v>
      </c>
      <c r="P1178" s="43"/>
      <c r="Q1178" s="152"/>
      <c r="R1178" s="152">
        <v>45622</v>
      </c>
      <c r="S1178" s="152"/>
      <c r="T1178" s="152"/>
      <c r="U1178" s="152"/>
      <c r="V1178" s="152"/>
      <c r="W1178" s="2">
        <f>VLOOKUP(Table1[[#This Row],[Status]],Auxiliar!$B$16:$D$24,3,0)*Table1[[#This Row],[Estimação (horas)]]</f>
        <v>2.5000000000000001E-2</v>
      </c>
      <c r="X1178" s="114"/>
    </row>
    <row r="1179" spans="2:24" ht="34.950000000000003" customHeight="1" x14ac:dyDescent="0.25">
      <c r="B1179" s="39" t="s">
        <v>26</v>
      </c>
      <c r="C1179" s="39" t="s">
        <v>26</v>
      </c>
      <c r="D1179" s="37" t="s">
        <v>1956</v>
      </c>
      <c r="E1179" s="111" t="s">
        <v>38</v>
      </c>
      <c r="F1179" s="40" t="s">
        <v>380</v>
      </c>
      <c r="G1179" s="38" t="s">
        <v>388</v>
      </c>
      <c r="H1179" s="60" t="str">
        <f>Table1[[#This Row],[Tabela]]&amp;Table1[[#This Row],[Campo]]</f>
        <v>lt002_instrumentmthd_usd_instrmnt_scp_3</v>
      </c>
      <c r="I1179" s="2" t="s">
        <v>619</v>
      </c>
      <c r="J1179" s="45">
        <f>VLOOKUP(Table1[[#This Row],[Status]],Auxiliar!$B$16:$C$24,2,0)</f>
        <v>7</v>
      </c>
      <c r="K1179" s="45" t="s">
        <v>1252</v>
      </c>
      <c r="L1179" s="46" t="s">
        <v>1258</v>
      </c>
      <c r="M1179" s="21" t="s">
        <v>1259</v>
      </c>
      <c r="N1179" s="48">
        <v>45625</v>
      </c>
      <c r="O1179" s="21">
        <f>INDEX(Auxiliar!$D$5:$F$13,MATCH(Table1[[#This Row],[Tipologia_Testes]],Auxiliar!$B$5:$B$13,0),MATCH(Table1[[#This Row],[Complexidade]],Auxiliar!$D$4:$F$4,0))</f>
        <v>2</v>
      </c>
      <c r="P1179" s="43"/>
      <c r="Q1179" s="152"/>
      <c r="R1179" s="152">
        <v>45622</v>
      </c>
      <c r="S1179" s="152"/>
      <c r="T1179" s="152"/>
      <c r="U1179" s="152"/>
      <c r="V1179" s="152"/>
      <c r="W1179" s="2">
        <f>VLOOKUP(Table1[[#This Row],[Status]],Auxiliar!$B$16:$D$24,3,0)*Table1[[#This Row],[Estimação (horas)]]</f>
        <v>0.5</v>
      </c>
      <c r="X1179" s="114"/>
    </row>
    <row r="1180" spans="2:24" ht="17.7" customHeight="1" x14ac:dyDescent="0.25">
      <c r="B1180" s="39" t="s">
        <v>26</v>
      </c>
      <c r="C1180" s="39" t="s">
        <v>26</v>
      </c>
      <c r="D1180" s="39" t="s">
        <v>1956</v>
      </c>
      <c r="E1180" s="39" t="s">
        <v>38</v>
      </c>
      <c r="F1180" s="39" t="s">
        <v>380</v>
      </c>
      <c r="G1180" s="39" t="s">
        <v>388</v>
      </c>
      <c r="H1180" s="59" t="str">
        <f>Table1[[#This Row],[Tabela]]&amp;Table1[[#This Row],[Campo]]</f>
        <v>lt002_instrumentmthd_usd_instrmnt_scp_3</v>
      </c>
      <c r="I1180" s="2" t="s">
        <v>619</v>
      </c>
      <c r="J1180" s="45">
        <f>VLOOKUP(Table1[[#This Row],[Status]],Auxiliar!$B$16:$C$24,2,0)</f>
        <v>7</v>
      </c>
      <c r="K1180" s="45" t="s">
        <v>1253</v>
      </c>
      <c r="L1180" s="46" t="s">
        <v>1258</v>
      </c>
      <c r="M1180" s="21" t="s">
        <v>1259</v>
      </c>
      <c r="N1180" s="48">
        <v>45625</v>
      </c>
      <c r="O1180" s="21">
        <f>INDEX(Auxiliar!$D$5:$F$13,MATCH(Table1[[#This Row],[Tipologia_Testes]],Auxiliar!$B$5:$B$13,0),MATCH(Table1[[#This Row],[Complexidade]],Auxiliar!$D$4:$F$4,0))</f>
        <v>2</v>
      </c>
      <c r="P1180" s="43"/>
      <c r="Q1180" s="152"/>
      <c r="R1180" s="152">
        <v>45622</v>
      </c>
      <c r="S1180" s="152"/>
      <c r="T1180" s="152"/>
      <c r="U1180" s="152"/>
      <c r="V1180" s="152"/>
      <c r="W1180" s="2">
        <f>VLOOKUP(Table1[[#This Row],[Status]],Auxiliar!$B$16:$D$24,3,0)*Table1[[#This Row],[Estimação (horas)]]</f>
        <v>0.5</v>
      </c>
      <c r="X1180" s="114"/>
    </row>
    <row r="1181" spans="2:24" ht="17.7" customHeight="1" x14ac:dyDescent="0.25">
      <c r="B1181" s="39" t="s">
        <v>26</v>
      </c>
      <c r="C1181" s="39" t="s">
        <v>26</v>
      </c>
      <c r="D1181" s="39" t="s">
        <v>1956</v>
      </c>
      <c r="E1181" s="39" t="s">
        <v>38</v>
      </c>
      <c r="F1181" s="39" t="s">
        <v>380</v>
      </c>
      <c r="G1181" s="39" t="s">
        <v>388</v>
      </c>
      <c r="H1181" s="59" t="str">
        <f>Table1[[#This Row],[Tabela]]&amp;Table1[[#This Row],[Campo]]</f>
        <v>lt002_instrumentmthd_usd_instrmnt_scp_3</v>
      </c>
      <c r="I1181" s="2" t="s">
        <v>619</v>
      </c>
      <c r="J1181" s="45">
        <f>VLOOKUP(Table1[[#This Row],[Status]],Auxiliar!$B$16:$C$24,2,0)</f>
        <v>7</v>
      </c>
      <c r="K1181" s="45" t="s">
        <v>1255</v>
      </c>
      <c r="L1181" s="46" t="s">
        <v>1258</v>
      </c>
      <c r="M1181" s="21" t="s">
        <v>1259</v>
      </c>
      <c r="N1181" s="48">
        <v>45625</v>
      </c>
      <c r="O1181" s="21">
        <f>INDEX(Auxiliar!$D$5:$F$13,MATCH(Table1[[#This Row],[Tipologia_Testes]],Auxiliar!$B$5:$B$13,0),MATCH(Table1[[#This Row],[Complexidade]],Auxiliar!$D$4:$F$4,0))</f>
        <v>0.1</v>
      </c>
      <c r="P1181" s="43"/>
      <c r="Q1181" s="152"/>
      <c r="R1181" s="152">
        <v>45622</v>
      </c>
      <c r="S1181" s="152"/>
      <c r="T1181" s="152"/>
      <c r="U1181" s="152"/>
      <c r="V1181" s="152"/>
      <c r="W1181" s="2">
        <f>VLOOKUP(Table1[[#This Row],[Status]],Auxiliar!$B$16:$D$24,3,0)*Table1[[#This Row],[Estimação (horas)]]</f>
        <v>2.5000000000000001E-2</v>
      </c>
      <c r="X1181" s="114"/>
    </row>
    <row r="1182" spans="2:24" ht="17.7" customHeight="1" x14ac:dyDescent="0.25">
      <c r="B1182" s="39" t="s">
        <v>26</v>
      </c>
      <c r="C1182" s="39" t="s">
        <v>26</v>
      </c>
      <c r="D1182" s="40" t="s">
        <v>1363</v>
      </c>
      <c r="E1182" s="42" t="s">
        <v>1364</v>
      </c>
      <c r="F1182" s="40" t="s">
        <v>380</v>
      </c>
      <c r="G1182" s="38" t="s">
        <v>389</v>
      </c>
      <c r="H1182" s="60" t="str">
        <f>Table1[[#This Row],[Tabela]]&amp;Table1[[#This Row],[Campo]]</f>
        <v>lt002_instrumentsstnbl_ctgry_txnmy</v>
      </c>
      <c r="I1182" s="2" t="s">
        <v>1927</v>
      </c>
      <c r="J1182" s="45">
        <f>VLOOKUP(Table1[[#This Row],[Status]],Auxiliar!$B$16:$C$24,2,0)</f>
        <v>2</v>
      </c>
      <c r="K1182" s="45" t="s">
        <v>1252</v>
      </c>
      <c r="L1182" s="46" t="s">
        <v>1258</v>
      </c>
      <c r="M1182" s="21" t="s">
        <v>1259</v>
      </c>
      <c r="N1182" s="48">
        <v>45611</v>
      </c>
      <c r="O1182" s="21">
        <f>INDEX(Auxiliar!$D$5:$F$13,MATCH(Table1[[#This Row],[Tipologia_Testes]],Auxiliar!$B$5:$B$13,0),MATCH(Table1[[#This Row],[Complexidade]],Auxiliar!$D$4:$F$4,0))</f>
        <v>2</v>
      </c>
      <c r="P1182" s="43"/>
      <c r="Q1182" s="152"/>
      <c r="R1182" s="152">
        <v>45593</v>
      </c>
      <c r="S1182" s="152"/>
      <c r="T1182" s="152">
        <v>45593</v>
      </c>
      <c r="U1182" s="152">
        <v>45611</v>
      </c>
      <c r="V1182" s="152">
        <v>374329</v>
      </c>
      <c r="W1182" s="2">
        <f>VLOOKUP(Table1[[#This Row],[Status]],Auxiliar!$B$16:$D$24,3,0)*Table1[[#This Row],[Estimação (horas)]]</f>
        <v>1</v>
      </c>
      <c r="X1182" s="114"/>
    </row>
    <row r="1183" spans="2:24" ht="17.7" customHeight="1" x14ac:dyDescent="0.25">
      <c r="B1183" s="39" t="s">
        <v>26</v>
      </c>
      <c r="C1183" s="39" t="s">
        <v>26</v>
      </c>
      <c r="D1183" s="39" t="s">
        <v>1363</v>
      </c>
      <c r="E1183" s="39" t="s">
        <v>1364</v>
      </c>
      <c r="F1183" s="39" t="s">
        <v>380</v>
      </c>
      <c r="G1183" s="39" t="s">
        <v>389</v>
      </c>
      <c r="H1183" s="59" t="str">
        <f>Table1[[#This Row],[Tabela]]&amp;Table1[[#This Row],[Campo]]</f>
        <v>lt002_instrumentsstnbl_ctgry_txnmy</v>
      </c>
      <c r="I1183" s="2" t="s">
        <v>1927</v>
      </c>
      <c r="J1183" s="45">
        <f>VLOOKUP(Table1[[#This Row],[Status]],Auxiliar!$B$16:$C$24,2,0)</f>
        <v>2</v>
      </c>
      <c r="K1183" s="45" t="s">
        <v>1253</v>
      </c>
      <c r="L1183" s="46" t="s">
        <v>1258</v>
      </c>
      <c r="M1183" s="21" t="s">
        <v>1259</v>
      </c>
      <c r="N1183" s="48">
        <v>45611</v>
      </c>
      <c r="O1183" s="21">
        <f>INDEX(Auxiliar!$D$5:$F$13,MATCH(Table1[[#This Row],[Tipologia_Testes]],Auxiliar!$B$5:$B$13,0),MATCH(Table1[[#This Row],[Complexidade]],Auxiliar!$D$4:$F$4,0))</f>
        <v>2</v>
      </c>
      <c r="P1183" s="43"/>
      <c r="Q1183" s="152"/>
      <c r="R1183" s="152">
        <v>45593</v>
      </c>
      <c r="S1183" s="152"/>
      <c r="T1183" s="152">
        <v>45593</v>
      </c>
      <c r="U1183" s="152">
        <v>45611</v>
      </c>
      <c r="V1183" s="152">
        <v>374329</v>
      </c>
      <c r="W1183" s="2">
        <f>VLOOKUP(Table1[[#This Row],[Status]],Auxiliar!$B$16:$D$24,3,0)*Table1[[#This Row],[Estimação (horas)]]</f>
        <v>1</v>
      </c>
      <c r="X1183" s="114"/>
    </row>
    <row r="1184" spans="2:24" ht="17.7" customHeight="1" x14ac:dyDescent="0.25">
      <c r="B1184" s="39" t="s">
        <v>26</v>
      </c>
      <c r="C1184" s="39" t="s">
        <v>26</v>
      </c>
      <c r="D1184" s="39" t="s">
        <v>1363</v>
      </c>
      <c r="E1184" s="39" t="s">
        <v>1364</v>
      </c>
      <c r="F1184" s="39" t="s">
        <v>380</v>
      </c>
      <c r="G1184" s="39" t="s">
        <v>389</v>
      </c>
      <c r="H1184" s="59" t="str">
        <f>Table1[[#This Row],[Tabela]]&amp;Table1[[#This Row],[Campo]]</f>
        <v>lt002_instrumentsstnbl_ctgry_txnmy</v>
      </c>
      <c r="I1184" s="2" t="s">
        <v>1927</v>
      </c>
      <c r="J1184" s="45">
        <f>VLOOKUP(Table1[[#This Row],[Status]],Auxiliar!$B$16:$C$24,2,0)</f>
        <v>2</v>
      </c>
      <c r="K1184" s="45" t="s">
        <v>1255</v>
      </c>
      <c r="L1184" s="46" t="s">
        <v>1258</v>
      </c>
      <c r="M1184" s="21" t="s">
        <v>1259</v>
      </c>
      <c r="N1184" s="48">
        <v>45611</v>
      </c>
      <c r="O1184" s="21">
        <f>INDEX(Auxiliar!$D$5:$F$13,MATCH(Table1[[#This Row],[Tipologia_Testes]],Auxiliar!$B$5:$B$13,0),MATCH(Table1[[#This Row],[Complexidade]],Auxiliar!$D$4:$F$4,0))</f>
        <v>0.1</v>
      </c>
      <c r="P1184" s="43"/>
      <c r="Q1184" s="152"/>
      <c r="R1184" s="152">
        <v>45593</v>
      </c>
      <c r="S1184" s="152"/>
      <c r="T1184" s="152">
        <v>45593</v>
      </c>
      <c r="U1184" s="152">
        <v>45611</v>
      </c>
      <c r="V1184" s="152">
        <v>374329</v>
      </c>
      <c r="W1184" s="2">
        <f>VLOOKUP(Table1[[#This Row],[Status]],Auxiliar!$B$16:$D$24,3,0)*Table1[[#This Row],[Estimação (horas)]]</f>
        <v>0.05</v>
      </c>
      <c r="X1184" s="114"/>
    </row>
    <row r="1185" spans="2:24" ht="17.7" customHeight="1" x14ac:dyDescent="0.25">
      <c r="B1185" s="39" t="s">
        <v>26</v>
      </c>
      <c r="C1185" s="39" t="s">
        <v>26</v>
      </c>
      <c r="D1185" s="2" t="s">
        <v>38</v>
      </c>
      <c r="E1185" s="40" t="s">
        <v>38</v>
      </c>
      <c r="F1185" s="40" t="s">
        <v>1956</v>
      </c>
      <c r="G1185" s="40" t="s">
        <v>391</v>
      </c>
      <c r="H1185" s="60" t="str">
        <f>Table1[[#This Row],[Tabela]]&amp;Table1[[#This Row],[Campo]]</f>
        <v>lt827_mthd_usd_instrmntambito</v>
      </c>
      <c r="I1185" s="2" t="s">
        <v>614</v>
      </c>
      <c r="J1185" s="45">
        <f>VLOOKUP(Table1[[#This Row],[Status]],Auxiliar!$B$16:$C$24,2,0)</f>
        <v>1</v>
      </c>
      <c r="K1185" s="45" t="s">
        <v>1252</v>
      </c>
      <c r="L1185" s="46" t="s">
        <v>1258</v>
      </c>
      <c r="M1185" s="21" t="s">
        <v>1259</v>
      </c>
      <c r="N1185" s="48">
        <v>45611</v>
      </c>
      <c r="O1185" s="21">
        <f>INDEX(Auxiliar!$D$5:$F$13,MATCH(Table1[[#This Row],[Tipologia_Testes]],Auxiliar!$B$5:$B$13,0),MATCH(Table1[[#This Row],[Complexidade]],Auxiliar!$D$4:$F$4,0))</f>
        <v>2</v>
      </c>
      <c r="P1185" s="43"/>
      <c r="Q1185" s="152"/>
      <c r="R1185" s="152">
        <v>45593</v>
      </c>
      <c r="S1185" s="152"/>
      <c r="T1185" s="152">
        <v>45593</v>
      </c>
      <c r="U1185" s="152">
        <v>45611</v>
      </c>
      <c r="V1185" s="152">
        <v>45611</v>
      </c>
      <c r="W1185" s="2">
        <f>VLOOKUP(Table1[[#This Row],[Status]],Auxiliar!$B$16:$D$24,3,0)*Table1[[#This Row],[Estimação (horas)]]</f>
        <v>2</v>
      </c>
      <c r="X1185" s="114"/>
    </row>
    <row r="1186" spans="2:24" ht="17.7" customHeight="1" x14ac:dyDescent="0.25">
      <c r="B1186" s="39" t="s">
        <v>26</v>
      </c>
      <c r="C1186" s="39" t="s">
        <v>26</v>
      </c>
      <c r="D1186" s="2" t="s">
        <v>38</v>
      </c>
      <c r="E1186" s="39" t="s">
        <v>38</v>
      </c>
      <c r="F1186" s="39" t="s">
        <v>1956</v>
      </c>
      <c r="G1186" s="39" t="s">
        <v>391</v>
      </c>
      <c r="H1186" s="59" t="str">
        <f>Table1[[#This Row],[Tabela]]&amp;Table1[[#This Row],[Campo]]</f>
        <v>lt827_mthd_usd_instrmntambito</v>
      </c>
      <c r="I1186" s="2" t="s">
        <v>614</v>
      </c>
      <c r="J1186" s="45">
        <f>VLOOKUP(Table1[[#This Row],[Status]],Auxiliar!$B$16:$C$24,2,0)</f>
        <v>1</v>
      </c>
      <c r="K1186" s="45" t="s">
        <v>1253</v>
      </c>
      <c r="L1186" s="46" t="s">
        <v>1258</v>
      </c>
      <c r="M1186" s="21" t="s">
        <v>1259</v>
      </c>
      <c r="N1186" s="48">
        <v>45611</v>
      </c>
      <c r="O1186" s="21">
        <f>INDEX(Auxiliar!$D$5:$F$13,MATCH(Table1[[#This Row],[Tipologia_Testes]],Auxiliar!$B$5:$B$13,0),MATCH(Table1[[#This Row],[Complexidade]],Auxiliar!$D$4:$F$4,0))</f>
        <v>2</v>
      </c>
      <c r="P1186" s="43"/>
      <c r="Q1186" s="152"/>
      <c r="R1186" s="152">
        <v>45593</v>
      </c>
      <c r="S1186" s="152"/>
      <c r="T1186" s="152">
        <v>45593</v>
      </c>
      <c r="U1186" s="152">
        <v>45611</v>
      </c>
      <c r="V1186" s="152">
        <v>45611</v>
      </c>
      <c r="W1186" s="2">
        <f>VLOOKUP(Table1[[#This Row],[Status]],Auxiliar!$B$16:$D$24,3,0)*Table1[[#This Row],[Estimação (horas)]]</f>
        <v>2</v>
      </c>
      <c r="X1186" s="114"/>
    </row>
    <row r="1187" spans="2:24" ht="17.7" customHeight="1" x14ac:dyDescent="0.25">
      <c r="B1187" s="39" t="s">
        <v>26</v>
      </c>
      <c r="C1187" s="39" t="s">
        <v>26</v>
      </c>
      <c r="D1187" s="2" t="s">
        <v>38</v>
      </c>
      <c r="E1187" s="39" t="s">
        <v>38</v>
      </c>
      <c r="F1187" s="39" t="s">
        <v>1956</v>
      </c>
      <c r="G1187" s="39" t="s">
        <v>391</v>
      </c>
      <c r="H1187" s="59" t="str">
        <f>Table1[[#This Row],[Tabela]]&amp;Table1[[#This Row],[Campo]]</f>
        <v>lt827_mthd_usd_instrmntambito</v>
      </c>
      <c r="I1187" s="2" t="s">
        <v>614</v>
      </c>
      <c r="J1187" s="45">
        <f>VLOOKUP(Table1[[#This Row],[Status]],Auxiliar!$B$16:$C$24,2,0)</f>
        <v>1</v>
      </c>
      <c r="K1187" s="45" t="s">
        <v>1255</v>
      </c>
      <c r="L1187" s="46" t="s">
        <v>1258</v>
      </c>
      <c r="M1187" s="21" t="s">
        <v>1259</v>
      </c>
      <c r="N1187" s="48">
        <v>45611</v>
      </c>
      <c r="O1187" s="21">
        <f>INDEX(Auxiliar!$D$5:$F$13,MATCH(Table1[[#This Row],[Tipologia_Testes]],Auxiliar!$B$5:$B$13,0),MATCH(Table1[[#This Row],[Complexidade]],Auxiliar!$D$4:$F$4,0))</f>
        <v>0.1</v>
      </c>
      <c r="P1187" s="43"/>
      <c r="Q1187" s="152"/>
      <c r="R1187" s="152">
        <v>45593</v>
      </c>
      <c r="S1187" s="152"/>
      <c r="T1187" s="152">
        <v>45593</v>
      </c>
      <c r="U1187" s="152">
        <v>45611</v>
      </c>
      <c r="V1187" s="152">
        <v>45611</v>
      </c>
      <c r="W1187" s="2">
        <f>VLOOKUP(Table1[[#This Row],[Status]],Auxiliar!$B$16:$D$24,3,0)*Table1[[#This Row],[Estimação (horas)]]</f>
        <v>0.1</v>
      </c>
      <c r="X1187" s="114"/>
    </row>
    <row r="1188" spans="2:24" ht="17.7" customHeight="1" x14ac:dyDescent="0.25">
      <c r="B1188" s="39" t="s">
        <v>26</v>
      </c>
      <c r="C1188" s="39" t="s">
        <v>26</v>
      </c>
      <c r="D1188" s="2" t="s">
        <v>38</v>
      </c>
      <c r="E1188" s="40" t="s">
        <v>38</v>
      </c>
      <c r="F1188" s="40" t="s">
        <v>1956</v>
      </c>
      <c r="G1188" s="40" t="s">
        <v>208</v>
      </c>
      <c r="H1188" s="60" t="str">
        <f>Table1[[#This Row],[Tabela]]&amp;Table1[[#This Row],[Campo]]</f>
        <v>lt827_mthd_usd_instrmntref_date</v>
      </c>
      <c r="I1188" s="2" t="s">
        <v>614</v>
      </c>
      <c r="J1188" s="45">
        <f>VLOOKUP(Table1[[#This Row],[Status]],Auxiliar!$B$16:$C$24,2,0)</f>
        <v>1</v>
      </c>
      <c r="K1188" s="45" t="s">
        <v>1252</v>
      </c>
      <c r="L1188" s="46" t="s">
        <v>1258</v>
      </c>
      <c r="M1188" s="21" t="s">
        <v>1259</v>
      </c>
      <c r="N1188" s="48">
        <v>45611</v>
      </c>
      <c r="O1188" s="21">
        <f>INDEX(Auxiliar!$D$5:$F$13,MATCH(Table1[[#This Row],[Tipologia_Testes]],Auxiliar!$B$5:$B$13,0),MATCH(Table1[[#This Row],[Complexidade]],Auxiliar!$D$4:$F$4,0))</f>
        <v>2</v>
      </c>
      <c r="P1188" s="43"/>
      <c r="Q1188" s="152"/>
      <c r="R1188" s="152">
        <v>45593</v>
      </c>
      <c r="S1188" s="152"/>
      <c r="T1188" s="152">
        <v>45593</v>
      </c>
      <c r="U1188" s="152">
        <v>45611</v>
      </c>
      <c r="V1188" s="152">
        <v>45611</v>
      </c>
      <c r="W1188" s="2">
        <f>VLOOKUP(Table1[[#This Row],[Status]],Auxiliar!$B$16:$D$24,3,0)*Table1[[#This Row],[Estimação (horas)]]</f>
        <v>2</v>
      </c>
      <c r="X1188" s="114"/>
    </row>
    <row r="1189" spans="2:24" ht="17.7" customHeight="1" x14ac:dyDescent="0.25">
      <c r="B1189" s="39" t="s">
        <v>26</v>
      </c>
      <c r="C1189" s="39" t="s">
        <v>26</v>
      </c>
      <c r="D1189" s="2" t="s">
        <v>38</v>
      </c>
      <c r="E1189" s="39" t="s">
        <v>38</v>
      </c>
      <c r="F1189" s="39" t="s">
        <v>1956</v>
      </c>
      <c r="G1189" s="39" t="s">
        <v>208</v>
      </c>
      <c r="H1189" s="59" t="str">
        <f>Table1[[#This Row],[Tabela]]&amp;Table1[[#This Row],[Campo]]</f>
        <v>lt827_mthd_usd_instrmntref_date</v>
      </c>
      <c r="I1189" s="2" t="s">
        <v>614</v>
      </c>
      <c r="J1189" s="45">
        <f>VLOOKUP(Table1[[#This Row],[Status]],Auxiliar!$B$16:$C$24,2,0)</f>
        <v>1</v>
      </c>
      <c r="K1189" s="45" t="s">
        <v>1253</v>
      </c>
      <c r="L1189" s="46" t="s">
        <v>1258</v>
      </c>
      <c r="M1189" s="21" t="s">
        <v>1259</v>
      </c>
      <c r="N1189" s="48">
        <v>45611</v>
      </c>
      <c r="O1189" s="21">
        <f>INDEX(Auxiliar!$D$5:$F$13,MATCH(Table1[[#This Row],[Tipologia_Testes]],Auxiliar!$B$5:$B$13,0),MATCH(Table1[[#This Row],[Complexidade]],Auxiliar!$D$4:$F$4,0))</f>
        <v>2</v>
      </c>
      <c r="P1189" s="43"/>
      <c r="Q1189" s="152"/>
      <c r="R1189" s="152">
        <v>45593</v>
      </c>
      <c r="S1189" s="152"/>
      <c r="T1189" s="152">
        <v>45593</v>
      </c>
      <c r="U1189" s="152">
        <v>45611</v>
      </c>
      <c r="V1189" s="152">
        <v>45611</v>
      </c>
      <c r="W1189" s="2">
        <f>VLOOKUP(Table1[[#This Row],[Status]],Auxiliar!$B$16:$D$24,3,0)*Table1[[#This Row],[Estimação (horas)]]</f>
        <v>2</v>
      </c>
      <c r="X1189" s="114"/>
    </row>
    <row r="1190" spans="2:24" ht="17.7" customHeight="1" x14ac:dyDescent="0.25">
      <c r="B1190" s="39" t="s">
        <v>26</v>
      </c>
      <c r="C1190" s="39" t="s">
        <v>26</v>
      </c>
      <c r="D1190" s="2" t="s">
        <v>38</v>
      </c>
      <c r="E1190" s="39" t="s">
        <v>38</v>
      </c>
      <c r="F1190" s="39" t="s">
        <v>1956</v>
      </c>
      <c r="G1190" s="39" t="s">
        <v>208</v>
      </c>
      <c r="H1190" s="59" t="str">
        <f>Table1[[#This Row],[Tabela]]&amp;Table1[[#This Row],[Campo]]</f>
        <v>lt827_mthd_usd_instrmntref_date</v>
      </c>
      <c r="I1190" s="2" t="s">
        <v>614</v>
      </c>
      <c r="J1190" s="45">
        <f>VLOOKUP(Table1[[#This Row],[Status]],Auxiliar!$B$16:$C$24,2,0)</f>
        <v>1</v>
      </c>
      <c r="K1190" s="45" t="s">
        <v>1255</v>
      </c>
      <c r="L1190" s="46" t="s">
        <v>1258</v>
      </c>
      <c r="M1190" s="21" t="s">
        <v>1259</v>
      </c>
      <c r="N1190" s="48">
        <v>45611</v>
      </c>
      <c r="O1190" s="21">
        <f>INDEX(Auxiliar!$D$5:$F$13,MATCH(Table1[[#This Row],[Tipologia_Testes]],Auxiliar!$B$5:$B$13,0),MATCH(Table1[[#This Row],[Complexidade]],Auxiliar!$D$4:$F$4,0))</f>
        <v>0.1</v>
      </c>
      <c r="P1190" s="43"/>
      <c r="Q1190" s="152"/>
      <c r="R1190" s="152">
        <v>45593</v>
      </c>
      <c r="S1190" s="152"/>
      <c r="T1190" s="152">
        <v>45593</v>
      </c>
      <c r="U1190" s="152">
        <v>45611</v>
      </c>
      <c r="V1190" s="152">
        <v>45611</v>
      </c>
      <c r="W1190" s="2">
        <f>VLOOKUP(Table1[[#This Row],[Status]],Auxiliar!$B$16:$D$24,3,0)*Table1[[#This Row],[Estimação (horas)]]</f>
        <v>0.1</v>
      </c>
      <c r="X1190" s="114"/>
    </row>
    <row r="1191" spans="2:24" ht="17.7" customHeight="1" x14ac:dyDescent="0.25">
      <c r="B1191" s="39" t="s">
        <v>26</v>
      </c>
      <c r="C1191" s="39" t="s">
        <v>26</v>
      </c>
      <c r="D1191" s="2" t="s">
        <v>38</v>
      </c>
      <c r="E1191" s="40" t="s">
        <v>38</v>
      </c>
      <c r="F1191" s="40" t="s">
        <v>1956</v>
      </c>
      <c r="G1191" s="40" t="s">
        <v>211</v>
      </c>
      <c r="H1191" s="60" t="str">
        <f>Table1[[#This Row],[Tabela]]&amp;Table1[[#This Row],[Campo]]</f>
        <v>lt827_mthd_usd_instrmntordem</v>
      </c>
      <c r="I1191" s="2" t="s">
        <v>614</v>
      </c>
      <c r="J1191" s="45">
        <f>VLOOKUP(Table1[[#This Row],[Status]],Auxiliar!$B$16:$C$24,2,0)</f>
        <v>1</v>
      </c>
      <c r="K1191" s="45" t="s">
        <v>1252</v>
      </c>
      <c r="L1191" s="46" t="s">
        <v>1258</v>
      </c>
      <c r="M1191" s="21" t="s">
        <v>1259</v>
      </c>
      <c r="N1191" s="48">
        <v>45611</v>
      </c>
      <c r="O1191" s="21">
        <f>INDEX(Auxiliar!$D$5:$F$13,MATCH(Table1[[#This Row],[Tipologia_Testes]],Auxiliar!$B$5:$B$13,0),MATCH(Table1[[#This Row],[Complexidade]],Auxiliar!$D$4:$F$4,0))</f>
        <v>2</v>
      </c>
      <c r="P1191" s="43"/>
      <c r="Q1191" s="152"/>
      <c r="R1191" s="152">
        <v>45593</v>
      </c>
      <c r="S1191" s="152"/>
      <c r="T1191" s="152">
        <v>45593</v>
      </c>
      <c r="U1191" s="152">
        <v>45611</v>
      </c>
      <c r="V1191" s="152">
        <v>45611</v>
      </c>
      <c r="W1191" s="2">
        <f>VLOOKUP(Table1[[#This Row],[Status]],Auxiliar!$B$16:$D$24,3,0)*Table1[[#This Row],[Estimação (horas)]]</f>
        <v>2</v>
      </c>
      <c r="X1191" s="114"/>
    </row>
    <row r="1192" spans="2:24" ht="17.7" customHeight="1" x14ac:dyDescent="0.25">
      <c r="B1192" s="39" t="s">
        <v>26</v>
      </c>
      <c r="C1192" s="39" t="s">
        <v>26</v>
      </c>
      <c r="D1192" s="2" t="s">
        <v>38</v>
      </c>
      <c r="E1192" s="39" t="s">
        <v>38</v>
      </c>
      <c r="F1192" s="39" t="s">
        <v>1956</v>
      </c>
      <c r="G1192" s="39" t="s">
        <v>211</v>
      </c>
      <c r="H1192" s="59" t="str">
        <f>Table1[[#This Row],[Tabela]]&amp;Table1[[#This Row],[Campo]]</f>
        <v>lt827_mthd_usd_instrmntordem</v>
      </c>
      <c r="I1192" s="2" t="s">
        <v>614</v>
      </c>
      <c r="J1192" s="45">
        <f>VLOOKUP(Table1[[#This Row],[Status]],Auxiliar!$B$16:$C$24,2,0)</f>
        <v>1</v>
      </c>
      <c r="K1192" s="45" t="s">
        <v>1253</v>
      </c>
      <c r="L1192" s="46" t="s">
        <v>1258</v>
      </c>
      <c r="M1192" s="21" t="s">
        <v>1259</v>
      </c>
      <c r="N1192" s="48">
        <v>45611</v>
      </c>
      <c r="O1192" s="21">
        <f>INDEX(Auxiliar!$D$5:$F$13,MATCH(Table1[[#This Row],[Tipologia_Testes]],Auxiliar!$B$5:$B$13,0),MATCH(Table1[[#This Row],[Complexidade]],Auxiliar!$D$4:$F$4,0))</f>
        <v>2</v>
      </c>
      <c r="P1192" s="43"/>
      <c r="Q1192" s="152"/>
      <c r="R1192" s="152">
        <v>45593</v>
      </c>
      <c r="S1192" s="152"/>
      <c r="T1192" s="152">
        <v>45593</v>
      </c>
      <c r="U1192" s="152">
        <v>45611</v>
      </c>
      <c r="V1192" s="152">
        <v>45611</v>
      </c>
      <c r="W1192" s="2">
        <f>VLOOKUP(Table1[[#This Row],[Status]],Auxiliar!$B$16:$D$24,3,0)*Table1[[#This Row],[Estimação (horas)]]</f>
        <v>2</v>
      </c>
      <c r="X1192" s="114"/>
    </row>
    <row r="1193" spans="2:24" ht="17.7" customHeight="1" x14ac:dyDescent="0.25">
      <c r="B1193" s="39" t="s">
        <v>26</v>
      </c>
      <c r="C1193" s="39" t="s">
        <v>26</v>
      </c>
      <c r="D1193" s="2" t="s">
        <v>38</v>
      </c>
      <c r="E1193" s="39" t="s">
        <v>38</v>
      </c>
      <c r="F1193" s="39" t="s">
        <v>1956</v>
      </c>
      <c r="G1193" s="39" t="s">
        <v>211</v>
      </c>
      <c r="H1193" s="59" t="str">
        <f>Table1[[#This Row],[Tabela]]&amp;Table1[[#This Row],[Campo]]</f>
        <v>lt827_mthd_usd_instrmntordem</v>
      </c>
      <c r="I1193" s="2" t="s">
        <v>614</v>
      </c>
      <c r="J1193" s="45">
        <f>VLOOKUP(Table1[[#This Row],[Status]],Auxiliar!$B$16:$C$24,2,0)</f>
        <v>1</v>
      </c>
      <c r="K1193" s="45" t="s">
        <v>1255</v>
      </c>
      <c r="L1193" s="46" t="s">
        <v>1258</v>
      </c>
      <c r="M1193" s="21" t="s">
        <v>1259</v>
      </c>
      <c r="N1193" s="48">
        <v>45611</v>
      </c>
      <c r="O1193" s="21">
        <f>INDEX(Auxiliar!$D$5:$F$13,MATCH(Table1[[#This Row],[Tipologia_Testes]],Auxiliar!$B$5:$B$13,0),MATCH(Table1[[#This Row],[Complexidade]],Auxiliar!$D$4:$F$4,0))</f>
        <v>0.1</v>
      </c>
      <c r="P1193" s="43"/>
      <c r="Q1193" s="152"/>
      <c r="R1193" s="152">
        <v>45593</v>
      </c>
      <c r="S1193" s="152"/>
      <c r="T1193" s="152">
        <v>45593</v>
      </c>
      <c r="U1193" s="152">
        <v>45611</v>
      </c>
      <c r="V1193" s="152">
        <v>45611</v>
      </c>
      <c r="W1193" s="2">
        <f>VLOOKUP(Table1[[#This Row],[Status]],Auxiliar!$B$16:$D$24,3,0)*Table1[[#This Row],[Estimação (horas)]]</f>
        <v>0.1</v>
      </c>
      <c r="X1193" s="114"/>
    </row>
    <row r="1194" spans="2:24" ht="17.7" customHeight="1" x14ac:dyDescent="0.25">
      <c r="B1194" s="39" t="s">
        <v>26</v>
      </c>
      <c r="C1194" s="39" t="s">
        <v>26</v>
      </c>
      <c r="D1194" s="2" t="s">
        <v>38</v>
      </c>
      <c r="E1194" s="40" t="s">
        <v>38</v>
      </c>
      <c r="F1194" s="40" t="s">
        <v>1956</v>
      </c>
      <c r="G1194" s="40" t="s">
        <v>392</v>
      </c>
      <c r="H1194" s="60" t="str">
        <f>Table1[[#This Row],[Tabela]]&amp;Table1[[#This Row],[Campo]]</f>
        <v>lt827_mthd_usd_instrmnttabela</v>
      </c>
      <c r="I1194" s="2" t="s">
        <v>614</v>
      </c>
      <c r="J1194" s="45">
        <f>VLOOKUP(Table1[[#This Row],[Status]],Auxiliar!$B$16:$C$24,2,0)</f>
        <v>1</v>
      </c>
      <c r="K1194" s="45" t="s">
        <v>1252</v>
      </c>
      <c r="L1194" s="46" t="s">
        <v>1258</v>
      </c>
      <c r="M1194" s="21" t="s">
        <v>1259</v>
      </c>
      <c r="N1194" s="48">
        <v>45611</v>
      </c>
      <c r="O1194" s="21">
        <f>INDEX(Auxiliar!$D$5:$F$13,MATCH(Table1[[#This Row],[Tipologia_Testes]],Auxiliar!$B$5:$B$13,0),MATCH(Table1[[#This Row],[Complexidade]],Auxiliar!$D$4:$F$4,0))</f>
        <v>2</v>
      </c>
      <c r="P1194" s="43"/>
      <c r="Q1194" s="152"/>
      <c r="R1194" s="152">
        <v>45593</v>
      </c>
      <c r="S1194" s="152"/>
      <c r="T1194" s="152">
        <v>45593</v>
      </c>
      <c r="U1194" s="152">
        <v>45611</v>
      </c>
      <c r="V1194" s="152">
        <v>45611</v>
      </c>
      <c r="W1194" s="2">
        <f>VLOOKUP(Table1[[#This Row],[Status]],Auxiliar!$B$16:$D$24,3,0)*Table1[[#This Row],[Estimação (horas)]]</f>
        <v>2</v>
      </c>
      <c r="X1194" s="114"/>
    </row>
    <row r="1195" spans="2:24" ht="17.7" customHeight="1" x14ac:dyDescent="0.25">
      <c r="B1195" s="39" t="s">
        <v>26</v>
      </c>
      <c r="C1195" s="39" t="s">
        <v>26</v>
      </c>
      <c r="D1195" s="2" t="s">
        <v>38</v>
      </c>
      <c r="E1195" s="39" t="s">
        <v>38</v>
      </c>
      <c r="F1195" s="39" t="s">
        <v>1956</v>
      </c>
      <c r="G1195" s="39" t="s">
        <v>392</v>
      </c>
      <c r="H1195" s="59" t="str">
        <f>Table1[[#This Row],[Tabela]]&amp;Table1[[#This Row],[Campo]]</f>
        <v>lt827_mthd_usd_instrmnttabela</v>
      </c>
      <c r="I1195" s="2" t="s">
        <v>614</v>
      </c>
      <c r="J1195" s="45">
        <f>VLOOKUP(Table1[[#This Row],[Status]],Auxiliar!$B$16:$C$24,2,0)</f>
        <v>1</v>
      </c>
      <c r="K1195" s="45" t="s">
        <v>1253</v>
      </c>
      <c r="L1195" s="46" t="s">
        <v>1258</v>
      </c>
      <c r="M1195" s="21" t="s">
        <v>1259</v>
      </c>
      <c r="N1195" s="48">
        <v>45611</v>
      </c>
      <c r="O1195" s="21">
        <f>INDEX(Auxiliar!$D$5:$F$13,MATCH(Table1[[#This Row],[Tipologia_Testes]],Auxiliar!$B$5:$B$13,0),MATCH(Table1[[#This Row],[Complexidade]],Auxiliar!$D$4:$F$4,0))</f>
        <v>2</v>
      </c>
      <c r="P1195" s="43"/>
      <c r="Q1195" s="152"/>
      <c r="R1195" s="152">
        <v>45593</v>
      </c>
      <c r="S1195" s="152"/>
      <c r="T1195" s="152">
        <v>45593</v>
      </c>
      <c r="U1195" s="152">
        <v>45611</v>
      </c>
      <c r="V1195" s="152">
        <v>45611</v>
      </c>
      <c r="W1195" s="2">
        <f>VLOOKUP(Table1[[#This Row],[Status]],Auxiliar!$B$16:$D$24,3,0)*Table1[[#This Row],[Estimação (horas)]]</f>
        <v>2</v>
      </c>
      <c r="X1195" s="114"/>
    </row>
    <row r="1196" spans="2:24" ht="17.7" customHeight="1" x14ac:dyDescent="0.25">
      <c r="B1196" s="39" t="s">
        <v>26</v>
      </c>
      <c r="C1196" s="39" t="s">
        <v>26</v>
      </c>
      <c r="D1196" s="2" t="s">
        <v>38</v>
      </c>
      <c r="E1196" s="39" t="s">
        <v>38</v>
      </c>
      <c r="F1196" s="39" t="s">
        <v>1956</v>
      </c>
      <c r="G1196" s="39" t="s">
        <v>392</v>
      </c>
      <c r="H1196" s="59" t="str">
        <f>Table1[[#This Row],[Tabela]]&amp;Table1[[#This Row],[Campo]]</f>
        <v>lt827_mthd_usd_instrmnttabela</v>
      </c>
      <c r="I1196" s="2" t="s">
        <v>614</v>
      </c>
      <c r="J1196" s="45">
        <f>VLOOKUP(Table1[[#This Row],[Status]],Auxiliar!$B$16:$C$24,2,0)</f>
        <v>1</v>
      </c>
      <c r="K1196" s="45" t="s">
        <v>1255</v>
      </c>
      <c r="L1196" s="46" t="s">
        <v>1258</v>
      </c>
      <c r="M1196" s="21" t="s">
        <v>1259</v>
      </c>
      <c r="N1196" s="48">
        <v>45611</v>
      </c>
      <c r="O1196" s="21">
        <f>INDEX(Auxiliar!$D$5:$F$13,MATCH(Table1[[#This Row],[Tipologia_Testes]],Auxiliar!$B$5:$B$13,0),MATCH(Table1[[#This Row],[Complexidade]],Auxiliar!$D$4:$F$4,0))</f>
        <v>0.1</v>
      </c>
      <c r="P1196" s="43"/>
      <c r="Q1196" s="152"/>
      <c r="R1196" s="152">
        <v>45593</v>
      </c>
      <c r="S1196" s="152"/>
      <c r="T1196" s="152">
        <v>45593</v>
      </c>
      <c r="U1196" s="152">
        <v>45611</v>
      </c>
      <c r="V1196" s="152">
        <v>45611</v>
      </c>
      <c r="W1196" s="2">
        <f>VLOOKUP(Table1[[#This Row],[Status]],Auxiliar!$B$16:$D$24,3,0)*Table1[[#This Row],[Estimação (horas)]]</f>
        <v>0.1</v>
      </c>
      <c r="X1196" s="114"/>
    </row>
    <row r="1197" spans="2:24" ht="17.7" customHeight="1" x14ac:dyDescent="0.25">
      <c r="B1197" s="39" t="s">
        <v>26</v>
      </c>
      <c r="C1197" s="39" t="s">
        <v>26</v>
      </c>
      <c r="D1197" s="2" t="s">
        <v>38</v>
      </c>
      <c r="E1197" s="40" t="s">
        <v>38</v>
      </c>
      <c r="F1197" s="40" t="s">
        <v>1956</v>
      </c>
      <c r="G1197" s="38" t="s">
        <v>320</v>
      </c>
      <c r="H1197" s="60" t="str">
        <f>Table1[[#This Row],[Tabela]]&amp;Table1[[#This Row],[Campo]]</f>
        <v>lt827_mthd_usd_instrmntorigem_scp1_emss</v>
      </c>
      <c r="I1197" s="2" t="s">
        <v>614</v>
      </c>
      <c r="J1197" s="45">
        <f>VLOOKUP(Table1[[#This Row],[Status]],Auxiliar!$B$16:$C$24,2,0)</f>
        <v>1</v>
      </c>
      <c r="K1197" s="45" t="s">
        <v>1252</v>
      </c>
      <c r="L1197" s="46" t="s">
        <v>1258</v>
      </c>
      <c r="M1197" s="21" t="s">
        <v>1259</v>
      </c>
      <c r="N1197" s="48">
        <v>45611</v>
      </c>
      <c r="O1197" s="21">
        <f>INDEX(Auxiliar!$D$5:$F$13,MATCH(Table1[[#This Row],[Tipologia_Testes]],Auxiliar!$B$5:$B$13,0),MATCH(Table1[[#This Row],[Complexidade]],Auxiliar!$D$4:$F$4,0))</f>
        <v>2</v>
      </c>
      <c r="P1197" s="43"/>
      <c r="Q1197" s="152"/>
      <c r="R1197" s="152">
        <v>45593</v>
      </c>
      <c r="S1197" s="152"/>
      <c r="T1197" s="152">
        <v>45593</v>
      </c>
      <c r="U1197" s="152">
        <v>45611</v>
      </c>
      <c r="V1197" s="152">
        <v>45611</v>
      </c>
      <c r="W1197" s="2">
        <f>VLOOKUP(Table1[[#This Row],[Status]],Auxiliar!$B$16:$D$24,3,0)*Table1[[#This Row],[Estimação (horas)]]</f>
        <v>2</v>
      </c>
      <c r="X1197" s="114"/>
    </row>
    <row r="1198" spans="2:24" ht="17.7" customHeight="1" x14ac:dyDescent="0.25">
      <c r="B1198" s="39" t="s">
        <v>26</v>
      </c>
      <c r="C1198" s="39" t="s">
        <v>26</v>
      </c>
      <c r="D1198" s="2" t="s">
        <v>38</v>
      </c>
      <c r="E1198" s="39" t="s">
        <v>38</v>
      </c>
      <c r="F1198" s="39" t="s">
        <v>1956</v>
      </c>
      <c r="G1198" s="39" t="s">
        <v>320</v>
      </c>
      <c r="H1198" s="59" t="str">
        <f>Table1[[#This Row],[Tabela]]&amp;Table1[[#This Row],[Campo]]</f>
        <v>lt827_mthd_usd_instrmntorigem_scp1_emss</v>
      </c>
      <c r="I1198" s="2" t="s">
        <v>614</v>
      </c>
      <c r="J1198" s="45">
        <f>VLOOKUP(Table1[[#This Row],[Status]],Auxiliar!$B$16:$C$24,2,0)</f>
        <v>1</v>
      </c>
      <c r="K1198" s="45" t="s">
        <v>1253</v>
      </c>
      <c r="L1198" s="46" t="s">
        <v>1258</v>
      </c>
      <c r="M1198" s="21" t="s">
        <v>1259</v>
      </c>
      <c r="N1198" s="48">
        <v>45611</v>
      </c>
      <c r="O1198" s="21">
        <f>INDEX(Auxiliar!$D$5:$F$13,MATCH(Table1[[#This Row],[Tipologia_Testes]],Auxiliar!$B$5:$B$13,0),MATCH(Table1[[#This Row],[Complexidade]],Auxiliar!$D$4:$F$4,0))</f>
        <v>2</v>
      </c>
      <c r="P1198" s="43"/>
      <c r="Q1198" s="152"/>
      <c r="R1198" s="152">
        <v>45593</v>
      </c>
      <c r="S1198" s="152"/>
      <c r="T1198" s="152">
        <v>45593</v>
      </c>
      <c r="U1198" s="152">
        <v>45611</v>
      </c>
      <c r="V1198" s="152">
        <v>45611</v>
      </c>
      <c r="W1198" s="2">
        <f>VLOOKUP(Table1[[#This Row],[Status]],Auxiliar!$B$16:$D$24,3,0)*Table1[[#This Row],[Estimação (horas)]]</f>
        <v>2</v>
      </c>
      <c r="X1198" s="114"/>
    </row>
    <row r="1199" spans="2:24" ht="17.7" customHeight="1" x14ac:dyDescent="0.25">
      <c r="B1199" s="39" t="s">
        <v>26</v>
      </c>
      <c r="C1199" s="39" t="s">
        <v>26</v>
      </c>
      <c r="D1199" s="2" t="s">
        <v>38</v>
      </c>
      <c r="E1199" s="39" t="s">
        <v>38</v>
      </c>
      <c r="F1199" s="39" t="s">
        <v>1956</v>
      </c>
      <c r="G1199" s="39" t="s">
        <v>320</v>
      </c>
      <c r="H1199" s="59" t="str">
        <f>Table1[[#This Row],[Tabela]]&amp;Table1[[#This Row],[Campo]]</f>
        <v>lt827_mthd_usd_instrmntorigem_scp1_emss</v>
      </c>
      <c r="I1199" s="2" t="s">
        <v>614</v>
      </c>
      <c r="J1199" s="45">
        <f>VLOOKUP(Table1[[#This Row],[Status]],Auxiliar!$B$16:$C$24,2,0)</f>
        <v>1</v>
      </c>
      <c r="K1199" s="45" t="s">
        <v>1255</v>
      </c>
      <c r="L1199" s="46" t="s">
        <v>1258</v>
      </c>
      <c r="M1199" s="21" t="s">
        <v>1259</v>
      </c>
      <c r="N1199" s="48">
        <v>45611</v>
      </c>
      <c r="O1199" s="21">
        <f>INDEX(Auxiliar!$D$5:$F$13,MATCH(Table1[[#This Row],[Tipologia_Testes]],Auxiliar!$B$5:$B$13,0),MATCH(Table1[[#This Row],[Complexidade]],Auxiliar!$D$4:$F$4,0))</f>
        <v>0.1</v>
      </c>
      <c r="P1199" s="43"/>
      <c r="Q1199" s="152"/>
      <c r="R1199" s="152">
        <v>45593</v>
      </c>
      <c r="S1199" s="152"/>
      <c r="T1199" s="152">
        <v>45593</v>
      </c>
      <c r="U1199" s="152">
        <v>45611</v>
      </c>
      <c r="V1199" s="152">
        <v>45611</v>
      </c>
      <c r="W1199" s="2">
        <f>VLOOKUP(Table1[[#This Row],[Status]],Auxiliar!$B$16:$D$24,3,0)*Table1[[#This Row],[Estimação (horas)]]</f>
        <v>0.1</v>
      </c>
      <c r="X1199" s="114"/>
    </row>
    <row r="1200" spans="2:24" ht="17.7" customHeight="1" x14ac:dyDescent="0.25">
      <c r="B1200" s="39" t="s">
        <v>26</v>
      </c>
      <c r="C1200" s="39" t="s">
        <v>26</v>
      </c>
      <c r="D1200" s="2" t="s">
        <v>38</v>
      </c>
      <c r="E1200" s="40" t="s">
        <v>38</v>
      </c>
      <c r="F1200" s="40" t="s">
        <v>1956</v>
      </c>
      <c r="G1200" s="38" t="s">
        <v>321</v>
      </c>
      <c r="H1200" s="60" t="str">
        <f>Table1[[#This Row],[Tabela]]&amp;Table1[[#This Row],[Campo]]</f>
        <v>lt827_mthd_usd_instrmntorigem_scp2_emss</v>
      </c>
      <c r="I1200" s="2" t="s">
        <v>614</v>
      </c>
      <c r="J1200" s="45">
        <f>VLOOKUP(Table1[[#This Row],[Status]],Auxiliar!$B$16:$C$24,2,0)</f>
        <v>1</v>
      </c>
      <c r="K1200" s="45" t="s">
        <v>1252</v>
      </c>
      <c r="L1200" s="46" t="s">
        <v>1258</v>
      </c>
      <c r="M1200" s="21" t="s">
        <v>1259</v>
      </c>
      <c r="N1200" s="48">
        <v>45611</v>
      </c>
      <c r="O1200" s="21">
        <f>INDEX(Auxiliar!$D$5:$F$13,MATCH(Table1[[#This Row],[Tipologia_Testes]],Auxiliar!$B$5:$B$13,0),MATCH(Table1[[#This Row],[Complexidade]],Auxiliar!$D$4:$F$4,0))</f>
        <v>2</v>
      </c>
      <c r="P1200" s="43"/>
      <c r="Q1200" s="152"/>
      <c r="R1200" s="152">
        <v>45593</v>
      </c>
      <c r="S1200" s="152"/>
      <c r="T1200" s="152">
        <v>45593</v>
      </c>
      <c r="U1200" s="152">
        <v>45611</v>
      </c>
      <c r="V1200" s="152">
        <v>45611</v>
      </c>
      <c r="W1200" s="2">
        <f>VLOOKUP(Table1[[#This Row],[Status]],Auxiliar!$B$16:$D$24,3,0)*Table1[[#This Row],[Estimação (horas)]]</f>
        <v>2</v>
      </c>
      <c r="X1200" s="114"/>
    </row>
    <row r="1201" spans="2:24" ht="17.7" customHeight="1" x14ac:dyDescent="0.25">
      <c r="B1201" s="39" t="s">
        <v>26</v>
      </c>
      <c r="C1201" s="39" t="s">
        <v>26</v>
      </c>
      <c r="D1201" s="2" t="s">
        <v>38</v>
      </c>
      <c r="E1201" s="39" t="s">
        <v>38</v>
      </c>
      <c r="F1201" s="39" t="s">
        <v>1956</v>
      </c>
      <c r="G1201" s="39" t="s">
        <v>321</v>
      </c>
      <c r="H1201" s="59" t="str">
        <f>Table1[[#This Row],[Tabela]]&amp;Table1[[#This Row],[Campo]]</f>
        <v>lt827_mthd_usd_instrmntorigem_scp2_emss</v>
      </c>
      <c r="I1201" s="2" t="s">
        <v>614</v>
      </c>
      <c r="J1201" s="45">
        <f>VLOOKUP(Table1[[#This Row],[Status]],Auxiliar!$B$16:$C$24,2,0)</f>
        <v>1</v>
      </c>
      <c r="K1201" s="45" t="s">
        <v>1253</v>
      </c>
      <c r="L1201" s="46" t="s">
        <v>1258</v>
      </c>
      <c r="M1201" s="21" t="s">
        <v>1259</v>
      </c>
      <c r="N1201" s="48">
        <v>45611</v>
      </c>
      <c r="O1201" s="21">
        <f>INDEX(Auxiliar!$D$5:$F$13,MATCH(Table1[[#This Row],[Tipologia_Testes]],Auxiliar!$B$5:$B$13,0),MATCH(Table1[[#This Row],[Complexidade]],Auxiliar!$D$4:$F$4,0))</f>
        <v>2</v>
      </c>
      <c r="P1201" s="43"/>
      <c r="Q1201" s="152"/>
      <c r="R1201" s="152">
        <v>45593</v>
      </c>
      <c r="S1201" s="152"/>
      <c r="T1201" s="152">
        <v>45593</v>
      </c>
      <c r="U1201" s="152">
        <v>45611</v>
      </c>
      <c r="V1201" s="152">
        <v>45611</v>
      </c>
      <c r="W1201" s="2">
        <f>VLOOKUP(Table1[[#This Row],[Status]],Auxiliar!$B$16:$D$24,3,0)*Table1[[#This Row],[Estimação (horas)]]</f>
        <v>2</v>
      </c>
      <c r="X1201" s="114"/>
    </row>
    <row r="1202" spans="2:24" ht="17.7" customHeight="1" x14ac:dyDescent="0.25">
      <c r="B1202" s="39" t="s">
        <v>26</v>
      </c>
      <c r="C1202" s="39" t="s">
        <v>26</v>
      </c>
      <c r="D1202" s="2" t="s">
        <v>38</v>
      </c>
      <c r="E1202" s="39" t="s">
        <v>38</v>
      </c>
      <c r="F1202" s="39" t="s">
        <v>1956</v>
      </c>
      <c r="G1202" s="39" t="s">
        <v>321</v>
      </c>
      <c r="H1202" s="59" t="str">
        <f>Table1[[#This Row],[Tabela]]&amp;Table1[[#This Row],[Campo]]</f>
        <v>lt827_mthd_usd_instrmntorigem_scp2_emss</v>
      </c>
      <c r="I1202" s="2" t="s">
        <v>614</v>
      </c>
      <c r="J1202" s="45">
        <f>VLOOKUP(Table1[[#This Row],[Status]],Auxiliar!$B$16:$C$24,2,0)</f>
        <v>1</v>
      </c>
      <c r="K1202" s="45" t="s">
        <v>1255</v>
      </c>
      <c r="L1202" s="46" t="s">
        <v>1258</v>
      </c>
      <c r="M1202" s="21" t="s">
        <v>1259</v>
      </c>
      <c r="N1202" s="48">
        <v>45611</v>
      </c>
      <c r="O1202" s="21">
        <f>INDEX(Auxiliar!$D$5:$F$13,MATCH(Table1[[#This Row],[Tipologia_Testes]],Auxiliar!$B$5:$B$13,0),MATCH(Table1[[#This Row],[Complexidade]],Auxiliar!$D$4:$F$4,0))</f>
        <v>0.1</v>
      </c>
      <c r="P1202" s="43"/>
      <c r="Q1202" s="152"/>
      <c r="R1202" s="152">
        <v>45593</v>
      </c>
      <c r="S1202" s="152"/>
      <c r="T1202" s="152">
        <v>45593</v>
      </c>
      <c r="U1202" s="152">
        <v>45611</v>
      </c>
      <c r="V1202" s="152">
        <v>45611</v>
      </c>
      <c r="W1202" s="2">
        <f>VLOOKUP(Table1[[#This Row],[Status]],Auxiliar!$B$16:$D$24,3,0)*Table1[[#This Row],[Estimação (horas)]]</f>
        <v>0.1</v>
      </c>
      <c r="X1202" s="114"/>
    </row>
    <row r="1203" spans="2:24" ht="17.7" customHeight="1" x14ac:dyDescent="0.25">
      <c r="B1203" s="39" t="s">
        <v>26</v>
      </c>
      <c r="C1203" s="39" t="s">
        <v>26</v>
      </c>
      <c r="D1203" s="2" t="s">
        <v>38</v>
      </c>
      <c r="E1203" s="40" t="s">
        <v>38</v>
      </c>
      <c r="F1203" s="40" t="s">
        <v>1956</v>
      </c>
      <c r="G1203" s="38" t="s">
        <v>322</v>
      </c>
      <c r="H1203" s="60" t="str">
        <f>Table1[[#This Row],[Tabela]]&amp;Table1[[#This Row],[Campo]]</f>
        <v>lt827_mthd_usd_instrmntorigem_scp3_emss</v>
      </c>
      <c r="I1203" s="2" t="s">
        <v>614</v>
      </c>
      <c r="J1203" s="45">
        <f>VLOOKUP(Table1[[#This Row],[Status]],Auxiliar!$B$16:$C$24,2,0)</f>
        <v>1</v>
      </c>
      <c r="K1203" s="45" t="s">
        <v>1252</v>
      </c>
      <c r="L1203" s="46" t="s">
        <v>1258</v>
      </c>
      <c r="M1203" s="21" t="s">
        <v>1259</v>
      </c>
      <c r="N1203" s="48">
        <v>45611</v>
      </c>
      <c r="O1203" s="21">
        <f>INDEX(Auxiliar!$D$5:$F$13,MATCH(Table1[[#This Row],[Tipologia_Testes]],Auxiliar!$B$5:$B$13,0),MATCH(Table1[[#This Row],[Complexidade]],Auxiliar!$D$4:$F$4,0))</f>
        <v>2</v>
      </c>
      <c r="P1203" s="43"/>
      <c r="Q1203" s="152"/>
      <c r="R1203" s="152">
        <v>45593</v>
      </c>
      <c r="S1203" s="152"/>
      <c r="T1203" s="152">
        <v>45593</v>
      </c>
      <c r="U1203" s="152">
        <v>45611</v>
      </c>
      <c r="V1203" s="152">
        <v>45611</v>
      </c>
      <c r="W1203" s="2">
        <f>VLOOKUP(Table1[[#This Row],[Status]],Auxiliar!$B$16:$D$24,3,0)*Table1[[#This Row],[Estimação (horas)]]</f>
        <v>2</v>
      </c>
      <c r="X1203" s="114"/>
    </row>
    <row r="1204" spans="2:24" ht="17.7" customHeight="1" x14ac:dyDescent="0.25">
      <c r="B1204" s="39" t="s">
        <v>26</v>
      </c>
      <c r="C1204" s="39" t="s">
        <v>26</v>
      </c>
      <c r="D1204" s="2" t="s">
        <v>38</v>
      </c>
      <c r="E1204" s="39" t="s">
        <v>38</v>
      </c>
      <c r="F1204" s="39" t="s">
        <v>1956</v>
      </c>
      <c r="G1204" s="39" t="s">
        <v>322</v>
      </c>
      <c r="H1204" s="59" t="str">
        <f>Table1[[#This Row],[Tabela]]&amp;Table1[[#This Row],[Campo]]</f>
        <v>lt827_mthd_usd_instrmntorigem_scp3_emss</v>
      </c>
      <c r="I1204" s="2" t="s">
        <v>614</v>
      </c>
      <c r="J1204" s="45">
        <f>VLOOKUP(Table1[[#This Row],[Status]],Auxiliar!$B$16:$C$24,2,0)</f>
        <v>1</v>
      </c>
      <c r="K1204" s="45" t="s">
        <v>1253</v>
      </c>
      <c r="L1204" s="46" t="s">
        <v>1258</v>
      </c>
      <c r="M1204" s="21" t="s">
        <v>1259</v>
      </c>
      <c r="N1204" s="48">
        <v>45611</v>
      </c>
      <c r="O1204" s="21">
        <f>INDEX(Auxiliar!$D$5:$F$13,MATCH(Table1[[#This Row],[Tipologia_Testes]],Auxiliar!$B$5:$B$13,0),MATCH(Table1[[#This Row],[Complexidade]],Auxiliar!$D$4:$F$4,0))</f>
        <v>2</v>
      </c>
      <c r="P1204" s="43"/>
      <c r="Q1204" s="152"/>
      <c r="R1204" s="152">
        <v>45593</v>
      </c>
      <c r="S1204" s="152"/>
      <c r="T1204" s="152">
        <v>45593</v>
      </c>
      <c r="U1204" s="152">
        <v>45611</v>
      </c>
      <c r="V1204" s="152">
        <v>45611</v>
      </c>
      <c r="W1204" s="2">
        <f>VLOOKUP(Table1[[#This Row],[Status]],Auxiliar!$B$16:$D$24,3,0)*Table1[[#This Row],[Estimação (horas)]]</f>
        <v>2</v>
      </c>
      <c r="X1204" s="114"/>
    </row>
    <row r="1205" spans="2:24" ht="17.7" customHeight="1" x14ac:dyDescent="0.25">
      <c r="B1205" s="39" t="s">
        <v>26</v>
      </c>
      <c r="C1205" s="39" t="s">
        <v>26</v>
      </c>
      <c r="D1205" s="2" t="s">
        <v>38</v>
      </c>
      <c r="E1205" s="39" t="s">
        <v>38</v>
      </c>
      <c r="F1205" s="39" t="s">
        <v>1956</v>
      </c>
      <c r="G1205" s="39" t="s">
        <v>322</v>
      </c>
      <c r="H1205" s="59" t="str">
        <f>Table1[[#This Row],[Tabela]]&amp;Table1[[#This Row],[Campo]]</f>
        <v>lt827_mthd_usd_instrmntorigem_scp3_emss</v>
      </c>
      <c r="I1205" s="2" t="s">
        <v>614</v>
      </c>
      <c r="J1205" s="45">
        <f>VLOOKUP(Table1[[#This Row],[Status]],Auxiliar!$B$16:$C$24,2,0)</f>
        <v>1</v>
      </c>
      <c r="K1205" s="45" t="s">
        <v>1255</v>
      </c>
      <c r="L1205" s="46" t="s">
        <v>1258</v>
      </c>
      <c r="M1205" s="21" t="s">
        <v>1259</v>
      </c>
      <c r="N1205" s="48">
        <v>45611</v>
      </c>
      <c r="O1205" s="21">
        <f>INDEX(Auxiliar!$D$5:$F$13,MATCH(Table1[[#This Row],[Tipologia_Testes]],Auxiliar!$B$5:$B$13,0),MATCH(Table1[[#This Row],[Complexidade]],Auxiliar!$D$4:$F$4,0))</f>
        <v>0.1</v>
      </c>
      <c r="P1205" s="43"/>
      <c r="Q1205" s="152"/>
      <c r="R1205" s="152">
        <v>45593</v>
      </c>
      <c r="S1205" s="152"/>
      <c r="T1205" s="152">
        <v>45593</v>
      </c>
      <c r="U1205" s="152">
        <v>45611</v>
      </c>
      <c r="V1205" s="152">
        <v>45611</v>
      </c>
      <c r="W1205" s="2">
        <f>VLOOKUP(Table1[[#This Row],[Status]],Auxiliar!$B$16:$D$24,3,0)*Table1[[#This Row],[Estimação (horas)]]</f>
        <v>0.1</v>
      </c>
      <c r="X1205" s="114"/>
    </row>
    <row r="1206" spans="2:24" ht="17.7" customHeight="1" x14ac:dyDescent="0.25">
      <c r="B1206" s="39" t="s">
        <v>26</v>
      </c>
      <c r="C1206" s="39" t="s">
        <v>26</v>
      </c>
      <c r="D1206" s="2" t="s">
        <v>38</v>
      </c>
      <c r="E1206" s="40" t="s">
        <v>38</v>
      </c>
      <c r="F1206" s="40" t="s">
        <v>1956</v>
      </c>
      <c r="G1206" s="38" t="s">
        <v>386</v>
      </c>
      <c r="H1206" s="60" t="str">
        <f>Table1[[#This Row],[Tabela]]&amp;Table1[[#This Row],[Campo]]</f>
        <v>lt827_mthd_usd_instrmntmthd_usd_instrmnt_scp_1</v>
      </c>
      <c r="I1206" s="2" t="s">
        <v>614</v>
      </c>
      <c r="J1206" s="45">
        <f>VLOOKUP(Table1[[#This Row],[Status]],Auxiliar!$B$16:$C$24,2,0)</f>
        <v>1</v>
      </c>
      <c r="K1206" s="45" t="s">
        <v>1252</v>
      </c>
      <c r="L1206" s="46" t="s">
        <v>1258</v>
      </c>
      <c r="M1206" s="21" t="s">
        <v>1259</v>
      </c>
      <c r="N1206" s="48">
        <v>45611</v>
      </c>
      <c r="O1206" s="21">
        <f>INDEX(Auxiliar!$D$5:$F$13,MATCH(Table1[[#This Row],[Tipologia_Testes]],Auxiliar!$B$5:$B$13,0),MATCH(Table1[[#This Row],[Complexidade]],Auxiliar!$D$4:$F$4,0))</f>
        <v>2</v>
      </c>
      <c r="P1206" s="43"/>
      <c r="Q1206" s="152"/>
      <c r="R1206" s="152">
        <v>45593</v>
      </c>
      <c r="S1206" s="152"/>
      <c r="T1206" s="152">
        <v>45593</v>
      </c>
      <c r="U1206" s="152">
        <v>45611</v>
      </c>
      <c r="V1206" s="152">
        <v>45611</v>
      </c>
      <c r="W1206" s="2">
        <f>VLOOKUP(Table1[[#This Row],[Status]],Auxiliar!$B$16:$D$24,3,0)*Table1[[#This Row],[Estimação (horas)]]</f>
        <v>2</v>
      </c>
      <c r="X1206" s="114"/>
    </row>
    <row r="1207" spans="2:24" ht="17.7" customHeight="1" x14ac:dyDescent="0.25">
      <c r="B1207" s="39" t="s">
        <v>26</v>
      </c>
      <c r="C1207" s="39" t="s">
        <v>26</v>
      </c>
      <c r="D1207" s="2" t="s">
        <v>38</v>
      </c>
      <c r="E1207" s="39" t="s">
        <v>38</v>
      </c>
      <c r="F1207" s="39" t="s">
        <v>1956</v>
      </c>
      <c r="G1207" s="39" t="s">
        <v>386</v>
      </c>
      <c r="H1207" s="59" t="str">
        <f>Table1[[#This Row],[Tabela]]&amp;Table1[[#This Row],[Campo]]</f>
        <v>lt827_mthd_usd_instrmntmthd_usd_instrmnt_scp_1</v>
      </c>
      <c r="I1207" s="2" t="s">
        <v>614</v>
      </c>
      <c r="J1207" s="45">
        <f>VLOOKUP(Table1[[#This Row],[Status]],Auxiliar!$B$16:$C$24,2,0)</f>
        <v>1</v>
      </c>
      <c r="K1207" s="45" t="s">
        <v>1253</v>
      </c>
      <c r="L1207" s="46" t="s">
        <v>1258</v>
      </c>
      <c r="M1207" s="21" t="s">
        <v>1259</v>
      </c>
      <c r="N1207" s="48">
        <v>45611</v>
      </c>
      <c r="O1207" s="21">
        <f>INDEX(Auxiliar!$D$5:$F$13,MATCH(Table1[[#This Row],[Tipologia_Testes]],Auxiliar!$B$5:$B$13,0),MATCH(Table1[[#This Row],[Complexidade]],Auxiliar!$D$4:$F$4,0))</f>
        <v>2</v>
      </c>
      <c r="P1207" s="43"/>
      <c r="Q1207" s="152"/>
      <c r="R1207" s="152">
        <v>45593</v>
      </c>
      <c r="S1207" s="152"/>
      <c r="T1207" s="152">
        <v>45593</v>
      </c>
      <c r="U1207" s="152">
        <v>45611</v>
      </c>
      <c r="V1207" s="152">
        <v>45611</v>
      </c>
      <c r="W1207" s="2">
        <f>VLOOKUP(Table1[[#This Row],[Status]],Auxiliar!$B$16:$D$24,3,0)*Table1[[#This Row],[Estimação (horas)]]</f>
        <v>2</v>
      </c>
      <c r="X1207" s="114"/>
    </row>
    <row r="1208" spans="2:24" ht="17.7" customHeight="1" x14ac:dyDescent="0.25">
      <c r="B1208" s="39" t="s">
        <v>26</v>
      </c>
      <c r="C1208" s="39" t="s">
        <v>26</v>
      </c>
      <c r="D1208" s="2" t="s">
        <v>38</v>
      </c>
      <c r="E1208" s="39" t="s">
        <v>38</v>
      </c>
      <c r="F1208" s="39" t="s">
        <v>1956</v>
      </c>
      <c r="G1208" s="39" t="s">
        <v>386</v>
      </c>
      <c r="H1208" s="59" t="str">
        <f>Table1[[#This Row],[Tabela]]&amp;Table1[[#This Row],[Campo]]</f>
        <v>lt827_mthd_usd_instrmntmthd_usd_instrmnt_scp_1</v>
      </c>
      <c r="I1208" s="2" t="s">
        <v>614</v>
      </c>
      <c r="J1208" s="45">
        <f>VLOOKUP(Table1[[#This Row],[Status]],Auxiliar!$B$16:$C$24,2,0)</f>
        <v>1</v>
      </c>
      <c r="K1208" s="45" t="s">
        <v>1255</v>
      </c>
      <c r="L1208" s="46" t="s">
        <v>1258</v>
      </c>
      <c r="M1208" s="21" t="s">
        <v>1259</v>
      </c>
      <c r="N1208" s="48">
        <v>45611</v>
      </c>
      <c r="O1208" s="21">
        <f>INDEX(Auxiliar!$D$5:$F$13,MATCH(Table1[[#This Row],[Tipologia_Testes]],Auxiliar!$B$5:$B$13,0),MATCH(Table1[[#This Row],[Complexidade]],Auxiliar!$D$4:$F$4,0))</f>
        <v>0.1</v>
      </c>
      <c r="P1208" s="43"/>
      <c r="Q1208" s="152"/>
      <c r="R1208" s="152">
        <v>45593</v>
      </c>
      <c r="S1208" s="152"/>
      <c r="T1208" s="152">
        <v>45593</v>
      </c>
      <c r="U1208" s="152">
        <v>45611</v>
      </c>
      <c r="V1208" s="152">
        <v>45611</v>
      </c>
      <c r="W1208" s="2">
        <f>VLOOKUP(Table1[[#This Row],[Status]],Auxiliar!$B$16:$D$24,3,0)*Table1[[#This Row],[Estimação (horas)]]</f>
        <v>0.1</v>
      </c>
      <c r="X1208" s="114"/>
    </row>
    <row r="1209" spans="2:24" ht="17.7" customHeight="1" x14ac:dyDescent="0.25">
      <c r="B1209" s="39" t="s">
        <v>26</v>
      </c>
      <c r="C1209" s="39" t="s">
        <v>26</v>
      </c>
      <c r="D1209" s="2" t="s">
        <v>38</v>
      </c>
      <c r="E1209" s="40" t="s">
        <v>38</v>
      </c>
      <c r="F1209" s="40" t="s">
        <v>1956</v>
      </c>
      <c r="G1209" s="38" t="s">
        <v>387</v>
      </c>
      <c r="H1209" s="60" t="str">
        <f>Table1[[#This Row],[Tabela]]&amp;Table1[[#This Row],[Campo]]</f>
        <v>lt827_mthd_usd_instrmntmthd_usd_instrmnt_scp_2</v>
      </c>
      <c r="I1209" s="2" t="s">
        <v>614</v>
      </c>
      <c r="J1209" s="45">
        <f>VLOOKUP(Table1[[#This Row],[Status]],Auxiliar!$B$16:$C$24,2,0)</f>
        <v>1</v>
      </c>
      <c r="K1209" s="45" t="s">
        <v>1252</v>
      </c>
      <c r="L1209" s="46" t="s">
        <v>1258</v>
      </c>
      <c r="M1209" s="21" t="s">
        <v>1259</v>
      </c>
      <c r="N1209" s="48">
        <v>45611</v>
      </c>
      <c r="O1209" s="21">
        <f>INDEX(Auxiliar!$D$5:$F$13,MATCH(Table1[[#This Row],[Tipologia_Testes]],Auxiliar!$B$5:$B$13,0),MATCH(Table1[[#This Row],[Complexidade]],Auxiliar!$D$4:$F$4,0))</f>
        <v>2</v>
      </c>
      <c r="P1209" s="43"/>
      <c r="Q1209" s="152"/>
      <c r="R1209" s="152">
        <v>45593</v>
      </c>
      <c r="S1209" s="152"/>
      <c r="T1209" s="152">
        <v>45593</v>
      </c>
      <c r="U1209" s="152">
        <v>45611</v>
      </c>
      <c r="V1209" s="152">
        <v>45611</v>
      </c>
      <c r="W1209" s="2">
        <f>VLOOKUP(Table1[[#This Row],[Status]],Auxiliar!$B$16:$D$24,3,0)*Table1[[#This Row],[Estimação (horas)]]</f>
        <v>2</v>
      </c>
      <c r="X1209" s="114"/>
    </row>
    <row r="1210" spans="2:24" ht="17.7" customHeight="1" x14ac:dyDescent="0.25">
      <c r="B1210" s="39" t="s">
        <v>26</v>
      </c>
      <c r="C1210" s="39" t="s">
        <v>26</v>
      </c>
      <c r="D1210" s="2" t="s">
        <v>38</v>
      </c>
      <c r="E1210" s="39" t="s">
        <v>38</v>
      </c>
      <c r="F1210" s="39" t="s">
        <v>1956</v>
      </c>
      <c r="G1210" s="39" t="s">
        <v>387</v>
      </c>
      <c r="H1210" s="59" t="str">
        <f>Table1[[#This Row],[Tabela]]&amp;Table1[[#This Row],[Campo]]</f>
        <v>lt827_mthd_usd_instrmntmthd_usd_instrmnt_scp_2</v>
      </c>
      <c r="I1210" s="2" t="s">
        <v>614</v>
      </c>
      <c r="J1210" s="45">
        <f>VLOOKUP(Table1[[#This Row],[Status]],Auxiliar!$B$16:$C$24,2,0)</f>
        <v>1</v>
      </c>
      <c r="K1210" s="45" t="s">
        <v>1253</v>
      </c>
      <c r="L1210" s="46" t="s">
        <v>1258</v>
      </c>
      <c r="M1210" s="21" t="s">
        <v>1259</v>
      </c>
      <c r="N1210" s="48">
        <v>45611</v>
      </c>
      <c r="O1210" s="21">
        <f>INDEX(Auxiliar!$D$5:$F$13,MATCH(Table1[[#This Row],[Tipologia_Testes]],Auxiliar!$B$5:$B$13,0),MATCH(Table1[[#This Row],[Complexidade]],Auxiliar!$D$4:$F$4,0))</f>
        <v>2</v>
      </c>
      <c r="P1210" s="43"/>
      <c r="Q1210" s="152"/>
      <c r="R1210" s="152">
        <v>45593</v>
      </c>
      <c r="S1210" s="152"/>
      <c r="T1210" s="152">
        <v>45593</v>
      </c>
      <c r="U1210" s="152">
        <v>45611</v>
      </c>
      <c r="V1210" s="152">
        <v>45611</v>
      </c>
      <c r="W1210" s="2">
        <f>VLOOKUP(Table1[[#This Row],[Status]],Auxiliar!$B$16:$D$24,3,0)*Table1[[#This Row],[Estimação (horas)]]</f>
        <v>2</v>
      </c>
      <c r="X1210" s="114"/>
    </row>
    <row r="1211" spans="2:24" ht="17.7" customHeight="1" x14ac:dyDescent="0.25">
      <c r="B1211" s="39" t="s">
        <v>26</v>
      </c>
      <c r="C1211" s="39" t="s">
        <v>26</v>
      </c>
      <c r="D1211" s="2" t="s">
        <v>38</v>
      </c>
      <c r="E1211" s="39" t="s">
        <v>38</v>
      </c>
      <c r="F1211" s="39" t="s">
        <v>1956</v>
      </c>
      <c r="G1211" s="39" t="s">
        <v>387</v>
      </c>
      <c r="H1211" s="59" t="str">
        <f>Table1[[#This Row],[Tabela]]&amp;Table1[[#This Row],[Campo]]</f>
        <v>lt827_mthd_usd_instrmntmthd_usd_instrmnt_scp_2</v>
      </c>
      <c r="I1211" s="2" t="s">
        <v>614</v>
      </c>
      <c r="J1211" s="45">
        <f>VLOOKUP(Table1[[#This Row],[Status]],Auxiliar!$B$16:$C$24,2,0)</f>
        <v>1</v>
      </c>
      <c r="K1211" s="45" t="s">
        <v>1255</v>
      </c>
      <c r="L1211" s="46" t="s">
        <v>1258</v>
      </c>
      <c r="M1211" s="21" t="s">
        <v>1259</v>
      </c>
      <c r="N1211" s="48">
        <v>45611</v>
      </c>
      <c r="O1211" s="21">
        <f>INDEX(Auxiliar!$D$5:$F$13,MATCH(Table1[[#This Row],[Tipologia_Testes]],Auxiliar!$B$5:$B$13,0),MATCH(Table1[[#This Row],[Complexidade]],Auxiliar!$D$4:$F$4,0))</f>
        <v>0.1</v>
      </c>
      <c r="P1211" s="43"/>
      <c r="Q1211" s="152"/>
      <c r="R1211" s="152">
        <v>45593</v>
      </c>
      <c r="S1211" s="152"/>
      <c r="T1211" s="152">
        <v>45593</v>
      </c>
      <c r="U1211" s="152">
        <v>45611</v>
      </c>
      <c r="V1211" s="152">
        <v>45611</v>
      </c>
      <c r="W1211" s="2">
        <f>VLOOKUP(Table1[[#This Row],[Status]],Auxiliar!$B$16:$D$24,3,0)*Table1[[#This Row],[Estimação (horas)]]</f>
        <v>0.1</v>
      </c>
      <c r="X1211" s="114"/>
    </row>
    <row r="1212" spans="2:24" ht="17.7" customHeight="1" x14ac:dyDescent="0.25">
      <c r="B1212" s="39" t="s">
        <v>26</v>
      </c>
      <c r="C1212" s="39" t="s">
        <v>26</v>
      </c>
      <c r="D1212" s="2" t="s">
        <v>38</v>
      </c>
      <c r="E1212" s="40" t="s">
        <v>38</v>
      </c>
      <c r="F1212" s="40" t="s">
        <v>1956</v>
      </c>
      <c r="G1212" s="38" t="s">
        <v>388</v>
      </c>
      <c r="H1212" s="60" t="str">
        <f>Table1[[#This Row],[Tabela]]&amp;Table1[[#This Row],[Campo]]</f>
        <v>lt827_mthd_usd_instrmntmthd_usd_instrmnt_scp_3</v>
      </c>
      <c r="I1212" s="2" t="s">
        <v>614</v>
      </c>
      <c r="J1212" s="45">
        <f>VLOOKUP(Table1[[#This Row],[Status]],Auxiliar!$B$16:$C$24,2,0)</f>
        <v>1</v>
      </c>
      <c r="K1212" s="45" t="s">
        <v>1252</v>
      </c>
      <c r="L1212" s="46" t="s">
        <v>1258</v>
      </c>
      <c r="M1212" s="21" t="s">
        <v>1259</v>
      </c>
      <c r="N1212" s="48">
        <v>45611</v>
      </c>
      <c r="O1212" s="21">
        <f>INDEX(Auxiliar!$D$5:$F$13,MATCH(Table1[[#This Row],[Tipologia_Testes]],Auxiliar!$B$5:$B$13,0),MATCH(Table1[[#This Row],[Complexidade]],Auxiliar!$D$4:$F$4,0))</f>
        <v>2</v>
      </c>
      <c r="P1212" s="43"/>
      <c r="Q1212" s="152"/>
      <c r="R1212" s="152">
        <v>45593</v>
      </c>
      <c r="S1212" s="152"/>
      <c r="T1212" s="152">
        <v>45593</v>
      </c>
      <c r="U1212" s="152">
        <v>45611</v>
      </c>
      <c r="V1212" s="152">
        <v>45611</v>
      </c>
      <c r="W1212" s="2">
        <f>VLOOKUP(Table1[[#This Row],[Status]],Auxiliar!$B$16:$D$24,3,0)*Table1[[#This Row],[Estimação (horas)]]</f>
        <v>2</v>
      </c>
      <c r="X1212" s="114"/>
    </row>
    <row r="1213" spans="2:24" ht="17.7" customHeight="1" x14ac:dyDescent="0.25">
      <c r="B1213" s="39" t="s">
        <v>26</v>
      </c>
      <c r="C1213" s="39" t="s">
        <v>26</v>
      </c>
      <c r="D1213" s="2" t="s">
        <v>38</v>
      </c>
      <c r="E1213" s="39" t="s">
        <v>38</v>
      </c>
      <c r="F1213" s="39" t="s">
        <v>1956</v>
      </c>
      <c r="G1213" s="39" t="s">
        <v>388</v>
      </c>
      <c r="H1213" s="59" t="str">
        <f>Table1[[#This Row],[Tabela]]&amp;Table1[[#This Row],[Campo]]</f>
        <v>lt827_mthd_usd_instrmntmthd_usd_instrmnt_scp_3</v>
      </c>
      <c r="I1213" s="2" t="s">
        <v>614</v>
      </c>
      <c r="J1213" s="45">
        <f>VLOOKUP(Table1[[#This Row],[Status]],Auxiliar!$B$16:$C$24,2,0)</f>
        <v>1</v>
      </c>
      <c r="K1213" s="45" t="s">
        <v>1253</v>
      </c>
      <c r="L1213" s="46" t="s">
        <v>1258</v>
      </c>
      <c r="M1213" s="21" t="s">
        <v>1259</v>
      </c>
      <c r="N1213" s="48">
        <v>45611</v>
      </c>
      <c r="O1213" s="21">
        <f>INDEX(Auxiliar!$D$5:$F$13,MATCH(Table1[[#This Row],[Tipologia_Testes]],Auxiliar!$B$5:$B$13,0),MATCH(Table1[[#This Row],[Complexidade]],Auxiliar!$D$4:$F$4,0))</f>
        <v>2</v>
      </c>
      <c r="P1213" s="43"/>
      <c r="Q1213" s="152"/>
      <c r="R1213" s="152">
        <v>45593</v>
      </c>
      <c r="S1213" s="152"/>
      <c r="T1213" s="152">
        <v>45593</v>
      </c>
      <c r="U1213" s="152">
        <v>45611</v>
      </c>
      <c r="V1213" s="152">
        <v>45611</v>
      </c>
      <c r="W1213" s="2">
        <f>VLOOKUP(Table1[[#This Row],[Status]],Auxiliar!$B$16:$D$24,3,0)*Table1[[#This Row],[Estimação (horas)]]</f>
        <v>2</v>
      </c>
      <c r="X1213" s="114"/>
    </row>
    <row r="1214" spans="2:24" ht="17.7" customHeight="1" x14ac:dyDescent="0.25">
      <c r="B1214" s="39" t="s">
        <v>26</v>
      </c>
      <c r="C1214" s="39" t="s">
        <v>26</v>
      </c>
      <c r="D1214" s="2" t="s">
        <v>38</v>
      </c>
      <c r="E1214" s="39" t="s">
        <v>38</v>
      </c>
      <c r="F1214" s="39" t="s">
        <v>1956</v>
      </c>
      <c r="G1214" s="39" t="s">
        <v>388</v>
      </c>
      <c r="H1214" s="59" t="str">
        <f>Table1[[#This Row],[Tabela]]&amp;Table1[[#This Row],[Campo]]</f>
        <v>lt827_mthd_usd_instrmntmthd_usd_instrmnt_scp_3</v>
      </c>
      <c r="I1214" s="2" t="s">
        <v>614</v>
      </c>
      <c r="J1214" s="45">
        <f>VLOOKUP(Table1[[#This Row],[Status]],Auxiliar!$B$16:$C$24,2,0)</f>
        <v>1</v>
      </c>
      <c r="K1214" s="45" t="s">
        <v>1255</v>
      </c>
      <c r="L1214" s="46" t="s">
        <v>1258</v>
      </c>
      <c r="M1214" s="21" t="s">
        <v>1259</v>
      </c>
      <c r="N1214" s="48">
        <v>45611</v>
      </c>
      <c r="O1214" s="21">
        <f>INDEX(Auxiliar!$D$5:$F$13,MATCH(Table1[[#This Row],[Tipologia_Testes]],Auxiliar!$B$5:$B$13,0),MATCH(Table1[[#This Row],[Complexidade]],Auxiliar!$D$4:$F$4,0))</f>
        <v>0.1</v>
      </c>
      <c r="P1214" s="43"/>
      <c r="Q1214" s="152"/>
      <c r="R1214" s="152">
        <v>45593</v>
      </c>
      <c r="S1214" s="152"/>
      <c r="T1214" s="152">
        <v>45593</v>
      </c>
      <c r="U1214" s="152">
        <v>45611</v>
      </c>
      <c r="V1214" s="152">
        <v>45611</v>
      </c>
      <c r="W1214" s="2">
        <f>VLOOKUP(Table1[[#This Row],[Status]],Auxiliar!$B$16:$D$24,3,0)*Table1[[#This Row],[Estimação (horas)]]</f>
        <v>0.1</v>
      </c>
      <c r="X1214" s="114"/>
    </row>
    <row r="1215" spans="2:24" ht="17.7" customHeight="1" x14ac:dyDescent="0.25">
      <c r="B1215" s="39" t="s">
        <v>26</v>
      </c>
      <c r="C1215" s="39" t="s">
        <v>26</v>
      </c>
      <c r="D1215" s="2" t="s">
        <v>38</v>
      </c>
      <c r="E1215" s="39" t="s">
        <v>38</v>
      </c>
      <c r="F1215" s="39" t="s">
        <v>1956</v>
      </c>
      <c r="G1215" s="39" t="s">
        <v>1940</v>
      </c>
      <c r="H1215" s="59" t="str">
        <f>Table1[[#This Row],[Tabela]]&amp;Table1[[#This Row],[Campo]]</f>
        <v>lt827_mthd_usd_instrmntpurpose_code</v>
      </c>
      <c r="I1215" s="2" t="s">
        <v>614</v>
      </c>
      <c r="J1215" s="45">
        <f>VLOOKUP(Table1[[#This Row],[Status]],Auxiliar!$B$16:$C$24,2,0)</f>
        <v>1</v>
      </c>
      <c r="K1215" s="45" t="s">
        <v>1252</v>
      </c>
      <c r="L1215" s="46" t="s">
        <v>1258</v>
      </c>
      <c r="M1215" s="21" t="s">
        <v>1259</v>
      </c>
      <c r="N1215" s="48">
        <v>45611</v>
      </c>
      <c r="O1215" s="21">
        <f>INDEX(Auxiliar!$D$5:$F$11,MATCH(Table1[[#This Row],[Tipologia_Testes]],Auxiliar!$B$5:$B$11,0),MATCH(Table1[[#This Row],[Complexidade]],Auxiliar!$D$4:$F$4,0))</f>
        <v>2</v>
      </c>
      <c r="P1215" s="43"/>
      <c r="Q1215" s="152"/>
      <c r="R1215" s="152"/>
      <c r="S1215" s="152"/>
      <c r="T1215" s="152"/>
      <c r="U1215" s="152">
        <v>45611</v>
      </c>
      <c r="V1215" s="152">
        <v>45611</v>
      </c>
      <c r="W1215" s="2">
        <f>VLOOKUP(Table1[[#This Row],[Status]],Auxiliar!$B$16:$D$24,3,0)*Table1[[#This Row],[Estimação (horas)]]</f>
        <v>2</v>
      </c>
      <c r="X1215" s="114"/>
    </row>
    <row r="1216" spans="2:24" ht="17.7" customHeight="1" x14ac:dyDescent="0.25">
      <c r="B1216" s="39" t="s">
        <v>26</v>
      </c>
      <c r="C1216" s="39" t="s">
        <v>26</v>
      </c>
      <c r="D1216" s="2" t="s">
        <v>38</v>
      </c>
      <c r="E1216" s="39" t="s">
        <v>38</v>
      </c>
      <c r="F1216" s="39" t="s">
        <v>1956</v>
      </c>
      <c r="G1216" s="39" t="s">
        <v>1940</v>
      </c>
      <c r="H1216" s="59" t="str">
        <f>Table1[[#This Row],[Tabela]]&amp;Table1[[#This Row],[Campo]]</f>
        <v>lt827_mthd_usd_instrmntpurpose_code</v>
      </c>
      <c r="I1216" s="2" t="s">
        <v>614</v>
      </c>
      <c r="J1216" s="45">
        <f>VLOOKUP(Table1[[#This Row],[Status]],Auxiliar!$B$16:$C$24,2,0)</f>
        <v>1</v>
      </c>
      <c r="K1216" s="45" t="s">
        <v>1253</v>
      </c>
      <c r="L1216" s="46" t="s">
        <v>1258</v>
      </c>
      <c r="M1216" s="21" t="s">
        <v>1259</v>
      </c>
      <c r="N1216" s="48">
        <v>45611</v>
      </c>
      <c r="O1216" s="21">
        <f>INDEX(Auxiliar!$D$5:$F$11,MATCH(Table1[[#This Row],[Tipologia_Testes]],Auxiliar!$B$5:$B$11,0),MATCH(Table1[[#This Row],[Complexidade]],Auxiliar!$D$4:$F$4,0))</f>
        <v>2</v>
      </c>
      <c r="P1216" s="43"/>
      <c r="Q1216" s="152"/>
      <c r="R1216" s="152"/>
      <c r="S1216" s="152"/>
      <c r="T1216" s="152"/>
      <c r="U1216" s="152">
        <v>45611</v>
      </c>
      <c r="V1216" s="152">
        <v>45611</v>
      </c>
      <c r="W1216" s="2">
        <f>VLOOKUP(Table1[[#This Row],[Status]],Auxiliar!$B$16:$D$24,3,0)*Table1[[#This Row],[Estimação (horas)]]</f>
        <v>2</v>
      </c>
      <c r="X1216" s="114"/>
    </row>
    <row r="1217" spans="2:24" ht="17.7" customHeight="1" x14ac:dyDescent="0.25">
      <c r="B1217" s="39" t="s">
        <v>26</v>
      </c>
      <c r="C1217" s="39" t="s">
        <v>26</v>
      </c>
      <c r="D1217" s="2" t="s">
        <v>38</v>
      </c>
      <c r="E1217" s="39" t="s">
        <v>38</v>
      </c>
      <c r="F1217" s="39" t="s">
        <v>1956</v>
      </c>
      <c r="G1217" s="39" t="s">
        <v>1940</v>
      </c>
      <c r="H1217" s="59" t="str">
        <f>Table1[[#This Row],[Tabela]]&amp;Table1[[#This Row],[Campo]]</f>
        <v>lt827_mthd_usd_instrmntpurpose_code</v>
      </c>
      <c r="I1217" s="2" t="s">
        <v>614</v>
      </c>
      <c r="J1217" s="45">
        <f>VLOOKUP(Table1[[#This Row],[Status]],Auxiliar!$B$16:$C$24,2,0)</f>
        <v>1</v>
      </c>
      <c r="K1217" s="45" t="s">
        <v>1255</v>
      </c>
      <c r="L1217" s="46" t="s">
        <v>1258</v>
      </c>
      <c r="M1217" s="21" t="s">
        <v>1259</v>
      </c>
      <c r="N1217" s="48">
        <v>45611</v>
      </c>
      <c r="O1217" s="21">
        <f>INDEX(Auxiliar!$D$5:$F$11,MATCH(Table1[[#This Row],[Tipologia_Testes]],Auxiliar!$B$5:$B$11,0),MATCH(Table1[[#This Row],[Complexidade]],Auxiliar!$D$4:$F$4,0))</f>
        <v>0.1</v>
      </c>
      <c r="P1217" s="43"/>
      <c r="Q1217" s="152"/>
      <c r="R1217" s="152"/>
      <c r="S1217" s="152"/>
      <c r="T1217" s="152"/>
      <c r="U1217" s="152">
        <v>45611</v>
      </c>
      <c r="V1217" s="152">
        <v>45611</v>
      </c>
      <c r="W1217" s="2">
        <f>VLOOKUP(Table1[[#This Row],[Status]],Auxiliar!$B$16:$D$24,3,0)*Table1[[#This Row],[Estimação (horas)]]</f>
        <v>0.1</v>
      </c>
      <c r="X1217" s="114"/>
    </row>
    <row r="1218" spans="2:24" ht="17.7" customHeight="1" x14ac:dyDescent="0.25">
      <c r="B1218" s="39" t="s">
        <v>26</v>
      </c>
      <c r="C1218" s="39" t="s">
        <v>26</v>
      </c>
      <c r="D1218" s="2" t="s">
        <v>38</v>
      </c>
      <c r="E1218" s="39" t="s">
        <v>38</v>
      </c>
      <c r="F1218" s="39" t="s">
        <v>1956</v>
      </c>
      <c r="G1218" s="39" t="s">
        <v>481</v>
      </c>
      <c r="H1218" s="59" t="str">
        <f>Table1[[#This Row],[Tabela]]&amp;Table1[[#This Row],[Campo]]</f>
        <v>lt827_mthd_usd_instrmntflg_fin</v>
      </c>
      <c r="I1218" s="2" t="s">
        <v>614</v>
      </c>
      <c r="J1218" s="45">
        <f>VLOOKUP(Table1[[#This Row],[Status]],Auxiliar!$B$16:$C$24,2,0)</f>
        <v>1</v>
      </c>
      <c r="K1218" s="45" t="s">
        <v>1252</v>
      </c>
      <c r="L1218" s="46" t="s">
        <v>1258</v>
      </c>
      <c r="M1218" s="21" t="s">
        <v>1259</v>
      </c>
      <c r="N1218" s="48">
        <v>45611</v>
      </c>
      <c r="O1218" s="21">
        <f>INDEX(Auxiliar!$D$5:$F$11,MATCH(Table1[[#This Row],[Tipologia_Testes]],Auxiliar!$B$5:$B$11,0),MATCH(Table1[[#This Row],[Complexidade]],Auxiliar!$D$4:$F$4,0))</f>
        <v>2</v>
      </c>
      <c r="P1218" s="43"/>
      <c r="Q1218" s="152"/>
      <c r="R1218" s="152"/>
      <c r="S1218" s="152"/>
      <c r="T1218" s="152"/>
      <c r="U1218" s="152">
        <v>45611</v>
      </c>
      <c r="V1218" s="152">
        <v>45611</v>
      </c>
      <c r="W1218" s="2">
        <f>VLOOKUP(Table1[[#This Row],[Status]],Auxiliar!$B$16:$D$24,3,0)*Table1[[#This Row],[Estimação (horas)]]</f>
        <v>2</v>
      </c>
      <c r="X1218" s="114"/>
    </row>
    <row r="1219" spans="2:24" ht="17.7" customHeight="1" x14ac:dyDescent="0.25">
      <c r="B1219" s="39" t="s">
        <v>26</v>
      </c>
      <c r="C1219" s="39" t="s">
        <v>26</v>
      </c>
      <c r="D1219" s="2" t="s">
        <v>38</v>
      </c>
      <c r="E1219" s="39" t="s">
        <v>38</v>
      </c>
      <c r="F1219" s="39" t="s">
        <v>1956</v>
      </c>
      <c r="G1219" s="39" t="s">
        <v>481</v>
      </c>
      <c r="H1219" s="59" t="str">
        <f>Table1[[#This Row],[Tabela]]&amp;Table1[[#This Row],[Campo]]</f>
        <v>lt827_mthd_usd_instrmntflg_fin</v>
      </c>
      <c r="I1219" s="2" t="s">
        <v>614</v>
      </c>
      <c r="J1219" s="45">
        <f>VLOOKUP(Table1[[#This Row],[Status]],Auxiliar!$B$16:$C$24,2,0)</f>
        <v>1</v>
      </c>
      <c r="K1219" s="45" t="s">
        <v>1253</v>
      </c>
      <c r="L1219" s="46" t="s">
        <v>1258</v>
      </c>
      <c r="M1219" s="21" t="s">
        <v>1259</v>
      </c>
      <c r="N1219" s="48">
        <v>45611</v>
      </c>
      <c r="O1219" s="21">
        <f>INDEX(Auxiliar!$D$5:$F$11,MATCH(Table1[[#This Row],[Tipologia_Testes]],Auxiliar!$B$5:$B$11,0),MATCH(Table1[[#This Row],[Complexidade]],Auxiliar!$D$4:$F$4,0))</f>
        <v>2</v>
      </c>
      <c r="P1219" s="43"/>
      <c r="Q1219" s="152"/>
      <c r="R1219" s="152"/>
      <c r="S1219" s="152"/>
      <c r="T1219" s="152"/>
      <c r="U1219" s="152">
        <v>45611</v>
      </c>
      <c r="V1219" s="152">
        <v>45611</v>
      </c>
      <c r="W1219" s="2">
        <f>VLOOKUP(Table1[[#This Row],[Status]],Auxiliar!$B$16:$D$24,3,0)*Table1[[#This Row],[Estimação (horas)]]</f>
        <v>2</v>
      </c>
      <c r="X1219" s="114"/>
    </row>
    <row r="1220" spans="2:24" ht="17.7" customHeight="1" x14ac:dyDescent="0.25">
      <c r="B1220" s="39" t="s">
        <v>26</v>
      </c>
      <c r="C1220" s="39" t="s">
        <v>26</v>
      </c>
      <c r="D1220" s="2" t="s">
        <v>38</v>
      </c>
      <c r="E1220" s="39" t="s">
        <v>38</v>
      </c>
      <c r="F1220" s="39" t="s">
        <v>1956</v>
      </c>
      <c r="G1220" s="39" t="s">
        <v>481</v>
      </c>
      <c r="H1220" s="59" t="str">
        <f>Table1[[#This Row],[Tabela]]&amp;Table1[[#This Row],[Campo]]</f>
        <v>lt827_mthd_usd_instrmntflg_fin</v>
      </c>
      <c r="I1220" s="2" t="s">
        <v>614</v>
      </c>
      <c r="J1220" s="45">
        <f>VLOOKUP(Table1[[#This Row],[Status]],Auxiliar!$B$16:$C$24,2,0)</f>
        <v>1</v>
      </c>
      <c r="K1220" s="45" t="s">
        <v>1255</v>
      </c>
      <c r="L1220" s="46" t="s">
        <v>1258</v>
      </c>
      <c r="M1220" s="21" t="s">
        <v>1259</v>
      </c>
      <c r="N1220" s="48">
        <v>45611</v>
      </c>
      <c r="O1220" s="21">
        <f>INDEX(Auxiliar!$D$5:$F$11,MATCH(Table1[[#This Row],[Tipologia_Testes]],Auxiliar!$B$5:$B$11,0),MATCH(Table1[[#This Row],[Complexidade]],Auxiliar!$D$4:$F$4,0))</f>
        <v>0.1</v>
      </c>
      <c r="P1220" s="43"/>
      <c r="Q1220" s="152"/>
      <c r="R1220" s="152"/>
      <c r="S1220" s="152"/>
      <c r="T1220" s="152"/>
      <c r="U1220" s="152">
        <v>45611</v>
      </c>
      <c r="V1220" s="152">
        <v>45611</v>
      </c>
      <c r="W1220" s="2">
        <f>VLOOKUP(Table1[[#This Row],[Status]],Auxiliar!$B$16:$D$24,3,0)*Table1[[#This Row],[Estimação (horas)]]</f>
        <v>0.1</v>
      </c>
      <c r="X1220" s="114"/>
    </row>
    <row r="1221" spans="2:24" ht="17.7" customHeight="1" x14ac:dyDescent="0.25">
      <c r="B1221" s="39" t="s">
        <v>26</v>
      </c>
      <c r="C1221" s="39" t="s">
        <v>26</v>
      </c>
      <c r="D1221" s="2" t="s">
        <v>38</v>
      </c>
      <c r="E1221" s="39" t="s">
        <v>38</v>
      </c>
      <c r="F1221" s="39" t="s">
        <v>1956</v>
      </c>
      <c r="G1221" s="39" t="s">
        <v>1361</v>
      </c>
      <c r="H1221" s="59" t="str">
        <f>Table1[[#This Row],[Tabela]]&amp;Table1[[#This Row],[Campo]]</f>
        <v>lt827_mthd_usd_instrmntflg_exec</v>
      </c>
      <c r="I1221" s="2" t="s">
        <v>614</v>
      </c>
      <c r="J1221" s="45">
        <f>VLOOKUP(Table1[[#This Row],[Status]],Auxiliar!$B$16:$C$24,2,0)</f>
        <v>1</v>
      </c>
      <c r="K1221" s="45" t="s">
        <v>1252</v>
      </c>
      <c r="L1221" s="46" t="s">
        <v>1258</v>
      </c>
      <c r="M1221" s="21" t="s">
        <v>1259</v>
      </c>
      <c r="N1221" s="48">
        <v>45611</v>
      </c>
      <c r="O1221" s="21">
        <f>INDEX(Auxiliar!$D$5:$F$11,MATCH(Table1[[#This Row],[Tipologia_Testes]],Auxiliar!$B$5:$B$11,0),MATCH(Table1[[#This Row],[Complexidade]],Auxiliar!$D$4:$F$4,0))</f>
        <v>2</v>
      </c>
      <c r="P1221" s="43"/>
      <c r="Q1221" s="152"/>
      <c r="R1221" s="152"/>
      <c r="S1221" s="152"/>
      <c r="T1221" s="152"/>
      <c r="U1221" s="152">
        <v>45611</v>
      </c>
      <c r="V1221" s="152">
        <v>45611</v>
      </c>
      <c r="W1221" s="2">
        <f>VLOOKUP(Table1[[#This Row],[Status]],Auxiliar!$B$16:$D$24,3,0)*Table1[[#This Row],[Estimação (horas)]]</f>
        <v>2</v>
      </c>
      <c r="X1221" s="114"/>
    </row>
    <row r="1222" spans="2:24" ht="17.7" customHeight="1" x14ac:dyDescent="0.25">
      <c r="B1222" s="39" t="s">
        <v>26</v>
      </c>
      <c r="C1222" s="39" t="s">
        <v>26</v>
      </c>
      <c r="D1222" s="2" t="s">
        <v>38</v>
      </c>
      <c r="E1222" s="39" t="s">
        <v>38</v>
      </c>
      <c r="F1222" s="39" t="s">
        <v>1956</v>
      </c>
      <c r="G1222" s="39" t="s">
        <v>1361</v>
      </c>
      <c r="H1222" s="59" t="str">
        <f>Table1[[#This Row],[Tabela]]&amp;Table1[[#This Row],[Campo]]</f>
        <v>lt827_mthd_usd_instrmntflg_exec</v>
      </c>
      <c r="I1222" s="2" t="s">
        <v>614</v>
      </c>
      <c r="J1222" s="45">
        <f>VLOOKUP(Table1[[#This Row],[Status]],Auxiliar!$B$16:$C$24,2,0)</f>
        <v>1</v>
      </c>
      <c r="K1222" s="45" t="s">
        <v>1253</v>
      </c>
      <c r="L1222" s="46" t="s">
        <v>1258</v>
      </c>
      <c r="M1222" s="21" t="s">
        <v>1259</v>
      </c>
      <c r="N1222" s="48">
        <v>45611</v>
      </c>
      <c r="O1222" s="21">
        <f>INDEX(Auxiliar!$D$5:$F$11,MATCH(Table1[[#This Row],[Tipologia_Testes]],Auxiliar!$B$5:$B$11,0),MATCH(Table1[[#This Row],[Complexidade]],Auxiliar!$D$4:$F$4,0))</f>
        <v>2</v>
      </c>
      <c r="P1222" s="43"/>
      <c r="Q1222" s="152"/>
      <c r="R1222" s="152"/>
      <c r="S1222" s="152"/>
      <c r="T1222" s="152"/>
      <c r="U1222" s="152">
        <v>45611</v>
      </c>
      <c r="V1222" s="152">
        <v>45611</v>
      </c>
      <c r="W1222" s="2">
        <f>VLOOKUP(Table1[[#This Row],[Status]],Auxiliar!$B$16:$D$24,3,0)*Table1[[#This Row],[Estimação (horas)]]</f>
        <v>2</v>
      </c>
      <c r="X1222" s="114"/>
    </row>
    <row r="1223" spans="2:24" ht="17.7" customHeight="1" x14ac:dyDescent="0.25">
      <c r="B1223" s="39" t="s">
        <v>26</v>
      </c>
      <c r="C1223" s="39" t="s">
        <v>26</v>
      </c>
      <c r="D1223" s="2" t="s">
        <v>38</v>
      </c>
      <c r="E1223" s="39" t="s">
        <v>38</v>
      </c>
      <c r="F1223" s="39" t="s">
        <v>1956</v>
      </c>
      <c r="G1223" s="39" t="s">
        <v>1361</v>
      </c>
      <c r="H1223" s="59" t="str">
        <f>Table1[[#This Row],[Tabela]]&amp;Table1[[#This Row],[Campo]]</f>
        <v>lt827_mthd_usd_instrmntflg_exec</v>
      </c>
      <c r="I1223" s="2" t="s">
        <v>614</v>
      </c>
      <c r="J1223" s="45">
        <f>VLOOKUP(Table1[[#This Row],[Status]],Auxiliar!$B$16:$C$24,2,0)</f>
        <v>1</v>
      </c>
      <c r="K1223" s="45" t="s">
        <v>1255</v>
      </c>
      <c r="L1223" s="46" t="s">
        <v>1258</v>
      </c>
      <c r="M1223" s="21" t="s">
        <v>1259</v>
      </c>
      <c r="N1223" s="48">
        <v>45611</v>
      </c>
      <c r="O1223" s="21">
        <f>INDEX(Auxiliar!$D$5:$F$11,MATCH(Table1[[#This Row],[Tipologia_Testes]],Auxiliar!$B$5:$B$11,0),MATCH(Table1[[#This Row],[Complexidade]],Auxiliar!$D$4:$F$4,0))</f>
        <v>0.1</v>
      </c>
      <c r="P1223" s="43"/>
      <c r="Q1223" s="152"/>
      <c r="R1223" s="152"/>
      <c r="S1223" s="152"/>
      <c r="T1223" s="152"/>
      <c r="U1223" s="152">
        <v>45611</v>
      </c>
      <c r="V1223" s="152">
        <v>45611</v>
      </c>
      <c r="W1223" s="2">
        <f>VLOOKUP(Table1[[#This Row],[Status]],Auxiliar!$B$16:$D$24,3,0)*Table1[[#This Row],[Estimação (horas)]]</f>
        <v>0.1</v>
      </c>
      <c r="X1223" s="114"/>
    </row>
    <row r="1224" spans="2:24" ht="17.7" customHeight="1" x14ac:dyDescent="0.25">
      <c r="B1224" s="39" t="s">
        <v>26</v>
      </c>
      <c r="C1224" s="39" t="s">
        <v>26</v>
      </c>
      <c r="D1224" s="2" t="s">
        <v>38</v>
      </c>
      <c r="E1224" s="39" t="s">
        <v>38</v>
      </c>
      <c r="F1224" s="39" t="s">
        <v>1956</v>
      </c>
      <c r="G1224" s="39" t="s">
        <v>480</v>
      </c>
      <c r="H1224" s="59" t="str">
        <f>Table1[[#This Row],[Tabela]]&amp;Table1[[#This Row],[Campo]]</f>
        <v>lt827_mthd_usd_instrmntflg_col</v>
      </c>
      <c r="I1224" s="2" t="s">
        <v>614</v>
      </c>
      <c r="J1224" s="45">
        <f>VLOOKUP(Table1[[#This Row],[Status]],Auxiliar!$B$16:$C$24,2,0)</f>
        <v>1</v>
      </c>
      <c r="K1224" s="45" t="s">
        <v>1252</v>
      </c>
      <c r="L1224" s="46" t="s">
        <v>1258</v>
      </c>
      <c r="M1224" s="21" t="s">
        <v>1259</v>
      </c>
      <c r="N1224" s="48">
        <v>45611</v>
      </c>
      <c r="O1224" s="21">
        <f>INDEX(Auxiliar!$D$5:$F$11,MATCH(Table1[[#This Row],[Tipologia_Testes]],Auxiliar!$B$5:$B$11,0),MATCH(Table1[[#This Row],[Complexidade]],Auxiliar!$D$4:$F$4,0))</f>
        <v>2</v>
      </c>
      <c r="P1224" s="43"/>
      <c r="Q1224" s="152"/>
      <c r="R1224" s="152"/>
      <c r="S1224" s="152"/>
      <c r="T1224" s="152"/>
      <c r="U1224" s="152">
        <v>45611</v>
      </c>
      <c r="V1224" s="152">
        <v>45611</v>
      </c>
      <c r="W1224" s="2">
        <f>VLOOKUP(Table1[[#This Row],[Status]],Auxiliar!$B$16:$D$24,3,0)*Table1[[#This Row],[Estimação (horas)]]</f>
        <v>2</v>
      </c>
      <c r="X1224" s="114"/>
    </row>
    <row r="1225" spans="2:24" ht="17.7" customHeight="1" x14ac:dyDescent="0.25">
      <c r="B1225" s="39" t="s">
        <v>26</v>
      </c>
      <c r="C1225" s="39" t="s">
        <v>26</v>
      </c>
      <c r="D1225" s="2" t="s">
        <v>38</v>
      </c>
      <c r="E1225" s="39" t="s">
        <v>38</v>
      </c>
      <c r="F1225" s="39" t="s">
        <v>1956</v>
      </c>
      <c r="G1225" s="39" t="s">
        <v>480</v>
      </c>
      <c r="H1225" s="59" t="str">
        <f>Table1[[#This Row],[Tabela]]&amp;Table1[[#This Row],[Campo]]</f>
        <v>lt827_mthd_usd_instrmntflg_col</v>
      </c>
      <c r="I1225" s="2" t="s">
        <v>614</v>
      </c>
      <c r="J1225" s="45">
        <f>VLOOKUP(Table1[[#This Row],[Status]],Auxiliar!$B$16:$C$24,2,0)</f>
        <v>1</v>
      </c>
      <c r="K1225" s="45" t="s">
        <v>1253</v>
      </c>
      <c r="L1225" s="46" t="s">
        <v>1258</v>
      </c>
      <c r="M1225" s="21" t="s">
        <v>1259</v>
      </c>
      <c r="N1225" s="48">
        <v>45611</v>
      </c>
      <c r="O1225" s="21">
        <f>INDEX(Auxiliar!$D$5:$F$11,MATCH(Table1[[#This Row],[Tipologia_Testes]],Auxiliar!$B$5:$B$11,0),MATCH(Table1[[#This Row],[Complexidade]],Auxiliar!$D$4:$F$4,0))</f>
        <v>2</v>
      </c>
      <c r="P1225" s="43"/>
      <c r="Q1225" s="152"/>
      <c r="R1225" s="152"/>
      <c r="S1225" s="152"/>
      <c r="T1225" s="152"/>
      <c r="U1225" s="152">
        <v>45611</v>
      </c>
      <c r="V1225" s="152">
        <v>45611</v>
      </c>
      <c r="W1225" s="2">
        <f>VLOOKUP(Table1[[#This Row],[Status]],Auxiliar!$B$16:$D$24,3,0)*Table1[[#This Row],[Estimação (horas)]]</f>
        <v>2</v>
      </c>
      <c r="X1225" s="114"/>
    </row>
    <row r="1226" spans="2:24" ht="17.7" customHeight="1" x14ac:dyDescent="0.25">
      <c r="B1226" s="39" t="s">
        <v>26</v>
      </c>
      <c r="C1226" s="39" t="s">
        <v>26</v>
      </c>
      <c r="D1226" s="2" t="s">
        <v>38</v>
      </c>
      <c r="E1226" s="39" t="s">
        <v>38</v>
      </c>
      <c r="F1226" s="39" t="s">
        <v>1956</v>
      </c>
      <c r="G1226" s="39" t="s">
        <v>480</v>
      </c>
      <c r="H1226" s="59" t="str">
        <f>Table1[[#This Row],[Tabela]]&amp;Table1[[#This Row],[Campo]]</f>
        <v>lt827_mthd_usd_instrmntflg_col</v>
      </c>
      <c r="I1226" s="2" t="s">
        <v>614</v>
      </c>
      <c r="J1226" s="45">
        <f>VLOOKUP(Table1[[#This Row],[Status]],Auxiliar!$B$16:$C$24,2,0)</f>
        <v>1</v>
      </c>
      <c r="K1226" s="45" t="s">
        <v>1255</v>
      </c>
      <c r="L1226" s="46" t="s">
        <v>1258</v>
      </c>
      <c r="M1226" s="21" t="s">
        <v>1259</v>
      </c>
      <c r="N1226" s="48">
        <v>45611</v>
      </c>
      <c r="O1226" s="21">
        <f>INDEX(Auxiliar!$D$5:$F$11,MATCH(Table1[[#This Row],[Tipologia_Testes]],Auxiliar!$B$5:$B$11,0),MATCH(Table1[[#This Row],[Complexidade]],Auxiliar!$D$4:$F$4,0))</f>
        <v>0.1</v>
      </c>
      <c r="P1226" s="43"/>
      <c r="Q1226" s="152"/>
      <c r="R1226" s="152"/>
      <c r="S1226" s="152"/>
      <c r="T1226" s="152"/>
      <c r="U1226" s="152">
        <v>45611</v>
      </c>
      <c r="V1226" s="152">
        <v>45611</v>
      </c>
      <c r="W1226" s="2">
        <f>VLOOKUP(Table1[[#This Row],[Status]],Auxiliar!$B$16:$D$24,3,0)*Table1[[#This Row],[Estimação (horas)]]</f>
        <v>0.1</v>
      </c>
      <c r="X1226" s="114"/>
    </row>
    <row r="1227" spans="2:24" ht="17.7" customHeight="1" x14ac:dyDescent="0.25">
      <c r="B1227" s="39" t="s">
        <v>26</v>
      </c>
      <c r="C1227" s="39" t="s">
        <v>26</v>
      </c>
      <c r="D1227" s="2" t="s">
        <v>38</v>
      </c>
      <c r="E1227" s="39" t="s">
        <v>38</v>
      </c>
      <c r="F1227" s="39" t="s">
        <v>1956</v>
      </c>
      <c r="G1227" s="39" t="s">
        <v>482</v>
      </c>
      <c r="H1227" s="59" t="str">
        <f>Table1[[#This Row],[Tabela]]&amp;Table1[[#This Row],[Campo]]</f>
        <v>lt827_mthd_usd_instrmntflg_pro</v>
      </c>
      <c r="I1227" s="2" t="s">
        <v>614</v>
      </c>
      <c r="J1227" s="45">
        <f>VLOOKUP(Table1[[#This Row],[Status]],Auxiliar!$B$16:$C$24,2,0)</f>
        <v>1</v>
      </c>
      <c r="K1227" s="45" t="s">
        <v>1252</v>
      </c>
      <c r="L1227" s="46" t="s">
        <v>1258</v>
      </c>
      <c r="M1227" s="21" t="s">
        <v>1259</v>
      </c>
      <c r="N1227" s="48">
        <v>45611</v>
      </c>
      <c r="O1227" s="21">
        <f>INDEX(Auxiliar!$D$5:$F$11,MATCH(Table1[[#This Row],[Tipologia_Testes]],Auxiliar!$B$5:$B$11,0),MATCH(Table1[[#This Row],[Complexidade]],Auxiliar!$D$4:$F$4,0))</f>
        <v>2</v>
      </c>
      <c r="P1227" s="43"/>
      <c r="Q1227" s="152"/>
      <c r="R1227" s="152"/>
      <c r="S1227" s="152"/>
      <c r="T1227" s="152"/>
      <c r="U1227" s="152">
        <v>45611</v>
      </c>
      <c r="V1227" s="152">
        <v>45611</v>
      </c>
      <c r="W1227" s="2">
        <f>VLOOKUP(Table1[[#This Row],[Status]],Auxiliar!$B$16:$D$24,3,0)*Table1[[#This Row],[Estimação (horas)]]</f>
        <v>2</v>
      </c>
      <c r="X1227" s="114"/>
    </row>
    <row r="1228" spans="2:24" ht="17.7" customHeight="1" x14ac:dyDescent="0.25">
      <c r="B1228" s="39" t="s">
        <v>26</v>
      </c>
      <c r="C1228" s="39" t="s">
        <v>26</v>
      </c>
      <c r="D1228" s="2" t="s">
        <v>38</v>
      </c>
      <c r="E1228" s="39" t="s">
        <v>38</v>
      </c>
      <c r="F1228" s="39" t="s">
        <v>1956</v>
      </c>
      <c r="G1228" s="39" t="s">
        <v>482</v>
      </c>
      <c r="H1228" s="59" t="str">
        <f>Table1[[#This Row],[Tabela]]&amp;Table1[[#This Row],[Campo]]</f>
        <v>lt827_mthd_usd_instrmntflg_pro</v>
      </c>
      <c r="I1228" s="2" t="s">
        <v>614</v>
      </c>
      <c r="J1228" s="45">
        <f>VLOOKUP(Table1[[#This Row],[Status]],Auxiliar!$B$16:$C$24,2,0)</f>
        <v>1</v>
      </c>
      <c r="K1228" s="45" t="s">
        <v>1253</v>
      </c>
      <c r="L1228" s="46" t="s">
        <v>1258</v>
      </c>
      <c r="M1228" s="21" t="s">
        <v>1259</v>
      </c>
      <c r="N1228" s="48">
        <v>45611</v>
      </c>
      <c r="O1228" s="21">
        <f>INDEX(Auxiliar!$D$5:$F$11,MATCH(Table1[[#This Row],[Tipologia_Testes]],Auxiliar!$B$5:$B$11,0),MATCH(Table1[[#This Row],[Complexidade]],Auxiliar!$D$4:$F$4,0))</f>
        <v>2</v>
      </c>
      <c r="P1228" s="43"/>
      <c r="Q1228" s="152"/>
      <c r="R1228" s="152"/>
      <c r="S1228" s="152"/>
      <c r="T1228" s="152"/>
      <c r="U1228" s="152">
        <v>45611</v>
      </c>
      <c r="V1228" s="152">
        <v>45611</v>
      </c>
      <c r="W1228" s="2">
        <f>VLOOKUP(Table1[[#This Row],[Status]],Auxiliar!$B$16:$D$24,3,0)*Table1[[#This Row],[Estimação (horas)]]</f>
        <v>2</v>
      </c>
      <c r="X1228" s="114"/>
    </row>
    <row r="1229" spans="2:24" ht="17.7" customHeight="1" x14ac:dyDescent="0.25">
      <c r="B1229" s="39" t="s">
        <v>26</v>
      </c>
      <c r="C1229" s="39" t="s">
        <v>26</v>
      </c>
      <c r="D1229" s="2" t="s">
        <v>38</v>
      </c>
      <c r="E1229" s="39" t="s">
        <v>38</v>
      </c>
      <c r="F1229" s="39" t="s">
        <v>1956</v>
      </c>
      <c r="G1229" s="39" t="s">
        <v>482</v>
      </c>
      <c r="H1229" s="59" t="str">
        <f>Table1[[#This Row],[Tabela]]&amp;Table1[[#This Row],[Campo]]</f>
        <v>lt827_mthd_usd_instrmntflg_pro</v>
      </c>
      <c r="I1229" s="2" t="s">
        <v>614</v>
      </c>
      <c r="J1229" s="45">
        <f>VLOOKUP(Table1[[#This Row],[Status]],Auxiliar!$B$16:$C$24,2,0)</f>
        <v>1</v>
      </c>
      <c r="K1229" s="45" t="s">
        <v>1255</v>
      </c>
      <c r="L1229" s="46" t="s">
        <v>1258</v>
      </c>
      <c r="M1229" s="21" t="s">
        <v>1259</v>
      </c>
      <c r="N1229" s="48">
        <v>45611</v>
      </c>
      <c r="O1229" s="21">
        <f>INDEX(Auxiliar!$D$5:$F$11,MATCH(Table1[[#This Row],[Tipologia_Testes]],Auxiliar!$B$5:$B$11,0),MATCH(Table1[[#This Row],[Complexidade]],Auxiliar!$D$4:$F$4,0))</f>
        <v>0.1</v>
      </c>
      <c r="P1229" s="43"/>
      <c r="Q1229" s="152"/>
      <c r="R1229" s="152"/>
      <c r="S1229" s="152"/>
      <c r="T1229" s="152"/>
      <c r="U1229" s="152">
        <v>45611</v>
      </c>
      <c r="V1229" s="152">
        <v>45611</v>
      </c>
      <c r="W1229" s="2">
        <f>VLOOKUP(Table1[[#This Row],[Status]],Auxiliar!$B$16:$D$24,3,0)*Table1[[#This Row],[Estimação (horas)]]</f>
        <v>0.1</v>
      </c>
      <c r="X1229" s="114"/>
    </row>
    <row r="1230" spans="2:24" ht="17.7" customHeight="1" x14ac:dyDescent="0.25">
      <c r="B1230" s="39" t="s">
        <v>26</v>
      </c>
      <c r="C1230" s="39" t="s">
        <v>26</v>
      </c>
      <c r="D1230" s="2" t="s">
        <v>38</v>
      </c>
      <c r="E1230" s="40" t="s">
        <v>38</v>
      </c>
      <c r="F1230" s="40" t="s">
        <v>393</v>
      </c>
      <c r="G1230" s="40" t="s">
        <v>391</v>
      </c>
      <c r="H1230" s="60" t="str">
        <f>Table1[[#This Row],[Tabela]]&amp;Table1[[#This Row],[Campo]]</f>
        <v>lt826_esg_sbsctrambito</v>
      </c>
      <c r="I1230" s="2" t="s">
        <v>614</v>
      </c>
      <c r="J1230" s="45">
        <f>VLOOKUP(Table1[[#This Row],[Status]],Auxiliar!$B$16:$C$24,2,0)</f>
        <v>1</v>
      </c>
      <c r="K1230" s="45" t="s">
        <v>1252</v>
      </c>
      <c r="L1230" s="46" t="s">
        <v>1258</v>
      </c>
      <c r="M1230" s="21" t="s">
        <v>1259</v>
      </c>
      <c r="N1230" s="48">
        <v>45581</v>
      </c>
      <c r="O1230" s="21">
        <f>INDEX(Auxiliar!$D$5:$F$13,MATCH(Table1[[#This Row],[Tipologia_Testes]],Auxiliar!$B$5:$B$13,0),MATCH(Table1[[#This Row],[Complexidade]],Auxiliar!$D$4:$F$4,0))</f>
        <v>2</v>
      </c>
      <c r="P1230" s="43" t="s">
        <v>1341</v>
      </c>
      <c r="Q1230" s="152"/>
      <c r="R1230" s="152">
        <v>45261</v>
      </c>
      <c r="S1230" s="152"/>
      <c r="T1230" s="152"/>
      <c r="U1230" s="152"/>
      <c r="V1230" s="152"/>
      <c r="W1230" s="2">
        <f>VLOOKUP(Table1[[#This Row],[Status]],Auxiliar!$B$16:$D$24,3,0)*Table1[[#This Row],[Estimação (horas)]]</f>
        <v>2</v>
      </c>
      <c r="X1230" s="114"/>
    </row>
    <row r="1231" spans="2:24" ht="17.7" customHeight="1" x14ac:dyDescent="0.25">
      <c r="B1231" s="39" t="s">
        <v>26</v>
      </c>
      <c r="C1231" s="39" t="s">
        <v>26</v>
      </c>
      <c r="D1231" s="2" t="s">
        <v>38</v>
      </c>
      <c r="E1231" s="39" t="s">
        <v>38</v>
      </c>
      <c r="F1231" s="39" t="s">
        <v>393</v>
      </c>
      <c r="G1231" s="39" t="s">
        <v>391</v>
      </c>
      <c r="H1231" s="59" t="str">
        <f>Table1[[#This Row],[Tabela]]&amp;Table1[[#This Row],[Campo]]</f>
        <v>lt826_esg_sbsctrambito</v>
      </c>
      <c r="I1231" s="2" t="s">
        <v>614</v>
      </c>
      <c r="J1231" s="45">
        <f>VLOOKUP(Table1[[#This Row],[Status]],Auxiliar!$B$16:$C$24,2,0)</f>
        <v>1</v>
      </c>
      <c r="K1231" s="45" t="s">
        <v>1253</v>
      </c>
      <c r="L1231" s="46" t="s">
        <v>1258</v>
      </c>
      <c r="M1231" s="21" t="s">
        <v>1259</v>
      </c>
      <c r="N1231" s="48">
        <v>45581</v>
      </c>
      <c r="O1231" s="21">
        <f>INDEX(Auxiliar!$D$5:$F$13,MATCH(Table1[[#This Row],[Tipologia_Testes]],Auxiliar!$B$5:$B$13,0),MATCH(Table1[[#This Row],[Complexidade]],Auxiliar!$D$4:$F$4,0))</f>
        <v>2</v>
      </c>
      <c r="P1231" s="43" t="s">
        <v>1341</v>
      </c>
      <c r="Q1231" s="152"/>
      <c r="R1231" s="152">
        <v>45261</v>
      </c>
      <c r="S1231" s="152"/>
      <c r="T1231" s="152"/>
      <c r="U1231" s="152"/>
      <c r="V1231" s="152"/>
      <c r="W1231" s="2">
        <f>VLOOKUP(Table1[[#This Row],[Status]],Auxiliar!$B$16:$D$24,3,0)*Table1[[#This Row],[Estimação (horas)]]</f>
        <v>2</v>
      </c>
      <c r="X1231" s="114"/>
    </row>
    <row r="1232" spans="2:24" ht="17.7" customHeight="1" x14ac:dyDescent="0.25">
      <c r="B1232" s="39" t="s">
        <v>26</v>
      </c>
      <c r="C1232" s="39" t="s">
        <v>26</v>
      </c>
      <c r="D1232" s="2" t="s">
        <v>38</v>
      </c>
      <c r="E1232" s="39" t="s">
        <v>38</v>
      </c>
      <c r="F1232" s="39" t="s">
        <v>393</v>
      </c>
      <c r="G1232" s="39" t="s">
        <v>391</v>
      </c>
      <c r="H1232" s="59" t="str">
        <f>Table1[[#This Row],[Tabela]]&amp;Table1[[#This Row],[Campo]]</f>
        <v>lt826_esg_sbsctrambito</v>
      </c>
      <c r="I1232" s="2" t="s">
        <v>614</v>
      </c>
      <c r="J1232" s="45">
        <f>VLOOKUP(Table1[[#This Row],[Status]],Auxiliar!$B$16:$C$24,2,0)</f>
        <v>1</v>
      </c>
      <c r="K1232" s="45" t="s">
        <v>1255</v>
      </c>
      <c r="L1232" s="46" t="s">
        <v>1258</v>
      </c>
      <c r="M1232" s="21" t="s">
        <v>1259</v>
      </c>
      <c r="N1232" s="48">
        <v>45581</v>
      </c>
      <c r="O1232" s="21">
        <f>INDEX(Auxiliar!$D$5:$F$13,MATCH(Table1[[#This Row],[Tipologia_Testes]],Auxiliar!$B$5:$B$13,0),MATCH(Table1[[#This Row],[Complexidade]],Auxiliar!$D$4:$F$4,0))</f>
        <v>0.1</v>
      </c>
      <c r="P1232" s="43" t="s">
        <v>1341</v>
      </c>
      <c r="Q1232" s="152"/>
      <c r="R1232" s="152">
        <v>45261</v>
      </c>
      <c r="S1232" s="152"/>
      <c r="T1232" s="152"/>
      <c r="U1232" s="152"/>
      <c r="V1232" s="152"/>
      <c r="W1232" s="2">
        <f>VLOOKUP(Table1[[#This Row],[Status]],Auxiliar!$B$16:$D$24,3,0)*Table1[[#This Row],[Estimação (horas)]]</f>
        <v>0.1</v>
      </c>
      <c r="X1232" s="114"/>
    </row>
    <row r="1233" spans="2:24" ht="17.7" customHeight="1" x14ac:dyDescent="0.25">
      <c r="B1233" s="39" t="s">
        <v>26</v>
      </c>
      <c r="C1233" s="39" t="s">
        <v>26</v>
      </c>
      <c r="D1233" s="2" t="s">
        <v>38</v>
      </c>
      <c r="E1233" s="40" t="s">
        <v>38</v>
      </c>
      <c r="F1233" s="40" t="s">
        <v>393</v>
      </c>
      <c r="G1233" s="40" t="s">
        <v>208</v>
      </c>
      <c r="H1233" s="60" t="str">
        <f>Table1[[#This Row],[Tabela]]&amp;Table1[[#This Row],[Campo]]</f>
        <v>lt826_esg_sbsctrref_date</v>
      </c>
      <c r="I1233" s="2" t="s">
        <v>614</v>
      </c>
      <c r="J1233" s="45">
        <f>VLOOKUP(Table1[[#This Row],[Status]],Auxiliar!$B$16:$C$24,2,0)</f>
        <v>1</v>
      </c>
      <c r="K1233" s="45" t="s">
        <v>1252</v>
      </c>
      <c r="L1233" s="46" t="s">
        <v>1258</v>
      </c>
      <c r="M1233" s="21" t="s">
        <v>1259</v>
      </c>
      <c r="N1233" s="48">
        <v>45581</v>
      </c>
      <c r="O1233" s="21">
        <f>INDEX(Auxiliar!$D$5:$F$13,MATCH(Table1[[#This Row],[Tipologia_Testes]],Auxiliar!$B$5:$B$13,0),MATCH(Table1[[#This Row],[Complexidade]],Auxiliar!$D$4:$F$4,0))</f>
        <v>2</v>
      </c>
      <c r="P1233" s="43" t="s">
        <v>1341</v>
      </c>
      <c r="Q1233" s="152"/>
      <c r="R1233" s="152">
        <v>45261</v>
      </c>
      <c r="S1233" s="152"/>
      <c r="T1233" s="152"/>
      <c r="U1233" s="152"/>
      <c r="V1233" s="152"/>
      <c r="W1233" s="2">
        <f>VLOOKUP(Table1[[#This Row],[Status]],Auxiliar!$B$16:$D$24,3,0)*Table1[[#This Row],[Estimação (horas)]]</f>
        <v>2</v>
      </c>
      <c r="X1233" s="114"/>
    </row>
    <row r="1234" spans="2:24" ht="17.7" customHeight="1" x14ac:dyDescent="0.25">
      <c r="B1234" s="39" t="s">
        <v>26</v>
      </c>
      <c r="C1234" s="39" t="s">
        <v>26</v>
      </c>
      <c r="D1234" s="2" t="s">
        <v>38</v>
      </c>
      <c r="E1234" s="39" t="s">
        <v>38</v>
      </c>
      <c r="F1234" s="39" t="s">
        <v>393</v>
      </c>
      <c r="G1234" s="39" t="s">
        <v>208</v>
      </c>
      <c r="H1234" s="59" t="str">
        <f>Table1[[#This Row],[Tabela]]&amp;Table1[[#This Row],[Campo]]</f>
        <v>lt826_esg_sbsctrref_date</v>
      </c>
      <c r="I1234" s="2" t="s">
        <v>614</v>
      </c>
      <c r="J1234" s="45">
        <f>VLOOKUP(Table1[[#This Row],[Status]],Auxiliar!$B$16:$C$24,2,0)</f>
        <v>1</v>
      </c>
      <c r="K1234" s="45" t="s">
        <v>1253</v>
      </c>
      <c r="L1234" s="46" t="s">
        <v>1258</v>
      </c>
      <c r="M1234" s="21" t="s">
        <v>1259</v>
      </c>
      <c r="N1234" s="48">
        <v>45581</v>
      </c>
      <c r="O1234" s="21">
        <f>INDEX(Auxiliar!$D$5:$F$13,MATCH(Table1[[#This Row],[Tipologia_Testes]],Auxiliar!$B$5:$B$13,0),MATCH(Table1[[#This Row],[Complexidade]],Auxiliar!$D$4:$F$4,0))</f>
        <v>2</v>
      </c>
      <c r="P1234" s="43" t="s">
        <v>1341</v>
      </c>
      <c r="Q1234" s="152"/>
      <c r="R1234" s="152">
        <v>45261</v>
      </c>
      <c r="S1234" s="152"/>
      <c r="T1234" s="152"/>
      <c r="U1234" s="152"/>
      <c r="V1234" s="152"/>
      <c r="W1234" s="2">
        <f>VLOOKUP(Table1[[#This Row],[Status]],Auxiliar!$B$16:$D$24,3,0)*Table1[[#This Row],[Estimação (horas)]]</f>
        <v>2</v>
      </c>
      <c r="X1234" s="114"/>
    </row>
    <row r="1235" spans="2:24" ht="17.7" customHeight="1" x14ac:dyDescent="0.25">
      <c r="B1235" s="39" t="s">
        <v>26</v>
      </c>
      <c r="C1235" s="39" t="s">
        <v>26</v>
      </c>
      <c r="D1235" s="2" t="s">
        <v>38</v>
      </c>
      <c r="E1235" s="39" t="s">
        <v>38</v>
      </c>
      <c r="F1235" s="39" t="s">
        <v>393</v>
      </c>
      <c r="G1235" s="39" t="s">
        <v>208</v>
      </c>
      <c r="H1235" s="59" t="str">
        <f>Table1[[#This Row],[Tabela]]&amp;Table1[[#This Row],[Campo]]</f>
        <v>lt826_esg_sbsctrref_date</v>
      </c>
      <c r="I1235" s="2" t="s">
        <v>614</v>
      </c>
      <c r="J1235" s="45">
        <f>VLOOKUP(Table1[[#This Row],[Status]],Auxiliar!$B$16:$C$24,2,0)</f>
        <v>1</v>
      </c>
      <c r="K1235" s="45" t="s">
        <v>1255</v>
      </c>
      <c r="L1235" s="46" t="s">
        <v>1258</v>
      </c>
      <c r="M1235" s="21" t="s">
        <v>1259</v>
      </c>
      <c r="N1235" s="48">
        <v>45581</v>
      </c>
      <c r="O1235" s="21">
        <f>INDEX(Auxiliar!$D$5:$F$13,MATCH(Table1[[#This Row],[Tipologia_Testes]],Auxiliar!$B$5:$B$13,0),MATCH(Table1[[#This Row],[Complexidade]],Auxiliar!$D$4:$F$4,0))</f>
        <v>0.1</v>
      </c>
      <c r="P1235" s="43" t="s">
        <v>1341</v>
      </c>
      <c r="Q1235" s="152"/>
      <c r="R1235" s="152">
        <v>45261</v>
      </c>
      <c r="S1235" s="152"/>
      <c r="T1235" s="152"/>
      <c r="U1235" s="152"/>
      <c r="V1235" s="152"/>
      <c r="W1235" s="2">
        <f>VLOOKUP(Table1[[#This Row],[Status]],Auxiliar!$B$16:$D$24,3,0)*Table1[[#This Row],[Estimação (horas)]]</f>
        <v>0.1</v>
      </c>
      <c r="X1235" s="114"/>
    </row>
    <row r="1236" spans="2:24" ht="17.7" customHeight="1" x14ac:dyDescent="0.25">
      <c r="B1236" s="39" t="s">
        <v>26</v>
      </c>
      <c r="C1236" s="39" t="s">
        <v>26</v>
      </c>
      <c r="D1236" s="2" t="s">
        <v>38</v>
      </c>
      <c r="E1236" s="40" t="s">
        <v>38</v>
      </c>
      <c r="F1236" s="40" t="s">
        <v>393</v>
      </c>
      <c r="G1236" s="40" t="s">
        <v>211</v>
      </c>
      <c r="H1236" s="60" t="str">
        <f>Table1[[#This Row],[Tabela]]&amp;Table1[[#This Row],[Campo]]</f>
        <v>lt826_esg_sbsctrordem</v>
      </c>
      <c r="I1236" s="2" t="s">
        <v>614</v>
      </c>
      <c r="J1236" s="45">
        <f>VLOOKUP(Table1[[#This Row],[Status]],Auxiliar!$B$16:$C$24,2,0)</f>
        <v>1</v>
      </c>
      <c r="K1236" s="45" t="s">
        <v>1252</v>
      </c>
      <c r="L1236" s="46" t="s">
        <v>1258</v>
      </c>
      <c r="M1236" s="21" t="s">
        <v>1259</v>
      </c>
      <c r="N1236" s="48">
        <v>45581</v>
      </c>
      <c r="O1236" s="21">
        <f>INDEX(Auxiliar!$D$5:$F$13,MATCH(Table1[[#This Row],[Tipologia_Testes]],Auxiliar!$B$5:$B$13,0),MATCH(Table1[[#This Row],[Complexidade]],Auxiliar!$D$4:$F$4,0))</f>
        <v>2</v>
      </c>
      <c r="P1236" s="43" t="s">
        <v>1341</v>
      </c>
      <c r="Q1236" s="152"/>
      <c r="R1236" s="152">
        <v>45261</v>
      </c>
      <c r="S1236" s="152"/>
      <c r="T1236" s="152"/>
      <c r="U1236" s="152"/>
      <c r="V1236" s="152"/>
      <c r="W1236" s="2">
        <f>VLOOKUP(Table1[[#This Row],[Status]],Auxiliar!$B$16:$D$24,3,0)*Table1[[#This Row],[Estimação (horas)]]</f>
        <v>2</v>
      </c>
      <c r="X1236" s="114"/>
    </row>
    <row r="1237" spans="2:24" ht="17.7" customHeight="1" x14ac:dyDescent="0.25">
      <c r="B1237" s="39" t="s">
        <v>26</v>
      </c>
      <c r="C1237" s="39" t="s">
        <v>26</v>
      </c>
      <c r="D1237" s="2" t="s">
        <v>38</v>
      </c>
      <c r="E1237" s="39" t="s">
        <v>38</v>
      </c>
      <c r="F1237" s="39" t="s">
        <v>393</v>
      </c>
      <c r="G1237" s="39" t="s">
        <v>211</v>
      </c>
      <c r="H1237" s="59" t="str">
        <f>Table1[[#This Row],[Tabela]]&amp;Table1[[#This Row],[Campo]]</f>
        <v>lt826_esg_sbsctrordem</v>
      </c>
      <c r="I1237" s="2" t="s">
        <v>614</v>
      </c>
      <c r="J1237" s="45">
        <f>VLOOKUP(Table1[[#This Row],[Status]],Auxiliar!$B$16:$C$24,2,0)</f>
        <v>1</v>
      </c>
      <c r="K1237" s="45" t="s">
        <v>1253</v>
      </c>
      <c r="L1237" s="46" t="s">
        <v>1258</v>
      </c>
      <c r="M1237" s="21" t="s">
        <v>1259</v>
      </c>
      <c r="N1237" s="48">
        <v>45581</v>
      </c>
      <c r="O1237" s="21">
        <f>INDEX(Auxiliar!$D$5:$F$13,MATCH(Table1[[#This Row],[Tipologia_Testes]],Auxiliar!$B$5:$B$13,0),MATCH(Table1[[#This Row],[Complexidade]],Auxiliar!$D$4:$F$4,0))</f>
        <v>2</v>
      </c>
      <c r="P1237" s="43" t="s">
        <v>1341</v>
      </c>
      <c r="Q1237" s="152"/>
      <c r="R1237" s="152">
        <v>45261</v>
      </c>
      <c r="S1237" s="152"/>
      <c r="T1237" s="152"/>
      <c r="U1237" s="152"/>
      <c r="V1237" s="152"/>
      <c r="W1237" s="2">
        <f>VLOOKUP(Table1[[#This Row],[Status]],Auxiliar!$B$16:$D$24,3,0)*Table1[[#This Row],[Estimação (horas)]]</f>
        <v>2</v>
      </c>
      <c r="X1237" s="114"/>
    </row>
    <row r="1238" spans="2:24" ht="17.7" customHeight="1" x14ac:dyDescent="0.25">
      <c r="B1238" s="39" t="s">
        <v>26</v>
      </c>
      <c r="C1238" s="39" t="s">
        <v>26</v>
      </c>
      <c r="D1238" s="2" t="s">
        <v>38</v>
      </c>
      <c r="E1238" s="39" t="s">
        <v>38</v>
      </c>
      <c r="F1238" s="39" t="s">
        <v>393</v>
      </c>
      <c r="G1238" s="39" t="s">
        <v>211</v>
      </c>
      <c r="H1238" s="59" t="str">
        <f>Table1[[#This Row],[Tabela]]&amp;Table1[[#This Row],[Campo]]</f>
        <v>lt826_esg_sbsctrordem</v>
      </c>
      <c r="I1238" s="2" t="s">
        <v>614</v>
      </c>
      <c r="J1238" s="45">
        <f>VLOOKUP(Table1[[#This Row],[Status]],Auxiliar!$B$16:$C$24,2,0)</f>
        <v>1</v>
      </c>
      <c r="K1238" s="45" t="s">
        <v>1255</v>
      </c>
      <c r="L1238" s="46" t="s">
        <v>1258</v>
      </c>
      <c r="M1238" s="21" t="s">
        <v>1259</v>
      </c>
      <c r="N1238" s="48">
        <v>45581</v>
      </c>
      <c r="O1238" s="21">
        <f>INDEX(Auxiliar!$D$5:$F$13,MATCH(Table1[[#This Row],[Tipologia_Testes]],Auxiliar!$B$5:$B$13,0),MATCH(Table1[[#This Row],[Complexidade]],Auxiliar!$D$4:$F$4,0))</f>
        <v>0.1</v>
      </c>
      <c r="P1238" s="43" t="s">
        <v>1341</v>
      </c>
      <c r="Q1238" s="152"/>
      <c r="R1238" s="152">
        <v>45261</v>
      </c>
      <c r="S1238" s="152"/>
      <c r="T1238" s="152"/>
      <c r="U1238" s="152"/>
      <c r="V1238" s="152"/>
      <c r="W1238" s="2">
        <f>VLOOKUP(Table1[[#This Row],[Status]],Auxiliar!$B$16:$D$24,3,0)*Table1[[#This Row],[Estimação (horas)]]</f>
        <v>0.1</v>
      </c>
      <c r="X1238" s="114"/>
    </row>
    <row r="1239" spans="2:24" ht="17.7" customHeight="1" x14ac:dyDescent="0.25">
      <c r="B1239" s="39" t="s">
        <v>26</v>
      </c>
      <c r="C1239" s="39" t="s">
        <v>26</v>
      </c>
      <c r="D1239" s="2" t="s">
        <v>38</v>
      </c>
      <c r="E1239" s="40" t="s">
        <v>38</v>
      </c>
      <c r="F1239" s="40" t="s">
        <v>393</v>
      </c>
      <c r="G1239" s="38" t="s">
        <v>394</v>
      </c>
      <c r="H1239" s="60" t="str">
        <f>Table1[[#This Row],[Tabela]]&amp;Table1[[#This Row],[Campo]]</f>
        <v>lt826_esg_sbsctrnace_code</v>
      </c>
      <c r="I1239" s="2" t="s">
        <v>614</v>
      </c>
      <c r="J1239" s="45">
        <f>VLOOKUP(Table1[[#This Row],[Status]],Auxiliar!$B$16:$C$24,2,0)</f>
        <v>1</v>
      </c>
      <c r="K1239" s="45" t="s">
        <v>1252</v>
      </c>
      <c r="L1239" s="46" t="s">
        <v>1258</v>
      </c>
      <c r="M1239" s="21" t="s">
        <v>1259</v>
      </c>
      <c r="N1239" s="48">
        <v>45581</v>
      </c>
      <c r="O1239" s="21">
        <f>INDEX(Auxiliar!$D$5:$F$13,MATCH(Table1[[#This Row],[Tipologia_Testes]],Auxiliar!$B$5:$B$13,0),MATCH(Table1[[#This Row],[Complexidade]],Auxiliar!$D$4:$F$4,0))</f>
        <v>2</v>
      </c>
      <c r="P1239" s="43" t="s">
        <v>1341</v>
      </c>
      <c r="Q1239" s="152"/>
      <c r="R1239" s="152">
        <v>45261</v>
      </c>
      <c r="S1239" s="152"/>
      <c r="T1239" s="152"/>
      <c r="U1239" s="152"/>
      <c r="V1239" s="152"/>
      <c r="W1239" s="2">
        <f>VLOOKUP(Table1[[#This Row],[Status]],Auxiliar!$B$16:$D$24,3,0)*Table1[[#This Row],[Estimação (horas)]]</f>
        <v>2</v>
      </c>
      <c r="X1239" s="114"/>
    </row>
    <row r="1240" spans="2:24" ht="17.7" customHeight="1" x14ac:dyDescent="0.25">
      <c r="B1240" s="39" t="s">
        <v>26</v>
      </c>
      <c r="C1240" s="39" t="s">
        <v>26</v>
      </c>
      <c r="D1240" s="2" t="s">
        <v>38</v>
      </c>
      <c r="E1240" s="39" t="s">
        <v>38</v>
      </c>
      <c r="F1240" s="39" t="s">
        <v>393</v>
      </c>
      <c r="G1240" s="39" t="s">
        <v>394</v>
      </c>
      <c r="H1240" s="59" t="str">
        <f>Table1[[#This Row],[Tabela]]&amp;Table1[[#This Row],[Campo]]</f>
        <v>lt826_esg_sbsctrnace_code</v>
      </c>
      <c r="I1240" s="2" t="s">
        <v>614</v>
      </c>
      <c r="J1240" s="45">
        <f>VLOOKUP(Table1[[#This Row],[Status]],Auxiliar!$B$16:$C$24,2,0)</f>
        <v>1</v>
      </c>
      <c r="K1240" s="45" t="s">
        <v>1253</v>
      </c>
      <c r="L1240" s="46" t="s">
        <v>1258</v>
      </c>
      <c r="M1240" s="21" t="s">
        <v>1259</v>
      </c>
      <c r="N1240" s="48">
        <v>45581</v>
      </c>
      <c r="O1240" s="21">
        <f>INDEX(Auxiliar!$D$5:$F$13,MATCH(Table1[[#This Row],[Tipologia_Testes]],Auxiliar!$B$5:$B$13,0),MATCH(Table1[[#This Row],[Complexidade]],Auxiliar!$D$4:$F$4,0))</f>
        <v>2</v>
      </c>
      <c r="P1240" s="43" t="s">
        <v>1341</v>
      </c>
      <c r="Q1240" s="152"/>
      <c r="R1240" s="152">
        <v>45261</v>
      </c>
      <c r="S1240" s="152"/>
      <c r="T1240" s="152"/>
      <c r="U1240" s="152"/>
      <c r="V1240" s="152"/>
      <c r="W1240" s="2">
        <f>VLOOKUP(Table1[[#This Row],[Status]],Auxiliar!$B$16:$D$24,3,0)*Table1[[#This Row],[Estimação (horas)]]</f>
        <v>2</v>
      </c>
      <c r="X1240" s="114"/>
    </row>
    <row r="1241" spans="2:24" ht="17.7" customHeight="1" x14ac:dyDescent="0.25">
      <c r="B1241" s="39" t="s">
        <v>26</v>
      </c>
      <c r="C1241" s="39" t="s">
        <v>26</v>
      </c>
      <c r="D1241" s="2" t="s">
        <v>38</v>
      </c>
      <c r="E1241" s="39" t="s">
        <v>38</v>
      </c>
      <c r="F1241" s="39" t="s">
        <v>393</v>
      </c>
      <c r="G1241" s="39" t="s">
        <v>394</v>
      </c>
      <c r="H1241" s="59" t="str">
        <f>Table1[[#This Row],[Tabela]]&amp;Table1[[#This Row],[Campo]]</f>
        <v>lt826_esg_sbsctrnace_code</v>
      </c>
      <c r="I1241" s="2" t="s">
        <v>614</v>
      </c>
      <c r="J1241" s="45">
        <f>VLOOKUP(Table1[[#This Row],[Status]],Auxiliar!$B$16:$C$24,2,0)</f>
        <v>1</v>
      </c>
      <c r="K1241" s="45" t="s">
        <v>1255</v>
      </c>
      <c r="L1241" s="46" t="s">
        <v>1258</v>
      </c>
      <c r="M1241" s="21" t="s">
        <v>1259</v>
      </c>
      <c r="N1241" s="48">
        <v>45581</v>
      </c>
      <c r="O1241" s="21">
        <f>INDEX(Auxiliar!$D$5:$F$13,MATCH(Table1[[#This Row],[Tipologia_Testes]],Auxiliar!$B$5:$B$13,0),MATCH(Table1[[#This Row],[Complexidade]],Auxiliar!$D$4:$F$4,0))</f>
        <v>0.1</v>
      </c>
      <c r="P1241" s="43" t="s">
        <v>1341</v>
      </c>
      <c r="Q1241" s="152"/>
      <c r="R1241" s="152">
        <v>45261</v>
      </c>
      <c r="S1241" s="152"/>
      <c r="T1241" s="152"/>
      <c r="U1241" s="152"/>
      <c r="V1241" s="152"/>
      <c r="W1241" s="2">
        <f>VLOOKUP(Table1[[#This Row],[Status]],Auxiliar!$B$16:$D$24,3,0)*Table1[[#This Row],[Estimação (horas)]]</f>
        <v>0.1</v>
      </c>
      <c r="X1241" s="114"/>
    </row>
    <row r="1242" spans="2:24" ht="17.7" customHeight="1" x14ac:dyDescent="0.25">
      <c r="B1242" s="39" t="s">
        <v>26</v>
      </c>
      <c r="C1242" s="39" t="s">
        <v>26</v>
      </c>
      <c r="D1242" s="2" t="s">
        <v>38</v>
      </c>
      <c r="E1242" s="40" t="s">
        <v>38</v>
      </c>
      <c r="F1242" s="40" t="s">
        <v>393</v>
      </c>
      <c r="G1242" s="38" t="s">
        <v>395</v>
      </c>
      <c r="H1242" s="60" t="str">
        <f>Table1[[#This Row],[Tabela]]&amp;Table1[[#This Row],[Campo]]</f>
        <v>lt826_esg_sbsctrcontraparte</v>
      </c>
      <c r="I1242" s="2" t="s">
        <v>614</v>
      </c>
      <c r="J1242" s="45">
        <f>VLOOKUP(Table1[[#This Row],[Status]],Auxiliar!$B$16:$C$24,2,0)</f>
        <v>1</v>
      </c>
      <c r="K1242" s="45" t="s">
        <v>1252</v>
      </c>
      <c r="L1242" s="46" t="s">
        <v>1258</v>
      </c>
      <c r="M1242" s="21" t="s">
        <v>1259</v>
      </c>
      <c r="N1242" s="48">
        <v>45581</v>
      </c>
      <c r="O1242" s="21">
        <f>INDEX(Auxiliar!$D$5:$F$13,MATCH(Table1[[#This Row],[Tipologia_Testes]],Auxiliar!$B$5:$B$13,0),MATCH(Table1[[#This Row],[Complexidade]],Auxiliar!$D$4:$F$4,0))</f>
        <v>2</v>
      </c>
      <c r="P1242" s="43" t="s">
        <v>1341</v>
      </c>
      <c r="Q1242" s="152"/>
      <c r="R1242" s="152">
        <v>45261</v>
      </c>
      <c r="S1242" s="152"/>
      <c r="T1242" s="152"/>
      <c r="U1242" s="152"/>
      <c r="V1242" s="152"/>
      <c r="W1242" s="2">
        <f>VLOOKUP(Table1[[#This Row],[Status]],Auxiliar!$B$16:$D$24,3,0)*Table1[[#This Row],[Estimação (horas)]]</f>
        <v>2</v>
      </c>
      <c r="X1242" s="114"/>
    </row>
    <row r="1243" spans="2:24" ht="17.7" customHeight="1" x14ac:dyDescent="0.25">
      <c r="B1243" s="39" t="s">
        <v>26</v>
      </c>
      <c r="C1243" s="39" t="s">
        <v>26</v>
      </c>
      <c r="D1243" s="2" t="s">
        <v>38</v>
      </c>
      <c r="E1243" s="39" t="s">
        <v>38</v>
      </c>
      <c r="F1243" s="39" t="s">
        <v>393</v>
      </c>
      <c r="G1243" s="39" t="s">
        <v>395</v>
      </c>
      <c r="H1243" s="59" t="str">
        <f>Table1[[#This Row],[Tabela]]&amp;Table1[[#This Row],[Campo]]</f>
        <v>lt826_esg_sbsctrcontraparte</v>
      </c>
      <c r="I1243" s="2" t="s">
        <v>614</v>
      </c>
      <c r="J1243" s="45">
        <f>VLOOKUP(Table1[[#This Row],[Status]],Auxiliar!$B$16:$C$24,2,0)</f>
        <v>1</v>
      </c>
      <c r="K1243" s="45" t="s">
        <v>1253</v>
      </c>
      <c r="L1243" s="46" t="s">
        <v>1258</v>
      </c>
      <c r="M1243" s="21" t="s">
        <v>1259</v>
      </c>
      <c r="N1243" s="48">
        <v>45581</v>
      </c>
      <c r="O1243" s="21">
        <f>INDEX(Auxiliar!$D$5:$F$13,MATCH(Table1[[#This Row],[Tipologia_Testes]],Auxiliar!$B$5:$B$13,0),MATCH(Table1[[#This Row],[Complexidade]],Auxiliar!$D$4:$F$4,0))</f>
        <v>2</v>
      </c>
      <c r="P1243" s="43" t="s">
        <v>1341</v>
      </c>
      <c r="Q1243" s="152"/>
      <c r="R1243" s="152">
        <v>45261</v>
      </c>
      <c r="S1243" s="152"/>
      <c r="T1243" s="152"/>
      <c r="U1243" s="152"/>
      <c r="V1243" s="152"/>
      <c r="W1243" s="2">
        <f>VLOOKUP(Table1[[#This Row],[Status]],Auxiliar!$B$16:$D$24,3,0)*Table1[[#This Row],[Estimação (horas)]]</f>
        <v>2</v>
      </c>
      <c r="X1243" s="114"/>
    </row>
    <row r="1244" spans="2:24" ht="17.7" customHeight="1" x14ac:dyDescent="0.25">
      <c r="B1244" s="39" t="s">
        <v>26</v>
      </c>
      <c r="C1244" s="39" t="s">
        <v>26</v>
      </c>
      <c r="D1244" s="2" t="s">
        <v>38</v>
      </c>
      <c r="E1244" s="39" t="s">
        <v>38</v>
      </c>
      <c r="F1244" s="39" t="s">
        <v>393</v>
      </c>
      <c r="G1244" s="39" t="s">
        <v>395</v>
      </c>
      <c r="H1244" s="59" t="str">
        <f>Table1[[#This Row],[Tabela]]&amp;Table1[[#This Row],[Campo]]</f>
        <v>lt826_esg_sbsctrcontraparte</v>
      </c>
      <c r="I1244" s="2" t="s">
        <v>614</v>
      </c>
      <c r="J1244" s="45">
        <f>VLOOKUP(Table1[[#This Row],[Status]],Auxiliar!$B$16:$C$24,2,0)</f>
        <v>1</v>
      </c>
      <c r="K1244" s="45" t="s">
        <v>1255</v>
      </c>
      <c r="L1244" s="46" t="s">
        <v>1258</v>
      </c>
      <c r="M1244" s="21" t="s">
        <v>1259</v>
      </c>
      <c r="N1244" s="48">
        <v>45581</v>
      </c>
      <c r="O1244" s="21">
        <f>INDEX(Auxiliar!$D$5:$F$13,MATCH(Table1[[#This Row],[Tipologia_Testes]],Auxiliar!$B$5:$B$13,0),MATCH(Table1[[#This Row],[Complexidade]],Auxiliar!$D$4:$F$4,0))</f>
        <v>0.1</v>
      </c>
      <c r="P1244" s="43" t="s">
        <v>1341</v>
      </c>
      <c r="Q1244" s="152"/>
      <c r="R1244" s="152">
        <v>45261</v>
      </c>
      <c r="S1244" s="152"/>
      <c r="T1244" s="152"/>
      <c r="U1244" s="152"/>
      <c r="V1244" s="152"/>
      <c r="W1244" s="2">
        <f>VLOOKUP(Table1[[#This Row],[Status]],Auxiliar!$B$16:$D$24,3,0)*Table1[[#This Row],[Estimação (horas)]]</f>
        <v>0.1</v>
      </c>
      <c r="X1244" s="114"/>
    </row>
    <row r="1245" spans="2:24" ht="17.7" customHeight="1" x14ac:dyDescent="0.25">
      <c r="B1245" s="39" t="s">
        <v>26</v>
      </c>
      <c r="C1245" s="39" t="s">
        <v>26</v>
      </c>
      <c r="D1245" s="2" t="s">
        <v>38</v>
      </c>
      <c r="E1245" s="40" t="s">
        <v>38</v>
      </c>
      <c r="F1245" s="40" t="s">
        <v>393</v>
      </c>
      <c r="G1245" s="38" t="s">
        <v>396</v>
      </c>
      <c r="H1245" s="60" t="str">
        <f>Table1[[#This Row],[Tabela]]&amp;Table1[[#This Row],[Campo]]</f>
        <v>lt826_esg_sbsctrcnatureza_juri</v>
      </c>
      <c r="I1245" s="2" t="s">
        <v>614</v>
      </c>
      <c r="J1245" s="45">
        <f>VLOOKUP(Table1[[#This Row],[Status]],Auxiliar!$B$16:$C$24,2,0)</f>
        <v>1</v>
      </c>
      <c r="K1245" s="45" t="s">
        <v>1252</v>
      </c>
      <c r="L1245" s="46" t="s">
        <v>1258</v>
      </c>
      <c r="M1245" s="21" t="s">
        <v>1259</v>
      </c>
      <c r="N1245" s="48">
        <v>45581</v>
      </c>
      <c r="O1245" s="21">
        <f>INDEX(Auxiliar!$D$5:$F$13,MATCH(Table1[[#This Row],[Tipologia_Testes]],Auxiliar!$B$5:$B$13,0),MATCH(Table1[[#This Row],[Complexidade]],Auxiliar!$D$4:$F$4,0))</f>
        <v>2</v>
      </c>
      <c r="P1245" s="43" t="s">
        <v>1341</v>
      </c>
      <c r="Q1245" s="152"/>
      <c r="R1245" s="152">
        <v>45261</v>
      </c>
      <c r="S1245" s="152"/>
      <c r="T1245" s="152"/>
      <c r="U1245" s="152"/>
      <c r="V1245" s="152"/>
      <c r="W1245" s="2">
        <f>VLOOKUP(Table1[[#This Row],[Status]],Auxiliar!$B$16:$D$24,3,0)*Table1[[#This Row],[Estimação (horas)]]</f>
        <v>2</v>
      </c>
      <c r="X1245" s="114"/>
    </row>
    <row r="1246" spans="2:24" ht="17.7" customHeight="1" x14ac:dyDescent="0.25">
      <c r="B1246" s="39" t="s">
        <v>26</v>
      </c>
      <c r="C1246" s="39" t="s">
        <v>26</v>
      </c>
      <c r="D1246" s="2" t="s">
        <v>38</v>
      </c>
      <c r="E1246" s="39" t="s">
        <v>38</v>
      </c>
      <c r="F1246" s="39" t="s">
        <v>393</v>
      </c>
      <c r="G1246" s="39" t="s">
        <v>396</v>
      </c>
      <c r="H1246" s="59" t="str">
        <f>Table1[[#This Row],[Tabela]]&amp;Table1[[#This Row],[Campo]]</f>
        <v>lt826_esg_sbsctrcnatureza_juri</v>
      </c>
      <c r="I1246" s="2" t="s">
        <v>614</v>
      </c>
      <c r="J1246" s="45">
        <f>VLOOKUP(Table1[[#This Row],[Status]],Auxiliar!$B$16:$C$24,2,0)</f>
        <v>1</v>
      </c>
      <c r="K1246" s="45" t="s">
        <v>1253</v>
      </c>
      <c r="L1246" s="46" t="s">
        <v>1258</v>
      </c>
      <c r="M1246" s="21" t="s">
        <v>1259</v>
      </c>
      <c r="N1246" s="48">
        <v>45581</v>
      </c>
      <c r="O1246" s="21">
        <f>INDEX(Auxiliar!$D$5:$F$13,MATCH(Table1[[#This Row],[Tipologia_Testes]],Auxiliar!$B$5:$B$13,0),MATCH(Table1[[#This Row],[Complexidade]],Auxiliar!$D$4:$F$4,0))</f>
        <v>2</v>
      </c>
      <c r="P1246" s="43" t="s">
        <v>1341</v>
      </c>
      <c r="Q1246" s="152"/>
      <c r="R1246" s="152">
        <v>45261</v>
      </c>
      <c r="S1246" s="152"/>
      <c r="T1246" s="152"/>
      <c r="U1246" s="152"/>
      <c r="V1246" s="152"/>
      <c r="W1246" s="2">
        <f>VLOOKUP(Table1[[#This Row],[Status]],Auxiliar!$B$16:$D$24,3,0)*Table1[[#This Row],[Estimação (horas)]]</f>
        <v>2</v>
      </c>
      <c r="X1246" s="114"/>
    </row>
    <row r="1247" spans="2:24" ht="17.7" customHeight="1" x14ac:dyDescent="0.25">
      <c r="B1247" s="39" t="s">
        <v>26</v>
      </c>
      <c r="C1247" s="39" t="s">
        <v>26</v>
      </c>
      <c r="D1247" s="2" t="s">
        <v>38</v>
      </c>
      <c r="E1247" s="39" t="s">
        <v>38</v>
      </c>
      <c r="F1247" s="39" t="s">
        <v>393</v>
      </c>
      <c r="G1247" s="39" t="s">
        <v>396</v>
      </c>
      <c r="H1247" s="59" t="str">
        <f>Table1[[#This Row],[Tabela]]&amp;Table1[[#This Row],[Campo]]</f>
        <v>lt826_esg_sbsctrcnatureza_juri</v>
      </c>
      <c r="I1247" s="2" t="s">
        <v>614</v>
      </c>
      <c r="J1247" s="45">
        <f>VLOOKUP(Table1[[#This Row],[Status]],Auxiliar!$B$16:$C$24,2,0)</f>
        <v>1</v>
      </c>
      <c r="K1247" s="45" t="s">
        <v>1255</v>
      </c>
      <c r="L1247" s="46" t="s">
        <v>1258</v>
      </c>
      <c r="M1247" s="21" t="s">
        <v>1259</v>
      </c>
      <c r="N1247" s="48">
        <v>45581</v>
      </c>
      <c r="O1247" s="21">
        <f>INDEX(Auxiliar!$D$5:$F$13,MATCH(Table1[[#This Row],[Tipologia_Testes]],Auxiliar!$B$5:$B$13,0),MATCH(Table1[[#This Row],[Complexidade]],Auxiliar!$D$4:$F$4,0))</f>
        <v>0.1</v>
      </c>
      <c r="P1247" s="43" t="s">
        <v>1341</v>
      </c>
      <c r="Q1247" s="152"/>
      <c r="R1247" s="152">
        <v>45261</v>
      </c>
      <c r="S1247" s="152"/>
      <c r="T1247" s="152"/>
      <c r="U1247" s="152"/>
      <c r="V1247" s="152"/>
      <c r="W1247" s="2">
        <f>VLOOKUP(Table1[[#This Row],[Status]],Auxiliar!$B$16:$D$24,3,0)*Table1[[#This Row],[Estimação (horas)]]</f>
        <v>0.1</v>
      </c>
      <c r="X1247" s="114"/>
    </row>
    <row r="1248" spans="2:24" ht="17.7" customHeight="1" x14ac:dyDescent="0.25">
      <c r="B1248" s="39" t="s">
        <v>26</v>
      </c>
      <c r="C1248" s="39" t="s">
        <v>26</v>
      </c>
      <c r="D1248" s="2" t="s">
        <v>38</v>
      </c>
      <c r="E1248" s="40" t="s">
        <v>38</v>
      </c>
      <c r="F1248" s="40" t="s">
        <v>393</v>
      </c>
      <c r="G1248" s="38" t="s">
        <v>397</v>
      </c>
      <c r="H1248" s="60" t="str">
        <f>Table1[[#This Row],[Tabela]]&amp;Table1[[#This Row],[Campo]]</f>
        <v>lt826_esg_sbsctridcomb</v>
      </c>
      <c r="I1248" s="2" t="s">
        <v>614</v>
      </c>
      <c r="J1248" s="45">
        <f>VLOOKUP(Table1[[#This Row],[Status]],Auxiliar!$B$16:$C$24,2,0)</f>
        <v>1</v>
      </c>
      <c r="K1248" s="45" t="s">
        <v>1252</v>
      </c>
      <c r="L1248" s="46" t="s">
        <v>1258</v>
      </c>
      <c r="M1248" s="21" t="s">
        <v>1259</v>
      </c>
      <c r="N1248" s="48">
        <v>45581</v>
      </c>
      <c r="O1248" s="21">
        <f>INDEX(Auxiliar!$D$5:$F$13,MATCH(Table1[[#This Row],[Tipologia_Testes]],Auxiliar!$B$5:$B$13,0),MATCH(Table1[[#This Row],[Complexidade]],Auxiliar!$D$4:$F$4,0))</f>
        <v>2</v>
      </c>
      <c r="P1248" s="43" t="s">
        <v>1341</v>
      </c>
      <c r="Q1248" s="152"/>
      <c r="R1248" s="152">
        <v>45261</v>
      </c>
      <c r="S1248" s="152"/>
      <c r="T1248" s="152"/>
      <c r="U1248" s="152"/>
      <c r="V1248" s="152"/>
      <c r="W1248" s="2">
        <f>VLOOKUP(Table1[[#This Row],[Status]],Auxiliar!$B$16:$D$24,3,0)*Table1[[#This Row],[Estimação (horas)]]</f>
        <v>2</v>
      </c>
      <c r="X1248" s="114"/>
    </row>
    <row r="1249" spans="2:24" ht="17.7" customHeight="1" x14ac:dyDescent="0.25">
      <c r="B1249" s="39" t="s">
        <v>26</v>
      </c>
      <c r="C1249" s="39" t="s">
        <v>26</v>
      </c>
      <c r="D1249" s="2" t="s">
        <v>38</v>
      </c>
      <c r="E1249" s="39" t="s">
        <v>38</v>
      </c>
      <c r="F1249" s="39" t="s">
        <v>393</v>
      </c>
      <c r="G1249" s="39" t="s">
        <v>397</v>
      </c>
      <c r="H1249" s="59" t="str">
        <f>Table1[[#This Row],[Tabela]]&amp;Table1[[#This Row],[Campo]]</f>
        <v>lt826_esg_sbsctridcomb</v>
      </c>
      <c r="I1249" s="2" t="s">
        <v>614</v>
      </c>
      <c r="J1249" s="45">
        <f>VLOOKUP(Table1[[#This Row],[Status]],Auxiliar!$B$16:$C$24,2,0)</f>
        <v>1</v>
      </c>
      <c r="K1249" s="45" t="s">
        <v>1253</v>
      </c>
      <c r="L1249" s="46" t="s">
        <v>1258</v>
      </c>
      <c r="M1249" s="21" t="s">
        <v>1259</v>
      </c>
      <c r="N1249" s="48">
        <v>45581</v>
      </c>
      <c r="O1249" s="21">
        <f>INDEX(Auxiliar!$D$5:$F$13,MATCH(Table1[[#This Row],[Tipologia_Testes]],Auxiliar!$B$5:$B$13,0),MATCH(Table1[[#This Row],[Complexidade]],Auxiliar!$D$4:$F$4,0))</f>
        <v>2</v>
      </c>
      <c r="P1249" s="43" t="s">
        <v>1341</v>
      </c>
      <c r="Q1249" s="152"/>
      <c r="R1249" s="152">
        <v>45261</v>
      </c>
      <c r="S1249" s="152"/>
      <c r="T1249" s="152"/>
      <c r="U1249" s="152"/>
      <c r="V1249" s="152"/>
      <c r="W1249" s="2">
        <f>VLOOKUP(Table1[[#This Row],[Status]],Auxiliar!$B$16:$D$24,3,0)*Table1[[#This Row],[Estimação (horas)]]</f>
        <v>2</v>
      </c>
      <c r="X1249" s="114"/>
    </row>
    <row r="1250" spans="2:24" ht="17.7" customHeight="1" x14ac:dyDescent="0.25">
      <c r="B1250" s="39" t="s">
        <v>26</v>
      </c>
      <c r="C1250" s="39" t="s">
        <v>26</v>
      </c>
      <c r="D1250" s="2" t="s">
        <v>38</v>
      </c>
      <c r="E1250" s="39" t="s">
        <v>38</v>
      </c>
      <c r="F1250" s="39" t="s">
        <v>393</v>
      </c>
      <c r="G1250" s="39" t="s">
        <v>397</v>
      </c>
      <c r="H1250" s="59" t="str">
        <f>Table1[[#This Row],[Tabela]]&amp;Table1[[#This Row],[Campo]]</f>
        <v>lt826_esg_sbsctridcomb</v>
      </c>
      <c r="I1250" s="2" t="s">
        <v>614</v>
      </c>
      <c r="J1250" s="45">
        <f>VLOOKUP(Table1[[#This Row],[Status]],Auxiliar!$B$16:$C$24,2,0)</f>
        <v>1</v>
      </c>
      <c r="K1250" s="45" t="s">
        <v>1255</v>
      </c>
      <c r="L1250" s="46" t="s">
        <v>1258</v>
      </c>
      <c r="M1250" s="21" t="s">
        <v>1259</v>
      </c>
      <c r="N1250" s="48">
        <v>45581</v>
      </c>
      <c r="O1250" s="21">
        <f>INDEX(Auxiliar!$D$5:$F$13,MATCH(Table1[[#This Row],[Tipologia_Testes]],Auxiliar!$B$5:$B$13,0),MATCH(Table1[[#This Row],[Complexidade]],Auxiliar!$D$4:$F$4,0))</f>
        <v>0.1</v>
      </c>
      <c r="P1250" s="43" t="s">
        <v>1341</v>
      </c>
      <c r="Q1250" s="152"/>
      <c r="R1250" s="152">
        <v>45261</v>
      </c>
      <c r="S1250" s="152"/>
      <c r="T1250" s="152"/>
      <c r="U1250" s="152"/>
      <c r="V1250" s="152"/>
      <c r="W1250" s="2">
        <f>VLOOKUP(Table1[[#This Row],[Status]],Auxiliar!$B$16:$D$24,3,0)*Table1[[#This Row],[Estimação (horas)]]</f>
        <v>0.1</v>
      </c>
      <c r="X1250" s="114"/>
    </row>
    <row r="1251" spans="2:24" ht="17.7" customHeight="1" x14ac:dyDescent="0.25">
      <c r="B1251" s="39" t="s">
        <v>26</v>
      </c>
      <c r="C1251" s="39" t="s">
        <v>26</v>
      </c>
      <c r="D1251" s="2" t="s">
        <v>38</v>
      </c>
      <c r="E1251" s="40" t="s">
        <v>38</v>
      </c>
      <c r="F1251" s="40" t="s">
        <v>393</v>
      </c>
      <c r="G1251" s="38" t="s">
        <v>361</v>
      </c>
      <c r="H1251" s="60" t="str">
        <f>Table1[[#This Row],[Tabela]]&amp;Table1[[#This Row],[Campo]]</f>
        <v>lt826_esg_sbsctresg_sbsctr</v>
      </c>
      <c r="I1251" s="2" t="s">
        <v>614</v>
      </c>
      <c r="J1251" s="45">
        <f>VLOOKUP(Table1[[#This Row],[Status]],Auxiliar!$B$16:$C$24,2,0)</f>
        <v>1</v>
      </c>
      <c r="K1251" s="45" t="s">
        <v>1252</v>
      </c>
      <c r="L1251" s="46" t="s">
        <v>1258</v>
      </c>
      <c r="M1251" s="21" t="s">
        <v>1259</v>
      </c>
      <c r="N1251" s="48">
        <v>45581</v>
      </c>
      <c r="O1251" s="21">
        <f>INDEX(Auxiliar!$D$5:$F$13,MATCH(Table1[[#This Row],[Tipologia_Testes]],Auxiliar!$B$5:$B$13,0),MATCH(Table1[[#This Row],[Complexidade]],Auxiliar!$D$4:$F$4,0))</f>
        <v>2</v>
      </c>
      <c r="P1251" s="43" t="s">
        <v>1341</v>
      </c>
      <c r="Q1251" s="152"/>
      <c r="R1251" s="152">
        <v>45261</v>
      </c>
      <c r="S1251" s="152"/>
      <c r="T1251" s="152"/>
      <c r="U1251" s="152"/>
      <c r="V1251" s="152"/>
      <c r="W1251" s="2">
        <f>VLOOKUP(Table1[[#This Row],[Status]],Auxiliar!$B$16:$D$24,3,0)*Table1[[#This Row],[Estimação (horas)]]</f>
        <v>2</v>
      </c>
      <c r="X1251" s="114"/>
    </row>
    <row r="1252" spans="2:24" ht="17.7" customHeight="1" x14ac:dyDescent="0.25">
      <c r="B1252" s="39" t="s">
        <v>26</v>
      </c>
      <c r="C1252" s="39" t="s">
        <v>26</v>
      </c>
      <c r="D1252" s="2" t="s">
        <v>38</v>
      </c>
      <c r="E1252" s="39" t="s">
        <v>38</v>
      </c>
      <c r="F1252" s="39" t="s">
        <v>393</v>
      </c>
      <c r="G1252" s="39" t="s">
        <v>361</v>
      </c>
      <c r="H1252" s="59" t="str">
        <f>Table1[[#This Row],[Tabela]]&amp;Table1[[#This Row],[Campo]]</f>
        <v>lt826_esg_sbsctresg_sbsctr</v>
      </c>
      <c r="I1252" s="2" t="s">
        <v>614</v>
      </c>
      <c r="J1252" s="45">
        <f>VLOOKUP(Table1[[#This Row],[Status]],Auxiliar!$B$16:$C$24,2,0)</f>
        <v>1</v>
      </c>
      <c r="K1252" s="45" t="s">
        <v>1253</v>
      </c>
      <c r="L1252" s="46" t="s">
        <v>1258</v>
      </c>
      <c r="M1252" s="21" t="s">
        <v>1259</v>
      </c>
      <c r="N1252" s="48">
        <v>45581</v>
      </c>
      <c r="O1252" s="21">
        <f>INDEX(Auxiliar!$D$5:$F$13,MATCH(Table1[[#This Row],[Tipologia_Testes]],Auxiliar!$B$5:$B$13,0),MATCH(Table1[[#This Row],[Complexidade]],Auxiliar!$D$4:$F$4,0))</f>
        <v>2</v>
      </c>
      <c r="P1252" s="43" t="s">
        <v>1341</v>
      </c>
      <c r="Q1252" s="152"/>
      <c r="R1252" s="152">
        <v>45261</v>
      </c>
      <c r="S1252" s="152"/>
      <c r="T1252" s="152"/>
      <c r="U1252" s="152"/>
      <c r="V1252" s="152"/>
      <c r="W1252" s="2">
        <f>VLOOKUP(Table1[[#This Row],[Status]],Auxiliar!$B$16:$D$24,3,0)*Table1[[#This Row],[Estimação (horas)]]</f>
        <v>2</v>
      </c>
      <c r="X1252" s="114"/>
    </row>
    <row r="1253" spans="2:24" ht="17.7" customHeight="1" x14ac:dyDescent="0.25">
      <c r="B1253" s="39" t="s">
        <v>26</v>
      </c>
      <c r="C1253" s="39" t="s">
        <v>26</v>
      </c>
      <c r="D1253" s="2" t="s">
        <v>38</v>
      </c>
      <c r="E1253" s="39" t="s">
        <v>38</v>
      </c>
      <c r="F1253" s="39" t="s">
        <v>393</v>
      </c>
      <c r="G1253" s="39" t="s">
        <v>361</v>
      </c>
      <c r="H1253" s="59" t="str">
        <f>Table1[[#This Row],[Tabela]]&amp;Table1[[#This Row],[Campo]]</f>
        <v>lt826_esg_sbsctresg_sbsctr</v>
      </c>
      <c r="I1253" s="2" t="s">
        <v>614</v>
      </c>
      <c r="J1253" s="45">
        <f>VLOOKUP(Table1[[#This Row],[Status]],Auxiliar!$B$16:$C$24,2,0)</f>
        <v>1</v>
      </c>
      <c r="K1253" s="45" t="s">
        <v>1255</v>
      </c>
      <c r="L1253" s="46" t="s">
        <v>1258</v>
      </c>
      <c r="M1253" s="21" t="s">
        <v>1259</v>
      </c>
      <c r="N1253" s="48">
        <v>45581</v>
      </c>
      <c r="O1253" s="21">
        <f>INDEX(Auxiliar!$D$5:$F$13,MATCH(Table1[[#This Row],[Tipologia_Testes]],Auxiliar!$B$5:$B$13,0),MATCH(Table1[[#This Row],[Complexidade]],Auxiliar!$D$4:$F$4,0))</f>
        <v>0.1</v>
      </c>
      <c r="P1253" s="43" t="s">
        <v>1341</v>
      </c>
      <c r="Q1253" s="152"/>
      <c r="R1253" s="152">
        <v>45261</v>
      </c>
      <c r="S1253" s="152"/>
      <c r="T1253" s="152"/>
      <c r="U1253" s="152"/>
      <c r="V1253" s="152"/>
      <c r="W1253" s="2">
        <f>VLOOKUP(Table1[[#This Row],[Status]],Auxiliar!$B$16:$D$24,3,0)*Table1[[#This Row],[Estimação (horas)]]</f>
        <v>0.1</v>
      </c>
      <c r="X1253" s="114"/>
    </row>
    <row r="1254" spans="2:24" ht="17.7" customHeight="1" x14ac:dyDescent="0.25">
      <c r="B1254" s="39" t="s">
        <v>26</v>
      </c>
      <c r="C1254" s="39" t="s">
        <v>26</v>
      </c>
      <c r="D1254" s="2" t="s">
        <v>38</v>
      </c>
      <c r="E1254" s="40" t="s">
        <v>38</v>
      </c>
      <c r="F1254" s="40" t="s">
        <v>393</v>
      </c>
      <c r="G1254" s="38" t="s">
        <v>398</v>
      </c>
      <c r="H1254" s="60" t="str">
        <f>Table1[[#This Row],[Tabela]]&amp;Table1[[#This Row],[Campo]]</f>
        <v>lt826_esg_sbsctrdescrição</v>
      </c>
      <c r="I1254" s="2" t="s">
        <v>614</v>
      </c>
      <c r="J1254" s="45">
        <f>VLOOKUP(Table1[[#This Row],[Status]],Auxiliar!$B$16:$C$24,2,0)</f>
        <v>1</v>
      </c>
      <c r="K1254" s="45" t="s">
        <v>1252</v>
      </c>
      <c r="L1254" s="46" t="s">
        <v>1258</v>
      </c>
      <c r="M1254" s="21" t="s">
        <v>1259</v>
      </c>
      <c r="N1254" s="48">
        <v>45581</v>
      </c>
      <c r="O1254" s="21">
        <f>INDEX(Auxiliar!$D$5:$F$13,MATCH(Table1[[#This Row],[Tipologia_Testes]],Auxiliar!$B$5:$B$13,0),MATCH(Table1[[#This Row],[Complexidade]],Auxiliar!$D$4:$F$4,0))</f>
        <v>2</v>
      </c>
      <c r="P1254" s="43" t="s">
        <v>1341</v>
      </c>
      <c r="Q1254" s="152"/>
      <c r="R1254" s="152">
        <v>45261</v>
      </c>
      <c r="S1254" s="152"/>
      <c r="T1254" s="152"/>
      <c r="U1254" s="152"/>
      <c r="V1254" s="152"/>
      <c r="W1254" s="2">
        <f>VLOOKUP(Table1[[#This Row],[Status]],Auxiliar!$B$16:$D$24,3,0)*Table1[[#This Row],[Estimação (horas)]]</f>
        <v>2</v>
      </c>
      <c r="X1254" s="114"/>
    </row>
    <row r="1255" spans="2:24" ht="17.7" customHeight="1" x14ac:dyDescent="0.25">
      <c r="B1255" s="39" t="s">
        <v>26</v>
      </c>
      <c r="C1255" s="39" t="s">
        <v>26</v>
      </c>
      <c r="D1255" s="2" t="s">
        <v>38</v>
      </c>
      <c r="E1255" s="112" t="s">
        <v>38</v>
      </c>
      <c r="F1255" s="39" t="s">
        <v>393</v>
      </c>
      <c r="G1255" s="39" t="s">
        <v>398</v>
      </c>
      <c r="H1255" s="59" t="str">
        <f>Table1[[#This Row],[Tabela]]&amp;Table1[[#This Row],[Campo]]</f>
        <v>lt826_esg_sbsctrdescrição</v>
      </c>
      <c r="I1255" s="2" t="s">
        <v>614</v>
      </c>
      <c r="J1255" s="45">
        <f>VLOOKUP(Table1[[#This Row],[Status]],Auxiliar!$B$16:$C$24,2,0)</f>
        <v>1</v>
      </c>
      <c r="K1255" s="45" t="s">
        <v>1253</v>
      </c>
      <c r="L1255" s="46" t="s">
        <v>1258</v>
      </c>
      <c r="M1255" s="21" t="s">
        <v>1259</v>
      </c>
      <c r="N1255" s="48">
        <v>45581</v>
      </c>
      <c r="O1255" s="21">
        <f>INDEX(Auxiliar!$D$5:$F$13,MATCH(Table1[[#This Row],[Tipologia_Testes]],Auxiliar!$B$5:$B$13,0),MATCH(Table1[[#This Row],[Complexidade]],Auxiliar!$D$4:$F$4,0))</f>
        <v>2</v>
      </c>
      <c r="P1255" s="43" t="s">
        <v>1341</v>
      </c>
      <c r="Q1255" s="152"/>
      <c r="R1255" s="152">
        <v>45261</v>
      </c>
      <c r="S1255" s="152"/>
      <c r="T1255" s="152"/>
      <c r="U1255" s="152"/>
      <c r="V1255" s="152"/>
      <c r="W1255" s="2">
        <f>VLOOKUP(Table1[[#This Row],[Status]],Auxiliar!$B$16:$D$24,3,0)*Table1[[#This Row],[Estimação (horas)]]</f>
        <v>2</v>
      </c>
      <c r="X1255" s="114"/>
    </row>
    <row r="1256" spans="2:24" ht="17.7" customHeight="1" x14ac:dyDescent="0.25">
      <c r="B1256" s="39" t="s">
        <v>26</v>
      </c>
      <c r="C1256" s="39" t="s">
        <v>26</v>
      </c>
      <c r="D1256" s="2" t="s">
        <v>38</v>
      </c>
      <c r="E1256" s="112" t="s">
        <v>38</v>
      </c>
      <c r="F1256" s="39" t="s">
        <v>393</v>
      </c>
      <c r="G1256" s="39" t="s">
        <v>398</v>
      </c>
      <c r="H1256" s="59" t="str">
        <f>Table1[[#This Row],[Tabela]]&amp;Table1[[#This Row],[Campo]]</f>
        <v>lt826_esg_sbsctrdescrição</v>
      </c>
      <c r="I1256" s="2" t="s">
        <v>614</v>
      </c>
      <c r="J1256" s="45">
        <f>VLOOKUP(Table1[[#This Row],[Status]],Auxiliar!$B$16:$C$24,2,0)</f>
        <v>1</v>
      </c>
      <c r="K1256" s="45" t="s">
        <v>1255</v>
      </c>
      <c r="L1256" s="46" t="s">
        <v>1258</v>
      </c>
      <c r="M1256" s="21" t="s">
        <v>1259</v>
      </c>
      <c r="N1256" s="48">
        <v>45581</v>
      </c>
      <c r="O1256" s="21">
        <f>INDEX(Auxiliar!$D$5:$F$13,MATCH(Table1[[#This Row],[Tipologia_Testes]],Auxiliar!$B$5:$B$13,0),MATCH(Table1[[#This Row],[Complexidade]],Auxiliar!$D$4:$F$4,0))</f>
        <v>0.1</v>
      </c>
      <c r="P1256" s="43" t="s">
        <v>1341</v>
      </c>
      <c r="Q1256" s="152"/>
      <c r="R1256" s="152">
        <v>45261</v>
      </c>
      <c r="S1256" s="152"/>
      <c r="T1256" s="152"/>
      <c r="U1256" s="152"/>
      <c r="V1256" s="152"/>
      <c r="W1256" s="2">
        <f>VLOOKUP(Table1[[#This Row],[Status]],Auxiliar!$B$16:$D$24,3,0)*Table1[[#This Row],[Estimação (horas)]]</f>
        <v>0.1</v>
      </c>
      <c r="X1256" s="114"/>
    </row>
    <row r="1257" spans="2:24" ht="17.7" customHeight="1" x14ac:dyDescent="0.25">
      <c r="B1257" s="39" t="s">
        <v>26</v>
      </c>
      <c r="C1257" s="39" t="s">
        <v>26</v>
      </c>
      <c r="D1257" s="13" t="s">
        <v>400</v>
      </c>
      <c r="E1257" s="112" t="s">
        <v>38</v>
      </c>
      <c r="F1257" s="2" t="s">
        <v>380</v>
      </c>
      <c r="G1257" s="13" t="s">
        <v>399</v>
      </c>
      <c r="H1257" s="59" t="str">
        <f>Table1[[#This Row],[Tabela]]&amp;Table1[[#This Row],[Campo]]</f>
        <v>lt002_instrumentdt_rfrnc</v>
      </c>
      <c r="I1257" s="2" t="s">
        <v>614</v>
      </c>
      <c r="J1257" s="45">
        <f>VLOOKUP(Table1[[#This Row],[Status]],Auxiliar!$B$16:$C$24,2,0)</f>
        <v>1</v>
      </c>
      <c r="K1257" s="21" t="s">
        <v>1257</v>
      </c>
      <c r="L1257" s="46" t="s">
        <v>1258</v>
      </c>
      <c r="M1257" s="21" t="s">
        <v>1259</v>
      </c>
      <c r="N1257" s="48">
        <v>45506</v>
      </c>
      <c r="O1257" s="113">
        <v>0.1</v>
      </c>
      <c r="P1257" s="2"/>
      <c r="Q1257" s="152"/>
      <c r="R1257" s="152"/>
      <c r="S1257" s="152"/>
      <c r="T1257" s="152"/>
      <c r="U1257" s="152"/>
      <c r="V1257" s="152"/>
      <c r="W1257" s="2">
        <f>VLOOKUP(Table1[[#This Row],[Status]],Auxiliar!$B$16:$D$24,3,0)*Table1[[#This Row],[Estimação (horas)]]</f>
        <v>0.1</v>
      </c>
      <c r="X1257" s="206"/>
    </row>
    <row r="1258" spans="2:24" ht="17.7" customHeight="1" x14ac:dyDescent="0.25">
      <c r="B1258" s="39" t="s">
        <v>26</v>
      </c>
      <c r="C1258" s="39" t="s">
        <v>26</v>
      </c>
      <c r="D1258" s="13" t="s">
        <v>400</v>
      </c>
      <c r="E1258" s="112" t="s">
        <v>38</v>
      </c>
      <c r="F1258" s="2" t="s">
        <v>380</v>
      </c>
      <c r="G1258" s="13" t="s">
        <v>401</v>
      </c>
      <c r="H1258" s="59" t="str">
        <f>Table1[[#This Row],[Tabela]]&amp;Table1[[#This Row],[Campo]]</f>
        <v>lt002_instrumentinstrmnt_id</v>
      </c>
      <c r="I1258" s="2" t="s">
        <v>614</v>
      </c>
      <c r="J1258" s="45">
        <f>VLOOKUP(Table1[[#This Row],[Status]],Auxiliar!$B$16:$C$24,2,0)</f>
        <v>1</v>
      </c>
      <c r="K1258" s="21" t="s">
        <v>1257</v>
      </c>
      <c r="L1258" s="46" t="s">
        <v>1258</v>
      </c>
      <c r="M1258" s="21" t="s">
        <v>1259</v>
      </c>
      <c r="N1258" s="48">
        <v>45506</v>
      </c>
      <c r="O1258" s="113">
        <v>0.1</v>
      </c>
      <c r="P1258" s="2"/>
      <c r="Q1258" s="152"/>
      <c r="R1258" s="152"/>
      <c r="S1258" s="152"/>
      <c r="T1258" s="152"/>
      <c r="U1258" s="152"/>
      <c r="V1258" s="152"/>
      <c r="W1258" s="2">
        <f>VLOOKUP(Table1[[#This Row],[Status]],Auxiliar!$B$16:$D$24,3,0)*Table1[[#This Row],[Estimação (horas)]]</f>
        <v>0.1</v>
      </c>
      <c r="X1258" s="206"/>
    </row>
    <row r="1259" spans="2:24" ht="17.7" customHeight="1" x14ac:dyDescent="0.25">
      <c r="B1259" s="39" t="s">
        <v>26</v>
      </c>
      <c r="C1259" s="39" t="s">
        <v>26</v>
      </c>
      <c r="D1259" s="13" t="s">
        <v>400</v>
      </c>
      <c r="E1259" s="112" t="s">
        <v>38</v>
      </c>
      <c r="F1259" s="2" t="s">
        <v>380</v>
      </c>
      <c r="G1259" s="13" t="s">
        <v>402</v>
      </c>
      <c r="H1259" s="59" t="str">
        <f>Table1[[#This Row],[Tabela]]&amp;Table1[[#This Row],[Campo]]</f>
        <v>lt002_instrumentdt_incptn</v>
      </c>
      <c r="I1259" s="2" t="s">
        <v>614</v>
      </c>
      <c r="J1259" s="45">
        <f>VLOOKUP(Table1[[#This Row],[Status]],Auxiliar!$B$16:$C$24,2,0)</f>
        <v>1</v>
      </c>
      <c r="K1259" s="21" t="s">
        <v>1257</v>
      </c>
      <c r="L1259" s="46" t="s">
        <v>1258</v>
      </c>
      <c r="M1259" s="21" t="s">
        <v>1259</v>
      </c>
      <c r="N1259" s="48">
        <v>45506</v>
      </c>
      <c r="O1259" s="113">
        <v>0.1</v>
      </c>
      <c r="P1259" s="2"/>
      <c r="Q1259" s="152"/>
      <c r="R1259" s="152"/>
      <c r="S1259" s="152"/>
      <c r="T1259" s="152"/>
      <c r="U1259" s="152"/>
      <c r="V1259" s="152"/>
      <c r="W1259" s="2">
        <f>VLOOKUP(Table1[[#This Row],[Status]],Auxiliar!$B$16:$D$24,3,0)*Table1[[#This Row],[Estimação (horas)]]</f>
        <v>0.1</v>
      </c>
      <c r="X1259" s="206"/>
    </row>
    <row r="1260" spans="2:24" ht="17.7" customHeight="1" x14ac:dyDescent="0.25">
      <c r="B1260" s="39" t="s">
        <v>26</v>
      </c>
      <c r="C1260" s="39" t="s">
        <v>26</v>
      </c>
      <c r="D1260" s="13" t="s">
        <v>400</v>
      </c>
      <c r="E1260" s="112" t="s">
        <v>38</v>
      </c>
      <c r="F1260" s="2" t="s">
        <v>380</v>
      </c>
      <c r="G1260" s="13" t="s">
        <v>403</v>
      </c>
      <c r="H1260" s="59" t="str">
        <f>Table1[[#This Row],[Tabela]]&amp;Table1[[#This Row],[Campo]]</f>
        <v>lt002_instrumentdflt_stts_instrmnt</v>
      </c>
      <c r="I1260" s="2" t="s">
        <v>614</v>
      </c>
      <c r="J1260" s="45">
        <f>VLOOKUP(Table1[[#This Row],[Status]],Auxiliar!$B$16:$C$24,2,0)</f>
        <v>1</v>
      </c>
      <c r="K1260" s="21" t="s">
        <v>1257</v>
      </c>
      <c r="L1260" s="46" t="s">
        <v>1258</v>
      </c>
      <c r="M1260" s="21" t="s">
        <v>1259</v>
      </c>
      <c r="N1260" s="48">
        <v>45509</v>
      </c>
      <c r="O1260" s="113">
        <v>0.1</v>
      </c>
      <c r="P1260" s="2"/>
      <c r="Q1260" s="152"/>
      <c r="R1260" s="152"/>
      <c r="S1260" s="152"/>
      <c r="T1260" s="152"/>
      <c r="U1260" s="152"/>
      <c r="V1260" s="152"/>
      <c r="W1260" s="2">
        <f>VLOOKUP(Table1[[#This Row],[Status]],Auxiliar!$B$16:$D$24,3,0)*Table1[[#This Row],[Estimação (horas)]]</f>
        <v>0.1</v>
      </c>
      <c r="X1260" s="206"/>
    </row>
    <row r="1261" spans="2:24" ht="17.7" customHeight="1" x14ac:dyDescent="0.25">
      <c r="B1261" s="39" t="s">
        <v>26</v>
      </c>
      <c r="C1261" s="39" t="s">
        <v>26</v>
      </c>
      <c r="D1261" s="13" t="s">
        <v>400</v>
      </c>
      <c r="E1261" s="112" t="s">
        <v>38</v>
      </c>
      <c r="F1261" s="2" t="s">
        <v>380</v>
      </c>
      <c r="G1261" s="13" t="s">
        <v>404</v>
      </c>
      <c r="H1261" s="59" t="str">
        <f>Table1[[#This Row],[Tabela]]&amp;Table1[[#This Row],[Campo]]</f>
        <v>lt002_instrumentimprmnt_stts</v>
      </c>
      <c r="I1261" s="2" t="s">
        <v>614</v>
      </c>
      <c r="J1261" s="45">
        <f>VLOOKUP(Table1[[#This Row],[Status]],Auxiliar!$B$16:$C$24,2,0)</f>
        <v>1</v>
      </c>
      <c r="K1261" s="21" t="s">
        <v>1257</v>
      </c>
      <c r="L1261" s="46" t="s">
        <v>1258</v>
      </c>
      <c r="M1261" s="21" t="s">
        <v>1259</v>
      </c>
      <c r="N1261" s="48">
        <v>45506</v>
      </c>
      <c r="O1261" s="113">
        <v>0.1</v>
      </c>
      <c r="P1261" s="2"/>
      <c r="Q1261" s="152"/>
      <c r="R1261" s="152"/>
      <c r="S1261" s="152"/>
      <c r="T1261" s="152"/>
      <c r="U1261" s="152"/>
      <c r="V1261" s="152"/>
      <c r="W1261" s="2">
        <f>VLOOKUP(Table1[[#This Row],[Status]],Auxiliar!$B$16:$D$24,3,0)*Table1[[#This Row],[Estimação (horas)]]</f>
        <v>0.1</v>
      </c>
      <c r="X1261" s="206"/>
    </row>
    <row r="1262" spans="2:24" ht="17.7" customHeight="1" x14ac:dyDescent="0.25">
      <c r="B1262" s="39" t="s">
        <v>26</v>
      </c>
      <c r="C1262" s="39" t="s">
        <v>26</v>
      </c>
      <c r="D1262" s="13" t="s">
        <v>400</v>
      </c>
      <c r="E1262" s="112" t="s">
        <v>38</v>
      </c>
      <c r="F1262" s="2" t="s">
        <v>380</v>
      </c>
      <c r="G1262" s="13" t="s">
        <v>405</v>
      </c>
      <c r="H1262" s="59" t="str">
        <f>Table1[[#This Row],[Tabela]]&amp;Table1[[#This Row],[Campo]]</f>
        <v>lt002_instrumentprfrmng_stts</v>
      </c>
      <c r="I1262" s="2" t="s">
        <v>614</v>
      </c>
      <c r="J1262" s="45">
        <f>VLOOKUP(Table1[[#This Row],[Status]],Auxiliar!$B$16:$C$24,2,0)</f>
        <v>1</v>
      </c>
      <c r="K1262" s="21" t="s">
        <v>1257</v>
      </c>
      <c r="L1262" s="46" t="s">
        <v>1258</v>
      </c>
      <c r="M1262" s="21" t="s">
        <v>1259</v>
      </c>
      <c r="N1262" s="48">
        <v>45506</v>
      </c>
      <c r="O1262" s="113">
        <v>0.1</v>
      </c>
      <c r="P1262" s="2"/>
      <c r="Q1262" s="152"/>
      <c r="R1262" s="152"/>
      <c r="S1262" s="152"/>
      <c r="T1262" s="152"/>
      <c r="U1262" s="152"/>
      <c r="V1262" s="152"/>
      <c r="W1262" s="2">
        <f>VLOOKUP(Table1[[#This Row],[Status]],Auxiliar!$B$16:$D$24,3,0)*Table1[[#This Row],[Estimação (horas)]]</f>
        <v>0.1</v>
      </c>
      <c r="X1262" s="206"/>
    </row>
    <row r="1263" spans="2:24" ht="17.7" customHeight="1" x14ac:dyDescent="0.25">
      <c r="B1263" s="39" t="s">
        <v>26</v>
      </c>
      <c r="C1263" s="39" t="s">
        <v>26</v>
      </c>
      <c r="D1263" s="13" t="s">
        <v>400</v>
      </c>
      <c r="E1263" s="112" t="s">
        <v>38</v>
      </c>
      <c r="F1263" s="2" t="s">
        <v>380</v>
      </c>
      <c r="G1263" s="13" t="s">
        <v>406</v>
      </c>
      <c r="H1263" s="59" t="str">
        <f>Table1[[#This Row],[Tabela]]&amp;Table1[[#This Row],[Campo]]</f>
        <v>lt002_instrumentprjct_fnnc_ln</v>
      </c>
      <c r="I1263" s="2" t="s">
        <v>614</v>
      </c>
      <c r="J1263" s="45">
        <f>VLOOKUP(Table1[[#This Row],[Status]],Auxiliar!$B$16:$C$24,2,0)</f>
        <v>1</v>
      </c>
      <c r="K1263" s="21" t="s">
        <v>1257</v>
      </c>
      <c r="L1263" s="46" t="s">
        <v>1258</v>
      </c>
      <c r="M1263" s="21" t="s">
        <v>1259</v>
      </c>
      <c r="N1263" s="48">
        <v>45509</v>
      </c>
      <c r="O1263" s="113">
        <v>0.1</v>
      </c>
      <c r="P1263" s="2"/>
      <c r="Q1263" s="152"/>
      <c r="R1263" s="152"/>
      <c r="S1263" s="152"/>
      <c r="T1263" s="152"/>
      <c r="U1263" s="152"/>
      <c r="V1263" s="152"/>
      <c r="W1263" s="2">
        <f>VLOOKUP(Table1[[#This Row],[Status]],Auxiliar!$B$16:$D$24,3,0)*Table1[[#This Row],[Estimação (horas)]]</f>
        <v>0.1</v>
      </c>
      <c r="X1263" s="206"/>
    </row>
    <row r="1264" spans="2:24" ht="17.7" customHeight="1" x14ac:dyDescent="0.25">
      <c r="B1264" s="39" t="s">
        <v>26</v>
      </c>
      <c r="C1264" s="39" t="s">
        <v>26</v>
      </c>
      <c r="D1264" s="13" t="s">
        <v>400</v>
      </c>
      <c r="E1264" s="112" t="s">
        <v>38</v>
      </c>
      <c r="F1264" s="2" t="s">
        <v>380</v>
      </c>
      <c r="G1264" s="13" t="s">
        <v>407</v>
      </c>
      <c r="H1264" s="59" t="str">
        <f>Table1[[#This Row],[Tabela]]&amp;Table1[[#This Row],[Campo]]</f>
        <v>lt002_instrumenttyp_instrmnt</v>
      </c>
      <c r="I1264" s="2" t="s">
        <v>614</v>
      </c>
      <c r="J1264" s="45">
        <f>VLOOKUP(Table1[[#This Row],[Status]],Auxiliar!$B$16:$C$24,2,0)</f>
        <v>1</v>
      </c>
      <c r="K1264" s="21" t="s">
        <v>1257</v>
      </c>
      <c r="L1264" s="46" t="s">
        <v>1258</v>
      </c>
      <c r="M1264" s="21" t="s">
        <v>1259</v>
      </c>
      <c r="N1264" s="48">
        <v>45506</v>
      </c>
      <c r="O1264" s="113">
        <v>0.1</v>
      </c>
      <c r="P1264" s="2"/>
      <c r="Q1264" s="152"/>
      <c r="R1264" s="152"/>
      <c r="S1264" s="152"/>
      <c r="T1264" s="152"/>
      <c r="U1264" s="152"/>
      <c r="V1264" s="152"/>
      <c r="W1264" s="2">
        <f>VLOOKUP(Table1[[#This Row],[Status]],Auxiliar!$B$16:$D$24,3,0)*Table1[[#This Row],[Estimação (horas)]]</f>
        <v>0.1</v>
      </c>
      <c r="X1264" s="206"/>
    </row>
    <row r="1265" spans="2:24" ht="17.7" customHeight="1" x14ac:dyDescent="0.25">
      <c r="B1265" s="39" t="s">
        <v>26</v>
      </c>
      <c r="C1265" s="39" t="s">
        <v>26</v>
      </c>
      <c r="D1265" s="13" t="s">
        <v>400</v>
      </c>
      <c r="E1265" s="112" t="s">
        <v>38</v>
      </c>
      <c r="F1265" s="2" t="s">
        <v>380</v>
      </c>
      <c r="G1265" s="13" t="s">
        <v>408</v>
      </c>
      <c r="H1265" s="59" t="str">
        <f>Table1[[#This Row],[Tabela]]&amp;Table1[[#This Row],[Campo]]</f>
        <v>lt002_instrumentgrss_crryng_amnt_instrmnt</v>
      </c>
      <c r="I1265" s="2" t="s">
        <v>614</v>
      </c>
      <c r="J1265" s="45">
        <f>VLOOKUP(Table1[[#This Row],[Status]],Auxiliar!$B$16:$C$24,2,0)</f>
        <v>1</v>
      </c>
      <c r="K1265" s="21" t="s">
        <v>1257</v>
      </c>
      <c r="L1265" s="46" t="s">
        <v>1258</v>
      </c>
      <c r="M1265" s="21" t="s">
        <v>1259</v>
      </c>
      <c r="N1265" s="48">
        <v>45506</v>
      </c>
      <c r="O1265" s="113">
        <v>0.1</v>
      </c>
      <c r="P1265" s="2"/>
      <c r="Q1265" s="152"/>
      <c r="R1265" s="152"/>
      <c r="S1265" s="152"/>
      <c r="T1265" s="152"/>
      <c r="U1265" s="152"/>
      <c r="V1265" s="152"/>
      <c r="W1265" s="2">
        <f>VLOOKUP(Table1[[#This Row],[Status]],Auxiliar!$B$16:$D$24,3,0)*Table1[[#This Row],[Estimação (horas)]]</f>
        <v>0.1</v>
      </c>
      <c r="X1265" s="206"/>
    </row>
    <row r="1266" spans="2:24" ht="17.7" customHeight="1" x14ac:dyDescent="0.25">
      <c r="B1266" s="39" t="s">
        <v>26</v>
      </c>
      <c r="C1266" s="39" t="s">
        <v>26</v>
      </c>
      <c r="D1266" s="13" t="s">
        <v>400</v>
      </c>
      <c r="E1266" s="112" t="s">
        <v>38</v>
      </c>
      <c r="F1266" s="2" t="s">
        <v>380</v>
      </c>
      <c r="G1266" s="13" t="s">
        <v>409</v>
      </c>
      <c r="H1266" s="59" t="str">
        <f>Table1[[#This Row],[Tabela]]&amp;Table1[[#This Row],[Campo]]</f>
        <v>lt002_instrumentaccmltd_chngs_fv_cr_instrmnt</v>
      </c>
      <c r="I1266" s="2" t="s">
        <v>614</v>
      </c>
      <c r="J1266" s="45">
        <f>VLOOKUP(Table1[[#This Row],[Status]],Auxiliar!$B$16:$C$24,2,0)</f>
        <v>1</v>
      </c>
      <c r="K1266" s="21" t="s">
        <v>1257</v>
      </c>
      <c r="L1266" s="46" t="s">
        <v>1258</v>
      </c>
      <c r="M1266" s="21" t="s">
        <v>1259</v>
      </c>
      <c r="N1266" s="48">
        <v>45506</v>
      </c>
      <c r="O1266" s="113">
        <v>0.1</v>
      </c>
      <c r="P1266" s="2"/>
      <c r="Q1266" s="152"/>
      <c r="R1266" s="152"/>
      <c r="S1266" s="152"/>
      <c r="T1266" s="152"/>
      <c r="U1266" s="152"/>
      <c r="V1266" s="152"/>
      <c r="W1266" s="2">
        <f>VLOOKUP(Table1[[#This Row],[Status]],Auxiliar!$B$16:$D$24,3,0)*Table1[[#This Row],[Estimação (horas)]]</f>
        <v>0.1</v>
      </c>
      <c r="X1266" s="206"/>
    </row>
    <row r="1267" spans="2:24" ht="17.7" customHeight="1" x14ac:dyDescent="0.25">
      <c r="B1267" s="39" t="s">
        <v>26</v>
      </c>
      <c r="C1267" s="39" t="s">
        <v>26</v>
      </c>
      <c r="D1267" s="13" t="s">
        <v>400</v>
      </c>
      <c r="E1267" s="112" t="s">
        <v>38</v>
      </c>
      <c r="F1267" s="2" t="s">
        <v>380</v>
      </c>
      <c r="G1267" s="13" t="s">
        <v>410</v>
      </c>
      <c r="H1267" s="59" t="str">
        <f>Table1[[#This Row],[Tabela]]&amp;Table1[[#This Row],[Campo]]</f>
        <v>lt002_instrumentaccntng_clssfctn</v>
      </c>
      <c r="I1267" s="2" t="s">
        <v>614</v>
      </c>
      <c r="J1267" s="45">
        <f>VLOOKUP(Table1[[#This Row],[Status]],Auxiliar!$B$16:$C$24,2,0)</f>
        <v>1</v>
      </c>
      <c r="K1267" s="21" t="s">
        <v>1257</v>
      </c>
      <c r="L1267" s="46" t="s">
        <v>1258</v>
      </c>
      <c r="M1267" s="21" t="s">
        <v>1259</v>
      </c>
      <c r="N1267" s="48">
        <v>45506</v>
      </c>
      <c r="O1267" s="113">
        <v>0.1</v>
      </c>
      <c r="P1267" s="2"/>
      <c r="Q1267" s="152"/>
      <c r="R1267" s="152"/>
      <c r="S1267" s="152"/>
      <c r="T1267" s="152"/>
      <c r="U1267" s="152"/>
      <c r="V1267" s="152"/>
      <c r="W1267" s="2">
        <f>VLOOKUP(Table1[[#This Row],[Status]],Auxiliar!$B$16:$D$24,3,0)*Table1[[#This Row],[Estimação (horas)]]</f>
        <v>0.1</v>
      </c>
      <c r="X1267" s="206"/>
    </row>
    <row r="1268" spans="2:24" ht="17.7" customHeight="1" x14ac:dyDescent="0.25">
      <c r="B1268" s="39" t="s">
        <v>26</v>
      </c>
      <c r="C1268" s="39" t="s">
        <v>26</v>
      </c>
      <c r="D1268" s="13" t="s">
        <v>400</v>
      </c>
      <c r="E1268" s="112" t="s">
        <v>38</v>
      </c>
      <c r="F1268" s="2" t="s">
        <v>380</v>
      </c>
      <c r="G1268" s="13" t="s">
        <v>411</v>
      </c>
      <c r="H1268" s="59" t="str">
        <f>Table1[[#This Row],[Tabela]]&amp;Table1[[#This Row],[Campo]]</f>
        <v>lt002_instrumentdt_lgl_fnl_mtrty</v>
      </c>
      <c r="I1268" s="2" t="s">
        <v>614</v>
      </c>
      <c r="J1268" s="45">
        <f>VLOOKUP(Table1[[#This Row],[Status]],Auxiliar!$B$16:$C$24,2,0)</f>
        <v>1</v>
      </c>
      <c r="K1268" s="21" t="s">
        <v>1257</v>
      </c>
      <c r="L1268" s="46" t="s">
        <v>1258</v>
      </c>
      <c r="M1268" s="21" t="s">
        <v>1259</v>
      </c>
      <c r="N1268" s="48">
        <v>45506</v>
      </c>
      <c r="O1268" s="113">
        <v>0.1</v>
      </c>
      <c r="P1268" s="2"/>
      <c r="Q1268" s="152"/>
      <c r="R1268" s="152"/>
      <c r="S1268" s="152"/>
      <c r="T1268" s="152"/>
      <c r="U1268" s="152"/>
      <c r="V1268" s="152"/>
      <c r="W1268" s="2">
        <f>VLOOKUP(Table1[[#This Row],[Status]],Auxiliar!$B$16:$D$24,3,0)*Table1[[#This Row],[Estimação (horas)]]</f>
        <v>0.1</v>
      </c>
      <c r="X1268" s="206"/>
    </row>
    <row r="1269" spans="2:24" ht="17.7" customHeight="1" x14ac:dyDescent="0.25">
      <c r="B1269" s="39" t="s">
        <v>26</v>
      </c>
      <c r="C1269" s="39" t="s">
        <v>26</v>
      </c>
      <c r="D1269" s="13" t="s">
        <v>400</v>
      </c>
      <c r="E1269" s="112" t="s">
        <v>38</v>
      </c>
      <c r="F1269" s="2" t="s">
        <v>380</v>
      </c>
      <c r="G1269" s="13" t="s">
        <v>412</v>
      </c>
      <c r="H1269" s="59" t="str">
        <f>Table1[[#This Row],[Tabela]]&amp;Table1[[#This Row],[Campo]]</f>
        <v>lt002_instrumentaccmltd_imprmnt_instrmnt</v>
      </c>
      <c r="I1269" s="2" t="s">
        <v>614</v>
      </c>
      <c r="J1269" s="45">
        <f>VLOOKUP(Table1[[#This Row],[Status]],Auxiliar!$B$16:$C$24,2,0)</f>
        <v>1</v>
      </c>
      <c r="K1269" s="21" t="s">
        <v>1257</v>
      </c>
      <c r="L1269" s="46" t="s">
        <v>1258</v>
      </c>
      <c r="M1269" s="21" t="s">
        <v>1259</v>
      </c>
      <c r="N1269" s="48">
        <v>45506</v>
      </c>
      <c r="O1269" s="113">
        <v>0.1</v>
      </c>
      <c r="P1269" s="2"/>
      <c r="Q1269" s="152"/>
      <c r="R1269" s="152"/>
      <c r="S1269" s="152"/>
      <c r="T1269" s="152"/>
      <c r="U1269" s="152"/>
      <c r="V1269" s="152"/>
      <c r="W1269" s="2">
        <f>VLOOKUP(Table1[[#This Row],[Status]],Auxiliar!$B$16:$D$24,3,0)*Table1[[#This Row],[Estimação (horas)]]</f>
        <v>0.1</v>
      </c>
      <c r="X1269" s="206"/>
    </row>
    <row r="1270" spans="2:24" ht="17.7" customHeight="1" x14ac:dyDescent="0.25">
      <c r="B1270" s="39" t="s">
        <v>26</v>
      </c>
      <c r="C1270" s="39" t="s">
        <v>26</v>
      </c>
      <c r="D1270" s="13" t="s">
        <v>400</v>
      </c>
      <c r="E1270" s="112" t="s">
        <v>38</v>
      </c>
      <c r="F1270" s="2" t="s">
        <v>380</v>
      </c>
      <c r="G1270" s="13" t="s">
        <v>413</v>
      </c>
      <c r="H1270" s="59" t="str">
        <f>Table1[[#This Row],[Tabela]]&amp;Table1[[#This Row],[Campo]]</f>
        <v>lt002_instrumentissr_cntry</v>
      </c>
      <c r="I1270" s="2" t="s">
        <v>614</v>
      </c>
      <c r="J1270" s="45">
        <f>VLOOKUP(Table1[[#This Row],[Status]],Auxiliar!$B$16:$C$24,2,0)</f>
        <v>1</v>
      </c>
      <c r="K1270" s="21" t="s">
        <v>1257</v>
      </c>
      <c r="L1270" s="46" t="s">
        <v>1258</v>
      </c>
      <c r="M1270" s="21" t="s">
        <v>1259</v>
      </c>
      <c r="N1270" s="48">
        <v>45506</v>
      </c>
      <c r="O1270" s="113">
        <v>0.1</v>
      </c>
      <c r="P1270" s="2"/>
      <c r="Q1270" s="152"/>
      <c r="R1270" s="152"/>
      <c r="S1270" s="152"/>
      <c r="T1270" s="152"/>
      <c r="U1270" s="152"/>
      <c r="V1270" s="152"/>
      <c r="W1270" s="2">
        <f>VLOOKUP(Table1[[#This Row],[Status]],Auxiliar!$B$16:$D$24,3,0)*Table1[[#This Row],[Estimação (horas)]]</f>
        <v>0.1</v>
      </c>
      <c r="X1270" s="206"/>
    </row>
    <row r="1271" spans="2:24" ht="17.7" customHeight="1" x14ac:dyDescent="0.25">
      <c r="B1271" s="39" t="s">
        <v>26</v>
      </c>
      <c r="C1271" s="39" t="s">
        <v>26</v>
      </c>
      <c r="D1271" s="13" t="s">
        <v>400</v>
      </c>
      <c r="E1271" s="112" t="s">
        <v>38</v>
      </c>
      <c r="F1271" s="2" t="s">
        <v>380</v>
      </c>
      <c r="G1271" s="13" t="s">
        <v>414</v>
      </c>
      <c r="H1271" s="59" t="str">
        <f>Table1[[#This Row],[Tabela]]&amp;Table1[[#This Row],[Campo]]</f>
        <v>lt002_instrumentissr_nace_sctr</v>
      </c>
      <c r="I1271" s="2" t="s">
        <v>614</v>
      </c>
      <c r="J1271" s="45">
        <f>VLOOKUP(Table1[[#This Row],[Status]],Auxiliar!$B$16:$C$24,2,0)</f>
        <v>1</v>
      </c>
      <c r="K1271" s="21" t="s">
        <v>1257</v>
      </c>
      <c r="L1271" s="46" t="s">
        <v>1258</v>
      </c>
      <c r="M1271" s="21" t="s">
        <v>1259</v>
      </c>
      <c r="N1271" s="48">
        <v>45506</v>
      </c>
      <c r="O1271" s="113">
        <v>0.1</v>
      </c>
      <c r="P1271" s="2"/>
      <c r="Q1271" s="152"/>
      <c r="R1271" s="152"/>
      <c r="S1271" s="152"/>
      <c r="T1271" s="152"/>
      <c r="U1271" s="152"/>
      <c r="V1271" s="152"/>
      <c r="W1271" s="2">
        <f>VLOOKUP(Table1[[#This Row],[Status]],Auxiliar!$B$16:$D$24,3,0)*Table1[[#This Row],[Estimação (horas)]]</f>
        <v>0.1</v>
      </c>
      <c r="X1271" s="206"/>
    </row>
    <row r="1272" spans="2:24" ht="17.7" customHeight="1" x14ac:dyDescent="0.25">
      <c r="B1272" s="39" t="s">
        <v>26</v>
      </c>
      <c r="C1272" s="39" t="s">
        <v>26</v>
      </c>
      <c r="D1272" s="13" t="s">
        <v>400</v>
      </c>
      <c r="E1272" s="112" t="s">
        <v>38</v>
      </c>
      <c r="F1272" s="2" t="s">
        <v>380</v>
      </c>
      <c r="G1272" s="13" t="s">
        <v>415</v>
      </c>
      <c r="H1272" s="59" t="str">
        <f>Table1[[#This Row],[Tabela]]&amp;Table1[[#This Row],[Campo]]</f>
        <v>lt002_instrumentprmry_asst_clssf</v>
      </c>
      <c r="I1272" s="2" t="s">
        <v>614</v>
      </c>
      <c r="J1272" s="45">
        <f>VLOOKUP(Table1[[#This Row],[Status]],Auxiliar!$B$16:$C$24,2,0)</f>
        <v>1</v>
      </c>
      <c r="K1272" s="21" t="s">
        <v>1257</v>
      </c>
      <c r="L1272" s="46" t="s">
        <v>1258</v>
      </c>
      <c r="M1272" s="21" t="s">
        <v>1259</v>
      </c>
      <c r="N1272" s="48">
        <v>45506</v>
      </c>
      <c r="O1272" s="113">
        <v>0.1</v>
      </c>
      <c r="P1272" s="2"/>
      <c r="Q1272" s="152"/>
      <c r="R1272" s="152"/>
      <c r="S1272" s="152"/>
      <c r="T1272" s="152"/>
      <c r="U1272" s="152"/>
      <c r="V1272" s="152"/>
      <c r="W1272" s="2">
        <f>VLOOKUP(Table1[[#This Row],[Status]],Auxiliar!$B$16:$D$24,3,0)*Table1[[#This Row],[Estimação (horas)]]</f>
        <v>0.1</v>
      </c>
      <c r="X1272" s="206"/>
    </row>
    <row r="1273" spans="2:24" ht="17.7" customHeight="1" x14ac:dyDescent="0.25">
      <c r="B1273" s="39" t="s">
        <v>26</v>
      </c>
      <c r="C1273" s="39" t="s">
        <v>26</v>
      </c>
      <c r="D1273" s="13" t="s">
        <v>400</v>
      </c>
      <c r="E1273" s="112" t="s">
        <v>38</v>
      </c>
      <c r="F1273" s="2" t="s">
        <v>380</v>
      </c>
      <c r="G1273" s="13" t="s">
        <v>416</v>
      </c>
      <c r="H1273" s="59" t="str">
        <f>Table1[[#This Row],[Tabela]]&amp;Table1[[#This Row],[Campo]]</f>
        <v>lt002_instrumentsubportfolio_id</v>
      </c>
      <c r="I1273" s="2" t="s">
        <v>614</v>
      </c>
      <c r="J1273" s="45">
        <f>VLOOKUP(Table1[[#This Row],[Status]],Auxiliar!$B$16:$C$24,2,0)</f>
        <v>1</v>
      </c>
      <c r="K1273" s="21" t="s">
        <v>1257</v>
      </c>
      <c r="L1273" s="46" t="s">
        <v>1258</v>
      </c>
      <c r="M1273" s="21" t="s">
        <v>1259</v>
      </c>
      <c r="N1273" s="48">
        <v>45506</v>
      </c>
      <c r="O1273" s="113">
        <v>0.1</v>
      </c>
      <c r="P1273" s="2"/>
      <c r="Q1273" s="152"/>
      <c r="R1273" s="152"/>
      <c r="S1273" s="152"/>
      <c r="T1273" s="152"/>
      <c r="U1273" s="152"/>
      <c r="V1273" s="152"/>
      <c r="W1273" s="2">
        <f>VLOOKUP(Table1[[#This Row],[Status]],Auxiliar!$B$16:$D$24,3,0)*Table1[[#This Row],[Estimação (horas)]]</f>
        <v>0.1</v>
      </c>
      <c r="X1273" s="206"/>
    </row>
    <row r="1274" spans="2:24" ht="17.7" customHeight="1" x14ac:dyDescent="0.25">
      <c r="B1274" s="39" t="s">
        <v>26</v>
      </c>
      <c r="C1274" s="39" t="s">
        <v>26</v>
      </c>
      <c r="D1274" s="13" t="s">
        <v>400</v>
      </c>
      <c r="E1274" s="112" t="s">
        <v>38</v>
      </c>
      <c r="F1274" s="2" t="s">
        <v>380</v>
      </c>
      <c r="G1274" s="13" t="s">
        <v>417</v>
      </c>
      <c r="H1274" s="59" t="str">
        <f>Table1[[#This Row],[Tabela]]&amp;Table1[[#This Row],[Campo]]</f>
        <v>lt002_instrumentcod_soc</v>
      </c>
      <c r="I1274" s="2" t="s">
        <v>614</v>
      </c>
      <c r="J1274" s="45">
        <f>VLOOKUP(Table1[[#This Row],[Status]],Auxiliar!$B$16:$C$24,2,0)</f>
        <v>1</v>
      </c>
      <c r="K1274" s="21" t="s">
        <v>1257</v>
      </c>
      <c r="L1274" s="46" t="s">
        <v>1258</v>
      </c>
      <c r="M1274" s="21" t="s">
        <v>1259</v>
      </c>
      <c r="N1274" s="48">
        <v>45506</v>
      </c>
      <c r="O1274" s="113">
        <v>0.1</v>
      </c>
      <c r="P1274" s="2"/>
      <c r="Q1274" s="152"/>
      <c r="R1274" s="152"/>
      <c r="S1274" s="152"/>
      <c r="T1274" s="152"/>
      <c r="U1274" s="152"/>
      <c r="V1274" s="152"/>
      <c r="W1274" s="2">
        <f>VLOOKUP(Table1[[#This Row],[Status]],Auxiliar!$B$16:$D$24,3,0)*Table1[[#This Row],[Estimação (horas)]]</f>
        <v>0.1</v>
      </c>
      <c r="X1274" s="206"/>
    </row>
    <row r="1275" spans="2:24" ht="17.7" customHeight="1" x14ac:dyDescent="0.25">
      <c r="B1275" s="39" t="s">
        <v>26</v>
      </c>
      <c r="C1275" s="39" t="s">
        <v>26</v>
      </c>
      <c r="D1275" s="20" t="s">
        <v>400</v>
      </c>
      <c r="E1275" s="112" t="s">
        <v>38</v>
      </c>
      <c r="F1275" s="32" t="s">
        <v>380</v>
      </c>
      <c r="G1275" s="20" t="s">
        <v>418</v>
      </c>
      <c r="H1275" s="59" t="str">
        <f>Table1[[#This Row],[Tabela]]&amp;Table1[[#This Row],[Campo]]</f>
        <v>lt002_instrumentlcl_instmrnt_id</v>
      </c>
      <c r="I1275" s="2" t="s">
        <v>614</v>
      </c>
      <c r="J1275" s="45">
        <f>VLOOKUP(Table1[[#This Row],[Status]],Auxiliar!$B$16:$C$24,2,0)</f>
        <v>1</v>
      </c>
      <c r="K1275" s="21" t="s">
        <v>1257</v>
      </c>
      <c r="L1275" s="46" t="s">
        <v>1258</v>
      </c>
      <c r="M1275" s="21" t="s">
        <v>1259</v>
      </c>
      <c r="N1275" s="48">
        <v>45510</v>
      </c>
      <c r="O1275" s="113">
        <v>0.1</v>
      </c>
      <c r="P1275" s="32"/>
      <c r="Q1275" s="152"/>
      <c r="R1275" s="152"/>
      <c r="S1275" s="152"/>
      <c r="T1275" s="152"/>
      <c r="U1275" s="152"/>
      <c r="V1275" s="152"/>
      <c r="W1275" s="2">
        <f>VLOOKUP(Table1[[#This Row],[Status]],Auxiliar!$B$16:$D$24,3,0)*Table1[[#This Row],[Estimação (horas)]]</f>
        <v>0.1</v>
      </c>
      <c r="X1275" s="206"/>
    </row>
    <row r="1276" spans="2:24" ht="17.7" customHeight="1" x14ac:dyDescent="0.25">
      <c r="B1276" s="39" t="s">
        <v>26</v>
      </c>
      <c r="C1276" s="39" t="s">
        <v>26</v>
      </c>
      <c r="D1276" s="13" t="s">
        <v>31</v>
      </c>
      <c r="E1276" s="112" t="s">
        <v>38</v>
      </c>
      <c r="F1276" s="2" t="s">
        <v>1955</v>
      </c>
      <c r="G1276" s="13" t="s">
        <v>419</v>
      </c>
      <c r="H1276" s="59" t="str">
        <f>Table1[[#This Row],[Tabela]]&amp;Table1[[#This Row],[Campo]]</f>
        <v>lt007_instr_activitysstnbl_indctr</v>
      </c>
      <c r="I1276" s="2" t="s">
        <v>619</v>
      </c>
      <c r="J1276" s="45">
        <f>VLOOKUP(Table1[[#This Row],[Status]],Auxiliar!$B$16:$C$24,2,0)</f>
        <v>7</v>
      </c>
      <c r="K1276" s="21" t="s">
        <v>1257</v>
      </c>
      <c r="L1276" s="46" t="s">
        <v>1258</v>
      </c>
      <c r="M1276" s="21" t="s">
        <v>1259</v>
      </c>
      <c r="N1276" s="48">
        <v>45596</v>
      </c>
      <c r="O1276" s="113">
        <v>0.1</v>
      </c>
      <c r="P1276" s="43"/>
      <c r="Q1276" s="152"/>
      <c r="R1276" s="152"/>
      <c r="S1276" s="152"/>
      <c r="T1276" s="152"/>
      <c r="U1276" s="152">
        <v>45624</v>
      </c>
      <c r="V1276" s="152"/>
      <c r="W1276" s="2">
        <f>VLOOKUP(Table1[[#This Row],[Status]],Auxiliar!$B$16:$D$24,3,0)*Table1[[#This Row],[Estimação (horas)]]</f>
        <v>2.5000000000000001E-2</v>
      </c>
      <c r="X1276" s="206"/>
    </row>
    <row r="1277" spans="2:24" ht="17.7" customHeight="1" x14ac:dyDescent="0.25">
      <c r="B1277" s="39" t="s">
        <v>26</v>
      </c>
      <c r="C1277" s="39" t="s">
        <v>26</v>
      </c>
      <c r="D1277" s="13" t="s">
        <v>31</v>
      </c>
      <c r="E1277" s="112" t="s">
        <v>38</v>
      </c>
      <c r="F1277" s="2" t="s">
        <v>1955</v>
      </c>
      <c r="G1277" s="13" t="s">
        <v>420</v>
      </c>
      <c r="H1277" s="59" t="str">
        <f>Table1[[#This Row],[Tabela]]&amp;Table1[[#This Row],[Campo]]</f>
        <v>lt007_instr_activitysstnbl_ctgry</v>
      </c>
      <c r="I1277" s="2" t="s">
        <v>619</v>
      </c>
      <c r="J1277" s="45">
        <f>VLOOKUP(Table1[[#This Row],[Status]],Auxiliar!$B$16:$C$24,2,0)</f>
        <v>7</v>
      </c>
      <c r="K1277" s="21" t="s">
        <v>1257</v>
      </c>
      <c r="L1277" s="46" t="s">
        <v>1258</v>
      </c>
      <c r="M1277" s="21" t="s">
        <v>1259</v>
      </c>
      <c r="N1277" s="48">
        <v>45596</v>
      </c>
      <c r="O1277" s="113">
        <v>0.1</v>
      </c>
      <c r="P1277" s="43"/>
      <c r="Q1277" s="152"/>
      <c r="R1277" s="152">
        <v>45593</v>
      </c>
      <c r="S1277" s="152"/>
      <c r="T1277" s="152">
        <v>45593</v>
      </c>
      <c r="U1277" s="152">
        <v>45624</v>
      </c>
      <c r="V1277" s="152"/>
      <c r="W1277" s="2">
        <f>VLOOKUP(Table1[[#This Row],[Status]],Auxiliar!$B$16:$D$24,3,0)*Table1[[#This Row],[Estimação (horas)]]</f>
        <v>2.5000000000000001E-2</v>
      </c>
      <c r="X1277" s="206"/>
    </row>
    <row r="1278" spans="2:24" ht="17.7" customHeight="1" x14ac:dyDescent="0.25">
      <c r="B1278" s="39" t="s">
        <v>26</v>
      </c>
      <c r="C1278" s="39" t="s">
        <v>26</v>
      </c>
      <c r="D1278" s="13" t="s">
        <v>31</v>
      </c>
      <c r="E1278" s="112" t="s">
        <v>38</v>
      </c>
      <c r="F1278" s="2" t="s">
        <v>380</v>
      </c>
      <c r="G1278" s="13" t="s">
        <v>421</v>
      </c>
      <c r="H1278" s="59" t="str">
        <f>Table1[[#This Row],[Tabela]]&amp;Table1[[#This Row],[Campo]]</f>
        <v>lt002_instrumentgrss_intrst_incm</v>
      </c>
      <c r="I1278" s="2" t="s">
        <v>617</v>
      </c>
      <c r="J1278" s="45">
        <f>VLOOKUP(Table1[[#This Row],[Status]],Auxiliar!$B$16:$C$24,2,0)</f>
        <v>6</v>
      </c>
      <c r="K1278" s="21" t="s">
        <v>1257</v>
      </c>
      <c r="L1278" s="46" t="s">
        <v>1258</v>
      </c>
      <c r="M1278" s="21" t="s">
        <v>1259</v>
      </c>
      <c r="N1278" s="48">
        <v>45618</v>
      </c>
      <c r="O1278" s="113">
        <v>0.1</v>
      </c>
      <c r="P1278" s="2"/>
      <c r="Q1278" s="152"/>
      <c r="R1278" s="152"/>
      <c r="S1278" s="152"/>
      <c r="T1278" s="152">
        <v>45618</v>
      </c>
      <c r="U1278" s="152"/>
      <c r="V1278" s="152"/>
      <c r="W1278" s="2">
        <f>VLOOKUP(Table1[[#This Row],[Status]],Auxiliar!$B$16:$D$24,3,0)*Table1[[#This Row],[Estimação (horas)]]</f>
        <v>2.5000000000000001E-2</v>
      </c>
      <c r="X1278" s="206"/>
    </row>
    <row r="1279" spans="2:24" ht="17.7" customHeight="1" x14ac:dyDescent="0.25">
      <c r="B1279" s="39" t="s">
        <v>26</v>
      </c>
      <c r="C1279" s="39" t="s">
        <v>26</v>
      </c>
      <c r="D1279" s="13" t="s">
        <v>31</v>
      </c>
      <c r="E1279" s="112" t="s">
        <v>38</v>
      </c>
      <c r="F1279" s="2" t="s">
        <v>380</v>
      </c>
      <c r="G1279" s="13" t="s">
        <v>422</v>
      </c>
      <c r="H1279" s="59" t="str">
        <f>Table1[[#This Row],[Tabela]]&amp;Table1[[#This Row],[Campo]]</f>
        <v>lt002_instrumentgrss_cmmssn_incm</v>
      </c>
      <c r="I1279" s="2" t="s">
        <v>617</v>
      </c>
      <c r="J1279" s="45">
        <f>VLOOKUP(Table1[[#This Row],[Status]],Auxiliar!$B$16:$C$24,2,0)</f>
        <v>6</v>
      </c>
      <c r="K1279" s="21" t="s">
        <v>1257</v>
      </c>
      <c r="L1279" s="46" t="s">
        <v>1258</v>
      </c>
      <c r="M1279" s="21" t="s">
        <v>1259</v>
      </c>
      <c r="N1279" s="48">
        <v>45618</v>
      </c>
      <c r="O1279" s="113">
        <v>0.1</v>
      </c>
      <c r="P1279" s="2"/>
      <c r="Q1279" s="152"/>
      <c r="R1279" s="152"/>
      <c r="S1279" s="152"/>
      <c r="T1279" s="152">
        <v>45618</v>
      </c>
      <c r="U1279" s="152"/>
      <c r="V1279" s="152"/>
      <c r="W1279" s="2">
        <f>VLOOKUP(Table1[[#This Row],[Status]],Auxiliar!$B$16:$D$24,3,0)*Table1[[#This Row],[Estimação (horas)]]</f>
        <v>2.5000000000000001E-2</v>
      </c>
      <c r="X1279" s="206"/>
    </row>
    <row r="1280" spans="2:24" ht="17.7" customHeight="1" x14ac:dyDescent="0.25">
      <c r="B1280" s="39" t="s">
        <v>26</v>
      </c>
      <c r="C1280" s="39" t="s">
        <v>26</v>
      </c>
      <c r="D1280" s="13" t="s">
        <v>31</v>
      </c>
      <c r="E1280" s="112" t="s">
        <v>38</v>
      </c>
      <c r="F1280" s="2" t="s">
        <v>380</v>
      </c>
      <c r="G1280" s="13" t="s">
        <v>423</v>
      </c>
      <c r="H1280" s="59" t="str">
        <f>Table1[[#This Row],[Tabela]]&amp;Table1[[#This Row],[Campo]]</f>
        <v>lt002_instrumentgrss_cmmssn_incm_off_blnc</v>
      </c>
      <c r="I1280" s="2" t="s">
        <v>617</v>
      </c>
      <c r="J1280" s="45">
        <f>VLOOKUP(Table1[[#This Row],[Status]],Auxiliar!$B$16:$C$24,2,0)</f>
        <v>6</v>
      </c>
      <c r="K1280" s="21" t="s">
        <v>1257</v>
      </c>
      <c r="L1280" s="46" t="s">
        <v>1258</v>
      </c>
      <c r="M1280" s="21" t="s">
        <v>1259</v>
      </c>
      <c r="N1280" s="48">
        <v>45618</v>
      </c>
      <c r="O1280" s="113">
        <v>0.1</v>
      </c>
      <c r="P1280" s="2"/>
      <c r="Q1280" s="152"/>
      <c r="R1280" s="152"/>
      <c r="S1280" s="152"/>
      <c r="T1280" s="152">
        <v>45618</v>
      </c>
      <c r="U1280" s="152"/>
      <c r="V1280" s="152"/>
      <c r="W1280" s="2">
        <f>VLOOKUP(Table1[[#This Row],[Status]],Auxiliar!$B$16:$D$24,3,0)*Table1[[#This Row],[Estimação (horas)]]</f>
        <v>2.5000000000000001E-2</v>
      </c>
      <c r="X1280" s="206"/>
    </row>
    <row r="1281" spans="2:24" ht="17.7" customHeight="1" x14ac:dyDescent="0.25">
      <c r="B1281" s="39" t="s">
        <v>26</v>
      </c>
      <c r="C1281" s="39" t="s">
        <v>26</v>
      </c>
      <c r="D1281" s="13" t="s">
        <v>400</v>
      </c>
      <c r="E1281" s="112" t="s">
        <v>38</v>
      </c>
      <c r="F1281" s="2" t="s">
        <v>380</v>
      </c>
      <c r="G1281" s="13" t="s">
        <v>424</v>
      </c>
      <c r="H1281" s="59" t="str">
        <f>Table1[[#This Row],[Tabela]]&amp;Table1[[#This Row],[Campo]]</f>
        <v>lt002_instrumentidcmb</v>
      </c>
      <c r="I1281" s="2" t="s">
        <v>614</v>
      </c>
      <c r="J1281" s="45">
        <f>VLOOKUP(Table1[[#This Row],[Status]],Auxiliar!$B$16:$C$24,2,0)</f>
        <v>1</v>
      </c>
      <c r="K1281" s="21" t="s">
        <v>1257</v>
      </c>
      <c r="L1281" s="46" t="s">
        <v>1258</v>
      </c>
      <c r="M1281" s="21" t="s">
        <v>1259</v>
      </c>
      <c r="N1281" s="48">
        <v>45506</v>
      </c>
      <c r="O1281" s="113">
        <v>0.1</v>
      </c>
      <c r="P1281" s="2"/>
      <c r="Q1281" s="152"/>
      <c r="R1281" s="152"/>
      <c r="S1281" s="152"/>
      <c r="T1281" s="152"/>
      <c r="U1281" s="152"/>
      <c r="V1281" s="152"/>
      <c r="W1281" s="2">
        <f>VLOOKUP(Table1[[#This Row],[Status]],Auxiliar!$B$16:$D$24,3,0)*Table1[[#This Row],[Estimação (horas)]]</f>
        <v>0.1</v>
      </c>
      <c r="X1281" s="206"/>
    </row>
    <row r="1282" spans="2:24" ht="17.7" customHeight="1" x14ac:dyDescent="0.25">
      <c r="B1282" s="39" t="s">
        <v>26</v>
      </c>
      <c r="C1282" s="39" t="s">
        <v>26</v>
      </c>
      <c r="D1282" s="13" t="s">
        <v>400</v>
      </c>
      <c r="E1282" s="112" t="s">
        <v>38</v>
      </c>
      <c r="F1282" s="2" t="s">
        <v>336</v>
      </c>
      <c r="G1282" s="13" t="s">
        <v>425</v>
      </c>
      <c r="H1282" s="59" t="str">
        <f>Table1[[#This Row],[Tabela]]&amp;Table1[[#This Row],[Campo]]</f>
        <v>lt003_entitycntry</v>
      </c>
      <c r="I1282" s="2" t="s">
        <v>614</v>
      </c>
      <c r="J1282" s="45">
        <f>VLOOKUP(Table1[[#This Row],[Status]],Auxiliar!$B$16:$C$24,2,0)</f>
        <v>1</v>
      </c>
      <c r="K1282" s="21" t="s">
        <v>1257</v>
      </c>
      <c r="L1282" s="46" t="s">
        <v>1258</v>
      </c>
      <c r="M1282" s="21" t="s">
        <v>1259</v>
      </c>
      <c r="N1282" s="48">
        <v>45505</v>
      </c>
      <c r="O1282" s="113">
        <v>0.1</v>
      </c>
      <c r="P1282" s="2"/>
      <c r="Q1282" s="152"/>
      <c r="R1282" s="152"/>
      <c r="S1282" s="152"/>
      <c r="T1282" s="152"/>
      <c r="U1282" s="152"/>
      <c r="V1282" s="152"/>
      <c r="W1282" s="2">
        <f>VLOOKUP(Table1[[#This Row],[Status]],Auxiliar!$B$16:$D$24,3,0)*Table1[[#This Row],[Estimação (horas)]]</f>
        <v>0.1</v>
      </c>
      <c r="X1282" s="206"/>
    </row>
    <row r="1283" spans="2:24" ht="17.7" customHeight="1" x14ac:dyDescent="0.25">
      <c r="B1283" s="39" t="s">
        <v>26</v>
      </c>
      <c r="C1283" s="39" t="s">
        <v>26</v>
      </c>
      <c r="D1283" s="13" t="s">
        <v>400</v>
      </c>
      <c r="E1283" s="112" t="s">
        <v>38</v>
      </c>
      <c r="F1283" s="2" t="s">
        <v>336</v>
      </c>
      <c r="G1283" s="13" t="s">
        <v>399</v>
      </c>
      <c r="H1283" s="59" t="str">
        <f>Table1[[#This Row],[Tabela]]&amp;Table1[[#This Row],[Campo]]</f>
        <v>lt003_entitydt_rfrnc</v>
      </c>
      <c r="I1283" s="2" t="s">
        <v>614</v>
      </c>
      <c r="J1283" s="45">
        <f>VLOOKUP(Table1[[#This Row],[Status]],Auxiliar!$B$16:$C$24,2,0)</f>
        <v>1</v>
      </c>
      <c r="K1283" s="21" t="s">
        <v>1257</v>
      </c>
      <c r="L1283" s="46" t="s">
        <v>1258</v>
      </c>
      <c r="M1283" s="21" t="s">
        <v>1259</v>
      </c>
      <c r="N1283" s="48">
        <v>45506</v>
      </c>
      <c r="O1283" s="113">
        <v>0.1</v>
      </c>
      <c r="P1283" s="2"/>
      <c r="Q1283" s="152"/>
      <c r="R1283" s="152"/>
      <c r="S1283" s="152"/>
      <c r="T1283" s="152"/>
      <c r="U1283" s="152"/>
      <c r="V1283" s="152"/>
      <c r="W1283" s="2">
        <f>VLOOKUP(Table1[[#This Row],[Status]],Auxiliar!$B$16:$D$24,3,0)*Table1[[#This Row],[Estimação (horas)]]</f>
        <v>0.1</v>
      </c>
      <c r="X1283" s="206"/>
    </row>
    <row r="1284" spans="2:24" ht="17.7" customHeight="1" x14ac:dyDescent="0.25">
      <c r="B1284" s="39" t="s">
        <v>26</v>
      </c>
      <c r="C1284" s="39" t="s">
        <v>26</v>
      </c>
      <c r="D1284" s="13" t="s">
        <v>400</v>
      </c>
      <c r="E1284" s="112" t="s">
        <v>38</v>
      </c>
      <c r="F1284" s="2" t="s">
        <v>336</v>
      </c>
      <c r="G1284" s="13" t="s">
        <v>426</v>
      </c>
      <c r="H1284" s="59" t="str">
        <f>Table1[[#This Row],[Tabela]]&amp;Table1[[#This Row],[Campo]]</f>
        <v>lt003_entityentty_id</v>
      </c>
      <c r="I1284" s="2" t="s">
        <v>614</v>
      </c>
      <c r="J1284" s="45">
        <f>VLOOKUP(Table1[[#This Row],[Status]],Auxiliar!$B$16:$C$24,2,0)</f>
        <v>1</v>
      </c>
      <c r="K1284" s="21" t="s">
        <v>1257</v>
      </c>
      <c r="L1284" s="46" t="s">
        <v>1258</v>
      </c>
      <c r="M1284" s="21" t="s">
        <v>1259</v>
      </c>
      <c r="N1284" s="48">
        <v>45506</v>
      </c>
      <c r="O1284" s="113">
        <v>0.1</v>
      </c>
      <c r="P1284" s="2"/>
      <c r="Q1284" s="152"/>
      <c r="R1284" s="152"/>
      <c r="S1284" s="152"/>
      <c r="T1284" s="152"/>
      <c r="U1284" s="152"/>
      <c r="V1284" s="152"/>
      <c r="W1284" s="2">
        <f>VLOOKUP(Table1[[#This Row],[Status]],Auxiliar!$B$16:$D$24,3,0)*Table1[[#This Row],[Estimação (horas)]]</f>
        <v>0.1</v>
      </c>
      <c r="X1284" s="206"/>
    </row>
    <row r="1285" spans="2:24" ht="17.7" customHeight="1" x14ac:dyDescent="0.25">
      <c r="B1285" s="39" t="s">
        <v>26</v>
      </c>
      <c r="C1285" s="39" t="s">
        <v>26</v>
      </c>
      <c r="D1285" s="13" t="s">
        <v>400</v>
      </c>
      <c r="E1285" s="112" t="s">
        <v>38</v>
      </c>
      <c r="F1285" s="2" t="s">
        <v>336</v>
      </c>
      <c r="G1285" s="13" t="s">
        <v>427</v>
      </c>
      <c r="H1285" s="59" t="str">
        <f>Table1[[#This Row],[Tabela]]&amp;Table1[[#This Row],[Campo]]</f>
        <v>lt003_entitylei</v>
      </c>
      <c r="I1285" s="2" t="s">
        <v>614</v>
      </c>
      <c r="J1285" s="45">
        <f>VLOOKUP(Table1[[#This Row],[Status]],Auxiliar!$B$16:$C$24,2,0)</f>
        <v>1</v>
      </c>
      <c r="K1285" s="21" t="s">
        <v>1257</v>
      </c>
      <c r="L1285" s="46" t="s">
        <v>1258</v>
      </c>
      <c r="M1285" s="21" t="s">
        <v>1259</v>
      </c>
      <c r="N1285" s="48">
        <v>45509</v>
      </c>
      <c r="O1285" s="113">
        <v>0.1</v>
      </c>
      <c r="P1285" s="2" t="s">
        <v>1365</v>
      </c>
      <c r="Q1285" s="152"/>
      <c r="R1285" s="152"/>
      <c r="S1285" s="152"/>
      <c r="T1285" s="152"/>
      <c r="U1285" s="152"/>
      <c r="V1285" s="152"/>
      <c r="W1285" s="2">
        <f>VLOOKUP(Table1[[#This Row],[Status]],Auxiliar!$B$16:$D$24,3,0)*Table1[[#This Row],[Estimação (horas)]]</f>
        <v>0.1</v>
      </c>
      <c r="X1285" s="206"/>
    </row>
    <row r="1286" spans="2:24" ht="17.7" customHeight="1" x14ac:dyDescent="0.25">
      <c r="B1286" s="39" t="s">
        <v>26</v>
      </c>
      <c r="C1286" s="39" t="s">
        <v>26</v>
      </c>
      <c r="D1286" s="13" t="s">
        <v>400</v>
      </c>
      <c r="E1286" s="112" t="s">
        <v>38</v>
      </c>
      <c r="F1286" s="2" t="s">
        <v>336</v>
      </c>
      <c r="G1286" s="13" t="s">
        <v>428</v>
      </c>
      <c r="H1286" s="59" t="str">
        <f>Table1[[#This Row],[Tabela]]&amp;Table1[[#This Row],[Campo]]</f>
        <v>lt003_entityecnmc_actvty</v>
      </c>
      <c r="I1286" s="2" t="s">
        <v>614</v>
      </c>
      <c r="J1286" s="45">
        <f>VLOOKUP(Table1[[#This Row],[Status]],Auxiliar!$B$16:$C$24,2,0)</f>
        <v>1</v>
      </c>
      <c r="K1286" s="21" t="s">
        <v>1257</v>
      </c>
      <c r="L1286" s="46" t="s">
        <v>1258</v>
      </c>
      <c r="M1286" s="21" t="s">
        <v>1259</v>
      </c>
      <c r="N1286" s="48">
        <v>45509</v>
      </c>
      <c r="O1286" s="113">
        <v>0.1</v>
      </c>
      <c r="P1286" s="2" t="s">
        <v>1365</v>
      </c>
      <c r="Q1286" s="152"/>
      <c r="R1286" s="152"/>
      <c r="S1286" s="152"/>
      <c r="T1286" s="152"/>
      <c r="U1286" s="152"/>
      <c r="V1286" s="152"/>
      <c r="W1286" s="2">
        <f>VLOOKUP(Table1[[#This Row],[Status]],Auxiliar!$B$16:$D$24,3,0)*Table1[[#This Row],[Estimação (horas)]]</f>
        <v>0.1</v>
      </c>
      <c r="X1286" s="206"/>
    </row>
    <row r="1287" spans="2:24" ht="17.7" customHeight="1" x14ac:dyDescent="0.25">
      <c r="B1287" s="39" t="s">
        <v>26</v>
      </c>
      <c r="C1287" s="39" t="s">
        <v>26</v>
      </c>
      <c r="D1287" s="13" t="s">
        <v>400</v>
      </c>
      <c r="E1287" s="112" t="s">
        <v>38</v>
      </c>
      <c r="F1287" s="2" t="s">
        <v>336</v>
      </c>
      <c r="G1287" s="13" t="s">
        <v>429</v>
      </c>
      <c r="H1287" s="59" t="str">
        <f>Table1[[#This Row],[Tabela]]&amp;Table1[[#This Row],[Campo]]</f>
        <v>lt003_entitygrp_eqty</v>
      </c>
      <c r="I1287" s="2" t="s">
        <v>614</v>
      </c>
      <c r="J1287" s="45">
        <f>VLOOKUP(Table1[[#This Row],[Status]],Auxiliar!$B$16:$C$24,2,0)</f>
        <v>1</v>
      </c>
      <c r="K1287" s="21" t="s">
        <v>1257</v>
      </c>
      <c r="L1287" s="46" t="s">
        <v>1258</v>
      </c>
      <c r="M1287" s="21" t="s">
        <v>1259</v>
      </c>
      <c r="N1287" s="48">
        <v>45509</v>
      </c>
      <c r="O1287" s="113">
        <v>0.1</v>
      </c>
      <c r="P1287" s="2" t="s">
        <v>1365</v>
      </c>
      <c r="Q1287" s="152"/>
      <c r="R1287" s="152"/>
      <c r="S1287" s="152"/>
      <c r="T1287" s="152"/>
      <c r="U1287" s="152"/>
      <c r="V1287" s="152"/>
      <c r="W1287" s="2">
        <f>VLOOKUP(Table1[[#This Row],[Status]],Auxiliar!$B$16:$D$24,3,0)*Table1[[#This Row],[Estimação (horas)]]</f>
        <v>0.1</v>
      </c>
      <c r="X1287" s="206"/>
    </row>
    <row r="1288" spans="2:24" ht="17.7" customHeight="1" x14ac:dyDescent="0.25">
      <c r="B1288" s="39" t="s">
        <v>26</v>
      </c>
      <c r="C1288" s="39" t="s">
        <v>26</v>
      </c>
      <c r="D1288" s="13" t="s">
        <v>400</v>
      </c>
      <c r="E1288" s="112" t="s">
        <v>38</v>
      </c>
      <c r="F1288" s="2" t="s">
        <v>336</v>
      </c>
      <c r="G1288" s="13" t="s">
        <v>430</v>
      </c>
      <c r="H1288" s="59" t="str">
        <f>Table1[[#This Row],[Tabela]]&amp;Table1[[#This Row],[Campo]]</f>
        <v>lt003_entityannl_trnvr_le</v>
      </c>
      <c r="I1288" s="2" t="s">
        <v>614</v>
      </c>
      <c r="J1288" s="45">
        <f>VLOOKUP(Table1[[#This Row],[Status]],Auxiliar!$B$16:$C$24,2,0)</f>
        <v>1</v>
      </c>
      <c r="K1288" s="21" t="s">
        <v>1257</v>
      </c>
      <c r="L1288" s="46" t="s">
        <v>1258</v>
      </c>
      <c r="M1288" s="21" t="s">
        <v>1259</v>
      </c>
      <c r="N1288" s="48">
        <v>45509</v>
      </c>
      <c r="O1288" s="113">
        <v>0.1</v>
      </c>
      <c r="P1288" s="2" t="s">
        <v>1365</v>
      </c>
      <c r="Q1288" s="152"/>
      <c r="R1288" s="152"/>
      <c r="S1288" s="152"/>
      <c r="T1288" s="152"/>
      <c r="U1288" s="152"/>
      <c r="V1288" s="152"/>
      <c r="W1288" s="2">
        <f>VLOOKUP(Table1[[#This Row],[Status]],Auxiliar!$B$16:$D$24,3,0)*Table1[[#This Row],[Estimação (horas)]]</f>
        <v>0.1</v>
      </c>
      <c r="X1288" s="206"/>
    </row>
    <row r="1289" spans="2:24" ht="17.7" customHeight="1" x14ac:dyDescent="0.25">
      <c r="B1289" s="39" t="s">
        <v>26</v>
      </c>
      <c r="C1289" s="39" t="s">
        <v>26</v>
      </c>
      <c r="D1289" s="13" t="s">
        <v>400</v>
      </c>
      <c r="E1289" s="112" t="s">
        <v>38</v>
      </c>
      <c r="F1289" s="2" t="s">
        <v>336</v>
      </c>
      <c r="G1289" s="13" t="s">
        <v>431</v>
      </c>
      <c r="H1289" s="59" t="str">
        <f>Table1[[#This Row],[Tabela]]&amp;Table1[[#This Row],[Campo]]</f>
        <v>lt003_entityeqty</v>
      </c>
      <c r="I1289" s="2" t="s">
        <v>614</v>
      </c>
      <c r="J1289" s="45">
        <f>VLOOKUP(Table1[[#This Row],[Status]],Auxiliar!$B$16:$C$24,2,0)</f>
        <v>1</v>
      </c>
      <c r="K1289" s="21" t="s">
        <v>1257</v>
      </c>
      <c r="L1289" s="46" t="s">
        <v>1258</v>
      </c>
      <c r="M1289" s="21" t="s">
        <v>1259</v>
      </c>
      <c r="N1289" s="48">
        <v>45509</v>
      </c>
      <c r="O1289" s="113">
        <v>0.1</v>
      </c>
      <c r="P1289" s="2" t="s">
        <v>1365</v>
      </c>
      <c r="Q1289" s="152"/>
      <c r="R1289" s="152"/>
      <c r="S1289" s="152"/>
      <c r="T1289" s="152"/>
      <c r="U1289" s="152"/>
      <c r="V1289" s="152"/>
      <c r="W1289" s="2">
        <f>VLOOKUP(Table1[[#This Row],[Status]],Auxiliar!$B$16:$D$24,3,0)*Table1[[#This Row],[Estimação (horas)]]</f>
        <v>0.1</v>
      </c>
      <c r="X1289" s="206"/>
    </row>
    <row r="1290" spans="2:24" ht="17.7" customHeight="1" x14ac:dyDescent="0.25">
      <c r="B1290" s="39" t="s">
        <v>26</v>
      </c>
      <c r="C1290" s="39" t="s">
        <v>26</v>
      </c>
      <c r="D1290" s="13" t="s">
        <v>400</v>
      </c>
      <c r="E1290" s="112" t="s">
        <v>38</v>
      </c>
      <c r="F1290" s="2" t="s">
        <v>336</v>
      </c>
      <c r="G1290" s="13" t="s">
        <v>432</v>
      </c>
      <c r="H1290" s="59" t="str">
        <f>Table1[[#This Row],[Tabela]]&amp;Table1[[#This Row],[Campo]]</f>
        <v>lt003_entitygrp_ttl_dbt</v>
      </c>
      <c r="I1290" s="2" t="s">
        <v>614</v>
      </c>
      <c r="J1290" s="45">
        <f>VLOOKUP(Table1[[#This Row],[Status]],Auxiliar!$B$16:$C$24,2,0)</f>
        <v>1</v>
      </c>
      <c r="K1290" s="21" t="s">
        <v>1257</v>
      </c>
      <c r="L1290" s="46" t="s">
        <v>1258</v>
      </c>
      <c r="M1290" s="21" t="s">
        <v>1259</v>
      </c>
      <c r="N1290" s="48">
        <v>45509</v>
      </c>
      <c r="O1290" s="113">
        <v>0.1</v>
      </c>
      <c r="P1290" s="2" t="s">
        <v>1365</v>
      </c>
      <c r="Q1290" s="152"/>
      <c r="R1290" s="152"/>
      <c r="S1290" s="152"/>
      <c r="T1290" s="152"/>
      <c r="U1290" s="152"/>
      <c r="V1290" s="152"/>
      <c r="W1290" s="2">
        <f>VLOOKUP(Table1[[#This Row],[Status]],Auxiliar!$B$16:$D$24,3,0)*Table1[[#This Row],[Estimação (horas)]]</f>
        <v>0.1</v>
      </c>
      <c r="X1290" s="206"/>
    </row>
    <row r="1291" spans="2:24" ht="17.7" customHeight="1" x14ac:dyDescent="0.25">
      <c r="B1291" s="39" t="s">
        <v>26</v>
      </c>
      <c r="C1291" s="39" t="s">
        <v>26</v>
      </c>
      <c r="D1291" s="13" t="s">
        <v>400</v>
      </c>
      <c r="E1291" s="112" t="s">
        <v>38</v>
      </c>
      <c r="F1291" s="2" t="s">
        <v>336</v>
      </c>
      <c r="G1291" s="13" t="s">
        <v>433</v>
      </c>
      <c r="H1291" s="59" t="str">
        <f>Table1[[#This Row],[Tabela]]&amp;Table1[[#This Row],[Campo]]</f>
        <v>lt003_entityttl_dbt</v>
      </c>
      <c r="I1291" s="2" t="s">
        <v>614</v>
      </c>
      <c r="J1291" s="45">
        <f>VLOOKUP(Table1[[#This Row],[Status]],Auxiliar!$B$16:$C$24,2,0)</f>
        <v>1</v>
      </c>
      <c r="K1291" s="21" t="s">
        <v>1257</v>
      </c>
      <c r="L1291" s="46" t="s">
        <v>1258</v>
      </c>
      <c r="M1291" s="21" t="s">
        <v>1259</v>
      </c>
      <c r="N1291" s="48">
        <v>45509</v>
      </c>
      <c r="O1291" s="113">
        <v>0.1</v>
      </c>
      <c r="P1291" s="2" t="s">
        <v>1365</v>
      </c>
      <c r="Q1291" s="152"/>
      <c r="R1291" s="152"/>
      <c r="S1291" s="152"/>
      <c r="T1291" s="152"/>
      <c r="U1291" s="152"/>
      <c r="V1291" s="152"/>
      <c r="W1291" s="2">
        <f>VLOOKUP(Table1[[#This Row],[Status]],Auxiliar!$B$16:$D$24,3,0)*Table1[[#This Row],[Estimação (horas)]]</f>
        <v>0.1</v>
      </c>
      <c r="X1291" s="206"/>
    </row>
    <row r="1292" spans="2:24" ht="17.7" customHeight="1" x14ac:dyDescent="0.25">
      <c r="B1292" s="39" t="s">
        <v>26</v>
      </c>
      <c r="C1292" s="39" t="s">
        <v>26</v>
      </c>
      <c r="D1292" s="20" t="s">
        <v>400</v>
      </c>
      <c r="E1292" s="112" t="s">
        <v>38</v>
      </c>
      <c r="F1292" s="32" t="s">
        <v>336</v>
      </c>
      <c r="G1292" s="20" t="s">
        <v>417</v>
      </c>
      <c r="H1292" s="59" t="str">
        <f>Table1[[#This Row],[Tabela]]&amp;Table1[[#This Row],[Campo]]</f>
        <v>lt003_entitycod_soc</v>
      </c>
      <c r="I1292" s="2" t="s">
        <v>614</v>
      </c>
      <c r="J1292" s="45">
        <f>VLOOKUP(Table1[[#This Row],[Status]],Auxiliar!$B$16:$C$24,2,0)</f>
        <v>1</v>
      </c>
      <c r="K1292" s="21" t="s">
        <v>1257</v>
      </c>
      <c r="L1292" s="46" t="s">
        <v>1258</v>
      </c>
      <c r="M1292" s="21" t="s">
        <v>1259</v>
      </c>
      <c r="N1292" s="48">
        <v>45491</v>
      </c>
      <c r="O1292" s="113">
        <v>0.1</v>
      </c>
      <c r="P1292" s="32"/>
      <c r="Q1292" s="152"/>
      <c r="R1292" s="152"/>
      <c r="S1292" s="152"/>
      <c r="T1292" s="152"/>
      <c r="U1292" s="152"/>
      <c r="V1292" s="152"/>
      <c r="W1292" s="2">
        <f>VLOOKUP(Table1[[#This Row],[Status]],Auxiliar!$B$16:$D$24,3,0)*Table1[[#This Row],[Estimação (horas)]]</f>
        <v>0.1</v>
      </c>
      <c r="X1292" s="206"/>
    </row>
    <row r="1293" spans="2:24" ht="17.7" customHeight="1" x14ac:dyDescent="0.25">
      <c r="B1293" s="39" t="s">
        <v>26</v>
      </c>
      <c r="C1293" s="39" t="s">
        <v>26</v>
      </c>
      <c r="D1293" s="13" t="s">
        <v>400</v>
      </c>
      <c r="E1293" s="112" t="s">
        <v>38</v>
      </c>
      <c r="F1293" s="2" t="s">
        <v>369</v>
      </c>
      <c r="G1293" s="13" t="s">
        <v>399</v>
      </c>
      <c r="H1293" s="59" t="str">
        <f>Table1[[#This Row],[Tabela]]&amp;Table1[[#This Row],[Campo]]</f>
        <v>lt004_protectiondt_rfrnc</v>
      </c>
      <c r="I1293" s="2" t="s">
        <v>614</v>
      </c>
      <c r="J1293" s="45">
        <f>VLOOKUP(Table1[[#This Row],[Status]],Auxiliar!$B$16:$C$24,2,0)</f>
        <v>1</v>
      </c>
      <c r="K1293" s="21" t="s">
        <v>1257</v>
      </c>
      <c r="L1293" s="46" t="s">
        <v>1258</v>
      </c>
      <c r="M1293" s="21" t="s">
        <v>1259</v>
      </c>
      <c r="N1293" s="48">
        <v>45509</v>
      </c>
      <c r="O1293" s="113">
        <v>0.1</v>
      </c>
      <c r="P1293" s="2"/>
      <c r="Q1293" s="152"/>
      <c r="R1293" s="152"/>
      <c r="S1293" s="152"/>
      <c r="T1293" s="152"/>
      <c r="U1293" s="152"/>
      <c r="V1293" s="152"/>
      <c r="W1293" s="2">
        <f>VLOOKUP(Table1[[#This Row],[Status]],Auxiliar!$B$16:$D$24,3,0)*Table1[[#This Row],[Estimação (horas)]]</f>
        <v>0.1</v>
      </c>
      <c r="X1293" s="206"/>
    </row>
    <row r="1294" spans="2:24" ht="17.7" customHeight="1" x14ac:dyDescent="0.25">
      <c r="B1294" s="39" t="s">
        <v>26</v>
      </c>
      <c r="C1294" s="39" t="s">
        <v>26</v>
      </c>
      <c r="D1294" s="13" t="s">
        <v>400</v>
      </c>
      <c r="E1294" s="112" t="s">
        <v>38</v>
      </c>
      <c r="F1294" s="2" t="s">
        <v>369</v>
      </c>
      <c r="G1294" s="13" t="s">
        <v>434</v>
      </c>
      <c r="H1294" s="59" t="str">
        <f>Table1[[#This Row],[Tabela]]&amp;Table1[[#This Row],[Campo]]</f>
        <v>lt004_protectionprtctn_id</v>
      </c>
      <c r="I1294" s="2" t="s">
        <v>1927</v>
      </c>
      <c r="J1294" s="45">
        <f>VLOOKUP(Table1[[#This Row],[Status]],Auxiliar!$B$16:$C$24,2,0)</f>
        <v>2</v>
      </c>
      <c r="K1294" s="21" t="s">
        <v>1257</v>
      </c>
      <c r="L1294" s="46" t="s">
        <v>1258</v>
      </c>
      <c r="M1294" s="21" t="s">
        <v>1259</v>
      </c>
      <c r="N1294" s="48">
        <v>45611</v>
      </c>
      <c r="O1294" s="113">
        <v>0.1</v>
      </c>
      <c r="P1294" s="2"/>
      <c r="Q1294" s="152"/>
      <c r="R1294" s="152">
        <v>45589</v>
      </c>
      <c r="S1294" s="152"/>
      <c r="T1294" s="152">
        <v>45589</v>
      </c>
      <c r="U1294" s="152">
        <v>45611</v>
      </c>
      <c r="V1294" s="152">
        <v>45611</v>
      </c>
      <c r="W1294" s="2">
        <f>VLOOKUP(Table1[[#This Row],[Status]],Auxiliar!$B$16:$D$24,3,0)*Table1[[#This Row],[Estimação (horas)]]</f>
        <v>0.05</v>
      </c>
      <c r="X1294" s="206"/>
    </row>
    <row r="1295" spans="2:24" ht="17.7" customHeight="1" x14ac:dyDescent="0.25">
      <c r="B1295" s="39" t="s">
        <v>26</v>
      </c>
      <c r="C1295" s="39" t="s">
        <v>26</v>
      </c>
      <c r="D1295" s="13" t="s">
        <v>400</v>
      </c>
      <c r="E1295" s="112" t="s">
        <v>38</v>
      </c>
      <c r="F1295" s="2" t="s">
        <v>369</v>
      </c>
      <c r="G1295" s="13" t="s">
        <v>435</v>
      </c>
      <c r="H1295" s="59" t="str">
        <f>Table1[[#This Row],[Tabela]]&amp;Table1[[#This Row],[Campo]]</f>
        <v>lt004_protectionrl_estt_clltrl_lctn</v>
      </c>
      <c r="I1295" s="2" t="s">
        <v>1927</v>
      </c>
      <c r="J1295" s="45">
        <f>VLOOKUP(Table1[[#This Row],[Status]],Auxiliar!$B$16:$C$24,2,0)</f>
        <v>2</v>
      </c>
      <c r="K1295" s="21" t="s">
        <v>1257</v>
      </c>
      <c r="L1295" s="46" t="s">
        <v>1258</v>
      </c>
      <c r="M1295" s="21" t="s">
        <v>1259</v>
      </c>
      <c r="N1295" s="48">
        <v>45611</v>
      </c>
      <c r="O1295" s="113">
        <v>0.1</v>
      </c>
      <c r="P1295" s="2"/>
      <c r="Q1295" s="152"/>
      <c r="R1295" s="152">
        <v>45589</v>
      </c>
      <c r="S1295" s="152"/>
      <c r="T1295" s="152">
        <v>45589</v>
      </c>
      <c r="U1295" s="152">
        <v>45611</v>
      </c>
      <c r="V1295" s="152">
        <v>45611</v>
      </c>
      <c r="W1295" s="2">
        <f>VLOOKUP(Table1[[#This Row],[Status]],Auxiliar!$B$16:$D$24,3,0)*Table1[[#This Row],[Estimação (horas)]]</f>
        <v>0.05</v>
      </c>
      <c r="X1295" s="206"/>
    </row>
    <row r="1296" spans="2:24" ht="17.7" customHeight="1" x14ac:dyDescent="0.25">
      <c r="B1296" s="39" t="s">
        <v>26</v>
      </c>
      <c r="C1296" s="39" t="s">
        <v>26</v>
      </c>
      <c r="D1296" s="13" t="s">
        <v>400</v>
      </c>
      <c r="E1296" s="112" t="s">
        <v>38</v>
      </c>
      <c r="F1296" s="2" t="s">
        <v>369</v>
      </c>
      <c r="G1296" s="13" t="s">
        <v>436</v>
      </c>
      <c r="H1296" s="59" t="str">
        <f>Table1[[#This Row],[Tabela]]&amp;Table1[[#This Row],[Campo]]</f>
        <v>lt004_protectionrl_estt_pst_cd</v>
      </c>
      <c r="I1296" s="2" t="s">
        <v>1927</v>
      </c>
      <c r="J1296" s="45">
        <f>VLOOKUP(Table1[[#This Row],[Status]],Auxiliar!$B$16:$C$24,2,0)</f>
        <v>2</v>
      </c>
      <c r="K1296" s="21" t="s">
        <v>1257</v>
      </c>
      <c r="L1296" s="46" t="s">
        <v>1258</v>
      </c>
      <c r="M1296" s="21" t="s">
        <v>1259</v>
      </c>
      <c r="N1296" s="48">
        <v>45611</v>
      </c>
      <c r="O1296" s="113">
        <v>0.1</v>
      </c>
      <c r="P1296" s="2"/>
      <c r="Q1296" s="152"/>
      <c r="R1296" s="152">
        <v>45589</v>
      </c>
      <c r="S1296" s="152"/>
      <c r="T1296" s="152">
        <v>45589</v>
      </c>
      <c r="U1296" s="152">
        <v>45611</v>
      </c>
      <c r="V1296" s="152">
        <v>45611</v>
      </c>
      <c r="W1296" s="2">
        <f>VLOOKUP(Table1[[#This Row],[Status]],Auxiliar!$B$16:$D$24,3,0)*Table1[[#This Row],[Estimação (horas)]]</f>
        <v>0.05</v>
      </c>
      <c r="X1296" s="206"/>
    </row>
    <row r="1297" spans="2:24" ht="17.7" customHeight="1" x14ac:dyDescent="0.25">
      <c r="B1297" s="39" t="s">
        <v>26</v>
      </c>
      <c r="C1297" s="39" t="s">
        <v>26</v>
      </c>
      <c r="D1297" s="13" t="s">
        <v>400</v>
      </c>
      <c r="E1297" s="112" t="s">
        <v>38</v>
      </c>
      <c r="F1297" s="2" t="s">
        <v>369</v>
      </c>
      <c r="G1297" s="13" t="s">
        <v>437</v>
      </c>
      <c r="H1297" s="59" t="str">
        <f>Table1[[#This Row],[Tabela]]&amp;Table1[[#This Row],[Campo]]</f>
        <v>lt004_protectiontyp_prtctn</v>
      </c>
      <c r="I1297" s="2" t="s">
        <v>619</v>
      </c>
      <c r="J1297" s="45">
        <f>VLOOKUP(Table1[[#This Row],[Status]],Auxiliar!$B$16:$C$24,2,0)</f>
        <v>7</v>
      </c>
      <c r="K1297" s="21" t="s">
        <v>1257</v>
      </c>
      <c r="L1297" s="46" t="s">
        <v>1258</v>
      </c>
      <c r="M1297" s="21" t="s">
        <v>1259</v>
      </c>
      <c r="N1297" s="48">
        <v>45604</v>
      </c>
      <c r="O1297" s="113">
        <v>0.1</v>
      </c>
      <c r="P1297" s="2" t="s">
        <v>2040</v>
      </c>
      <c r="Q1297" s="152"/>
      <c r="R1297" s="152">
        <v>45603</v>
      </c>
      <c r="S1297" s="152"/>
      <c r="T1297" s="152">
        <v>45588</v>
      </c>
      <c r="U1297" s="152">
        <v>45624</v>
      </c>
      <c r="V1297" s="152"/>
      <c r="W1297" s="2">
        <f>VLOOKUP(Table1[[#This Row],[Status]],Auxiliar!$B$16:$D$24,3,0)*Table1[[#This Row],[Estimação (horas)]]</f>
        <v>2.5000000000000001E-2</v>
      </c>
      <c r="X1297" s="206"/>
    </row>
    <row r="1298" spans="2:24" ht="17.7" customHeight="1" x14ac:dyDescent="0.25">
      <c r="B1298" s="39" t="s">
        <v>26</v>
      </c>
      <c r="C1298" s="39" t="s">
        <v>26</v>
      </c>
      <c r="D1298" s="13" t="s">
        <v>400</v>
      </c>
      <c r="E1298" s="112" t="s">
        <v>38</v>
      </c>
      <c r="F1298" s="2" t="s">
        <v>369</v>
      </c>
      <c r="G1298" s="13" t="s">
        <v>438</v>
      </c>
      <c r="H1298" s="59" t="str">
        <f>Table1[[#This Row],[Tabela]]&amp;Table1[[#This Row],[Campo]]</f>
        <v>lt004_protectionorgnl_prtctn_vl</v>
      </c>
      <c r="I1298" s="2" t="s">
        <v>615</v>
      </c>
      <c r="J1298" s="45">
        <f>VLOOKUP(Table1[[#This Row],[Status]],Auxiliar!$B$16:$C$24,2,0)</f>
        <v>4</v>
      </c>
      <c r="K1298" s="21" t="s">
        <v>1257</v>
      </c>
      <c r="L1298" s="46" t="s">
        <v>1258</v>
      </c>
      <c r="M1298" s="21" t="s">
        <v>1259</v>
      </c>
      <c r="N1298" s="48">
        <v>45618</v>
      </c>
      <c r="O1298" s="255">
        <v>0.1</v>
      </c>
      <c r="P1298" s="2" t="s">
        <v>2016</v>
      </c>
      <c r="Q1298" s="152"/>
      <c r="R1298" s="152">
        <v>45595</v>
      </c>
      <c r="S1298" s="152"/>
      <c r="T1298" s="152">
        <v>45595</v>
      </c>
      <c r="U1298" s="152">
        <v>45611</v>
      </c>
      <c r="V1298" s="152">
        <v>45611</v>
      </c>
      <c r="W1298" s="2">
        <f>VLOOKUP(Table1[[#This Row],[Status]],Auxiliar!$B$16:$D$24,3,0)*Table1[[#This Row],[Estimação (horas)]]</f>
        <v>2.5000000000000001E-2</v>
      </c>
      <c r="X1298" s="206"/>
    </row>
    <row r="1299" spans="2:24" ht="17.7" customHeight="1" x14ac:dyDescent="0.25">
      <c r="B1299" s="39" t="s">
        <v>26</v>
      </c>
      <c r="C1299" s="39" t="s">
        <v>26</v>
      </c>
      <c r="D1299" s="13" t="s">
        <v>400</v>
      </c>
      <c r="E1299" s="112" t="s">
        <v>38</v>
      </c>
      <c r="F1299" s="2" t="s">
        <v>369</v>
      </c>
      <c r="G1299" s="13" t="s">
        <v>439</v>
      </c>
      <c r="H1299" s="59" t="str">
        <f>Table1[[#This Row],[Tabela]]&amp;Table1[[#This Row],[Campo]]</f>
        <v>lt004_protectionprtctn_vl</v>
      </c>
      <c r="I1299" s="2" t="s">
        <v>619</v>
      </c>
      <c r="J1299" s="45">
        <f>VLOOKUP(Table1[[#This Row],[Status]],Auxiliar!$B$16:$C$24,2,0)</f>
        <v>7</v>
      </c>
      <c r="K1299" s="21" t="s">
        <v>1257</v>
      </c>
      <c r="L1299" s="46" t="s">
        <v>1258</v>
      </c>
      <c r="M1299" s="21" t="s">
        <v>1259</v>
      </c>
      <c r="N1299" s="48">
        <v>45590</v>
      </c>
      <c r="O1299" s="113">
        <v>0.1</v>
      </c>
      <c r="P1299" s="2"/>
      <c r="Q1299" s="152"/>
      <c r="R1299" s="152">
        <v>45589</v>
      </c>
      <c r="S1299" s="152"/>
      <c r="T1299" s="152">
        <v>45589</v>
      </c>
      <c r="U1299" s="152">
        <v>45624</v>
      </c>
      <c r="V1299" s="152"/>
      <c r="W1299" s="2">
        <f>VLOOKUP(Table1[[#This Row],[Status]],Auxiliar!$B$16:$D$24,3,0)*Table1[[#This Row],[Estimação (horas)]]</f>
        <v>2.5000000000000001E-2</v>
      </c>
      <c r="X1299" s="206"/>
    </row>
    <row r="1300" spans="2:24" ht="17.7" customHeight="1" x14ac:dyDescent="0.25">
      <c r="B1300" s="39" t="s">
        <v>26</v>
      </c>
      <c r="C1300" s="39" t="s">
        <v>26</v>
      </c>
      <c r="D1300" s="20" t="s">
        <v>400</v>
      </c>
      <c r="E1300" s="112" t="s">
        <v>38</v>
      </c>
      <c r="F1300" s="32" t="s">
        <v>369</v>
      </c>
      <c r="G1300" t="s">
        <v>417</v>
      </c>
      <c r="H1300" s="59" t="str">
        <f>Table1[[#This Row],[Tabela]]&amp;Table1[[#This Row],[Campo]]</f>
        <v>lt004_protectioncod_soc</v>
      </c>
      <c r="I1300" s="2" t="s">
        <v>614</v>
      </c>
      <c r="J1300" s="45">
        <f>VLOOKUP(Table1[[#This Row],[Status]],Auxiliar!$B$16:$C$24,2,0)</f>
        <v>1</v>
      </c>
      <c r="K1300" s="21" t="s">
        <v>1257</v>
      </c>
      <c r="L1300" s="46" t="s">
        <v>1258</v>
      </c>
      <c r="M1300" s="21" t="s">
        <v>1259</v>
      </c>
      <c r="N1300" s="48">
        <v>45590</v>
      </c>
      <c r="O1300" s="113">
        <v>0.1</v>
      </c>
      <c r="P1300" s="32" t="s">
        <v>1341</v>
      </c>
      <c r="Q1300" s="206"/>
      <c r="R1300" s="152"/>
      <c r="S1300" s="152"/>
      <c r="T1300" s="152"/>
      <c r="U1300" s="152"/>
      <c r="V1300" s="152"/>
      <c r="W1300" s="2">
        <f>VLOOKUP(Table1[[#This Row],[Status]],Auxiliar!$B$16:$D$24,3,0)*Table1[[#This Row],[Estimação (horas)]]</f>
        <v>0.1</v>
      </c>
      <c r="X1300" s="206"/>
    </row>
    <row r="1301" spans="2:24" ht="17.7" customHeight="1" x14ac:dyDescent="0.25">
      <c r="B1301" s="39" t="s">
        <v>26</v>
      </c>
      <c r="C1301" s="39" t="s">
        <v>26</v>
      </c>
      <c r="D1301" s="20" t="s">
        <v>400</v>
      </c>
      <c r="E1301" s="112" t="s">
        <v>38</v>
      </c>
      <c r="F1301" s="2" t="s">
        <v>440</v>
      </c>
      <c r="G1301" s="13" t="s">
        <v>399</v>
      </c>
      <c r="H1301" s="59" t="str">
        <f>Table1[[#This Row],[Tabela]]&amp;Table1[[#This Row],[Campo]]</f>
        <v>lt005_instr_entdt_rfrnc</v>
      </c>
      <c r="I1301" s="2" t="s">
        <v>614</v>
      </c>
      <c r="J1301" s="45">
        <f>VLOOKUP(Table1[[#This Row],[Status]],Auxiliar!$B$16:$C$24,2,0)</f>
        <v>1</v>
      </c>
      <c r="K1301" s="21" t="s">
        <v>1257</v>
      </c>
      <c r="L1301" s="46" t="s">
        <v>1258</v>
      </c>
      <c r="M1301" s="21" t="s">
        <v>1259</v>
      </c>
      <c r="N1301" s="48">
        <v>45510</v>
      </c>
      <c r="O1301" s="113">
        <v>0.1</v>
      </c>
      <c r="P1301" s="2"/>
      <c r="Q1301" s="206"/>
      <c r="R1301" s="152"/>
      <c r="S1301" s="152"/>
      <c r="T1301" s="152"/>
      <c r="U1301" s="152"/>
      <c r="V1301" s="152"/>
      <c r="W1301" s="2">
        <f>VLOOKUP(Table1[[#This Row],[Status]],Auxiliar!$B$16:$D$24,3,0)*Table1[[#This Row],[Estimação (horas)]]</f>
        <v>0.1</v>
      </c>
      <c r="X1301" s="206"/>
    </row>
    <row r="1302" spans="2:24" ht="17.7" customHeight="1" x14ac:dyDescent="0.25">
      <c r="B1302" s="39" t="s">
        <v>26</v>
      </c>
      <c r="C1302" s="39" t="s">
        <v>26</v>
      </c>
      <c r="D1302" s="20" t="s">
        <v>400</v>
      </c>
      <c r="E1302" s="112" t="s">
        <v>38</v>
      </c>
      <c r="F1302" s="2" t="s">
        <v>440</v>
      </c>
      <c r="G1302" s="13" t="s">
        <v>426</v>
      </c>
      <c r="H1302" s="59" t="str">
        <f>Table1[[#This Row],[Tabela]]&amp;Table1[[#This Row],[Campo]]</f>
        <v>lt005_instr_ententty_id</v>
      </c>
      <c r="I1302" s="2" t="s">
        <v>614</v>
      </c>
      <c r="J1302" s="45">
        <f>VLOOKUP(Table1[[#This Row],[Status]],Auxiliar!$B$16:$C$24,2,0)</f>
        <v>1</v>
      </c>
      <c r="K1302" s="21" t="s">
        <v>1257</v>
      </c>
      <c r="L1302" s="46" t="s">
        <v>1258</v>
      </c>
      <c r="M1302" s="21" t="s">
        <v>1259</v>
      </c>
      <c r="N1302" s="48">
        <v>45510</v>
      </c>
      <c r="O1302" s="113">
        <v>0.1</v>
      </c>
      <c r="P1302" s="2"/>
      <c r="Q1302" s="206"/>
      <c r="R1302" s="152"/>
      <c r="S1302" s="152"/>
      <c r="T1302" s="152"/>
      <c r="U1302" s="152"/>
      <c r="V1302" s="152"/>
      <c r="W1302" s="2">
        <f>VLOOKUP(Table1[[#This Row],[Status]],Auxiliar!$B$16:$D$24,3,0)*Table1[[#This Row],[Estimação (horas)]]</f>
        <v>0.1</v>
      </c>
      <c r="X1302" s="206"/>
    </row>
    <row r="1303" spans="2:24" ht="17.7" customHeight="1" x14ac:dyDescent="0.25">
      <c r="B1303" s="39" t="s">
        <v>26</v>
      </c>
      <c r="C1303" s="39" t="s">
        <v>26</v>
      </c>
      <c r="D1303" s="20" t="s">
        <v>400</v>
      </c>
      <c r="E1303" s="112" t="s">
        <v>38</v>
      </c>
      <c r="F1303" s="2" t="s">
        <v>440</v>
      </c>
      <c r="G1303" s="13" t="s">
        <v>401</v>
      </c>
      <c r="H1303" s="59" t="str">
        <f>Table1[[#This Row],[Tabela]]&amp;Table1[[#This Row],[Campo]]</f>
        <v>lt005_instr_entinstrmnt_id</v>
      </c>
      <c r="I1303" s="2" t="s">
        <v>614</v>
      </c>
      <c r="J1303" s="45">
        <f>VLOOKUP(Table1[[#This Row],[Status]],Auxiliar!$B$16:$C$24,2,0)</f>
        <v>1</v>
      </c>
      <c r="K1303" s="21" t="s">
        <v>1257</v>
      </c>
      <c r="L1303" s="46" t="s">
        <v>1258</v>
      </c>
      <c r="M1303" s="21" t="s">
        <v>1259</v>
      </c>
      <c r="N1303" s="48">
        <v>45510</v>
      </c>
      <c r="O1303" s="113">
        <v>0.1</v>
      </c>
      <c r="P1303" s="2"/>
      <c r="Q1303" s="206"/>
      <c r="R1303" s="152"/>
      <c r="S1303" s="152"/>
      <c r="T1303" s="152"/>
      <c r="U1303" s="152"/>
      <c r="V1303" s="152"/>
      <c r="W1303" s="2">
        <f>VLOOKUP(Table1[[#This Row],[Status]],Auxiliar!$B$16:$D$24,3,0)*Table1[[#This Row],[Estimação (horas)]]</f>
        <v>0.1</v>
      </c>
      <c r="X1303" s="206"/>
    </row>
    <row r="1304" spans="2:24" ht="17.7" customHeight="1" x14ac:dyDescent="0.25">
      <c r="B1304" s="39" t="s">
        <v>26</v>
      </c>
      <c r="C1304" s="39" t="s">
        <v>26</v>
      </c>
      <c r="D1304" s="20" t="s">
        <v>400</v>
      </c>
      <c r="E1304" s="112" t="s">
        <v>38</v>
      </c>
      <c r="F1304" s="2" t="s">
        <v>440</v>
      </c>
      <c r="G1304" s="13" t="s">
        <v>417</v>
      </c>
      <c r="H1304" s="59" t="str">
        <f>Table1[[#This Row],[Tabela]]&amp;Table1[[#This Row],[Campo]]</f>
        <v>lt005_instr_entcod_soc</v>
      </c>
      <c r="I1304" s="2" t="s">
        <v>614</v>
      </c>
      <c r="J1304" s="45">
        <f>VLOOKUP(Table1[[#This Row],[Status]],Auxiliar!$B$16:$C$24,2,0)</f>
        <v>1</v>
      </c>
      <c r="K1304" s="21" t="s">
        <v>1257</v>
      </c>
      <c r="L1304" s="46" t="s">
        <v>1258</v>
      </c>
      <c r="M1304" s="21" t="s">
        <v>1259</v>
      </c>
      <c r="N1304" s="48">
        <v>45510</v>
      </c>
      <c r="O1304" s="113">
        <v>0.1</v>
      </c>
      <c r="P1304" s="2"/>
      <c r="Q1304" s="206"/>
      <c r="R1304" s="152"/>
      <c r="S1304" s="152"/>
      <c r="T1304" s="152"/>
      <c r="U1304" s="152"/>
      <c r="V1304" s="152"/>
      <c r="W1304" s="2">
        <f>VLOOKUP(Table1[[#This Row],[Status]],Auxiliar!$B$16:$D$24,3,0)*Table1[[#This Row],[Estimação (horas)]]</f>
        <v>0.1</v>
      </c>
      <c r="X1304" s="206"/>
    </row>
    <row r="1305" spans="2:24" ht="17.7" customHeight="1" x14ac:dyDescent="0.25">
      <c r="B1305" s="39" t="s">
        <v>26</v>
      </c>
      <c r="C1305" s="39" t="s">
        <v>26</v>
      </c>
      <c r="D1305" s="20" t="s">
        <v>400</v>
      </c>
      <c r="E1305" s="112" t="s">
        <v>38</v>
      </c>
      <c r="F1305" s="2" t="s">
        <v>440</v>
      </c>
      <c r="G1305" s="13" t="s">
        <v>441</v>
      </c>
      <c r="H1305" s="59" t="str">
        <f>Table1[[#This Row],[Tabela]]&amp;Table1[[#This Row],[Campo]]</f>
        <v>lt005_instr_entmn_entty_id</v>
      </c>
      <c r="I1305" s="2" t="s">
        <v>614</v>
      </c>
      <c r="J1305" s="45">
        <f>VLOOKUP(Table1[[#This Row],[Status]],Auxiliar!$B$16:$C$24,2,0)</f>
        <v>1</v>
      </c>
      <c r="K1305" s="21" t="s">
        <v>1257</v>
      </c>
      <c r="L1305" s="46" t="s">
        <v>1258</v>
      </c>
      <c r="M1305" s="21" t="s">
        <v>1259</v>
      </c>
      <c r="N1305" s="48">
        <v>45510</v>
      </c>
      <c r="O1305" s="113">
        <v>0.1</v>
      </c>
      <c r="P1305" s="2"/>
      <c r="Q1305" s="206"/>
      <c r="R1305" s="152"/>
      <c r="S1305" s="152"/>
      <c r="T1305" s="152"/>
      <c r="U1305" s="152"/>
      <c r="V1305" s="152"/>
      <c r="W1305" s="2">
        <f>VLOOKUP(Table1[[#This Row],[Status]],Auxiliar!$B$16:$D$24,3,0)*Table1[[#This Row],[Estimação (horas)]]</f>
        <v>0.1</v>
      </c>
      <c r="X1305" s="206"/>
    </row>
    <row r="1306" spans="2:24" ht="17.7" customHeight="1" x14ac:dyDescent="0.25">
      <c r="B1306" s="39" t="s">
        <v>26</v>
      </c>
      <c r="C1306" s="39" t="s">
        <v>26</v>
      </c>
      <c r="D1306" s="20" t="s">
        <v>400</v>
      </c>
      <c r="E1306" s="112" t="s">
        <v>38</v>
      </c>
      <c r="F1306" s="2" t="s">
        <v>442</v>
      </c>
      <c r="G1306" s="13" t="s">
        <v>399</v>
      </c>
      <c r="H1306" s="59" t="str">
        <f>Table1[[#This Row],[Tabela]]&amp;Table1[[#This Row],[Campo]]</f>
        <v>lt006_instr_protdt_rfrnc</v>
      </c>
      <c r="I1306" s="2" t="s">
        <v>614</v>
      </c>
      <c r="J1306" s="45">
        <f>VLOOKUP(Table1[[#This Row],[Status]],Auxiliar!$B$16:$C$24,2,0)</f>
        <v>1</v>
      </c>
      <c r="K1306" s="21" t="s">
        <v>1257</v>
      </c>
      <c r="L1306" s="46" t="s">
        <v>1258</v>
      </c>
      <c r="M1306" s="21" t="s">
        <v>1259</v>
      </c>
      <c r="N1306" s="48">
        <v>45509</v>
      </c>
      <c r="O1306" s="113">
        <v>0.1</v>
      </c>
      <c r="P1306" s="2"/>
      <c r="Q1306" s="206"/>
      <c r="R1306" s="152"/>
      <c r="S1306" s="152"/>
      <c r="T1306" s="152"/>
      <c r="U1306" s="152"/>
      <c r="V1306" s="152"/>
      <c r="W1306" s="2">
        <f>VLOOKUP(Table1[[#This Row],[Status]],Auxiliar!$B$16:$D$24,3,0)*Table1[[#This Row],[Estimação (horas)]]</f>
        <v>0.1</v>
      </c>
      <c r="X1306" s="206"/>
    </row>
    <row r="1307" spans="2:24" ht="17.7" customHeight="1" x14ac:dyDescent="0.25">
      <c r="B1307" s="39" t="s">
        <v>26</v>
      </c>
      <c r="C1307" s="39" t="s">
        <v>26</v>
      </c>
      <c r="D1307" s="20" t="s">
        <v>400</v>
      </c>
      <c r="E1307" s="112" t="s">
        <v>38</v>
      </c>
      <c r="F1307" s="2" t="s">
        <v>442</v>
      </c>
      <c r="G1307" s="13" t="s">
        <v>401</v>
      </c>
      <c r="H1307" s="59" t="str">
        <f>Table1[[#This Row],[Tabela]]&amp;Table1[[#This Row],[Campo]]</f>
        <v>lt006_instr_protinstrmnt_id</v>
      </c>
      <c r="I1307" s="2" t="s">
        <v>614</v>
      </c>
      <c r="J1307" s="45">
        <f>VLOOKUP(Table1[[#This Row],[Status]],Auxiliar!$B$16:$C$24,2,0)</f>
        <v>1</v>
      </c>
      <c r="K1307" s="21" t="s">
        <v>1257</v>
      </c>
      <c r="L1307" s="46" t="s">
        <v>1258</v>
      </c>
      <c r="M1307" s="21" t="s">
        <v>1259</v>
      </c>
      <c r="N1307" s="48">
        <v>45509</v>
      </c>
      <c r="O1307" s="113">
        <v>0.1</v>
      </c>
      <c r="P1307" s="2"/>
      <c r="Q1307" s="206"/>
      <c r="R1307" s="152"/>
      <c r="S1307" s="152"/>
      <c r="T1307" s="152"/>
      <c r="U1307" s="152"/>
      <c r="V1307" s="152"/>
      <c r="W1307" s="2">
        <f>VLOOKUP(Table1[[#This Row],[Status]],Auxiliar!$B$16:$D$24,3,0)*Table1[[#This Row],[Estimação (horas)]]</f>
        <v>0.1</v>
      </c>
      <c r="X1307" s="206"/>
    </row>
    <row r="1308" spans="2:24" ht="17.7" customHeight="1" x14ac:dyDescent="0.25">
      <c r="B1308" s="39" t="s">
        <v>26</v>
      </c>
      <c r="C1308" s="39" t="s">
        <v>26</v>
      </c>
      <c r="D1308" s="20" t="s">
        <v>400</v>
      </c>
      <c r="E1308" s="112" t="s">
        <v>38</v>
      </c>
      <c r="F1308" s="2" t="s">
        <v>442</v>
      </c>
      <c r="G1308" s="13" t="s">
        <v>434</v>
      </c>
      <c r="H1308" s="59" t="str">
        <f>Table1[[#This Row],[Tabela]]&amp;Table1[[#This Row],[Campo]]</f>
        <v>lt006_instr_protprtctn_id</v>
      </c>
      <c r="I1308" s="2" t="s">
        <v>614</v>
      </c>
      <c r="J1308" s="45">
        <f>VLOOKUP(Table1[[#This Row],[Status]],Auxiliar!$B$16:$C$24,2,0)</f>
        <v>1</v>
      </c>
      <c r="K1308" s="21" t="s">
        <v>1257</v>
      </c>
      <c r="L1308" s="46" t="s">
        <v>1258</v>
      </c>
      <c r="M1308" s="21" t="s">
        <v>1259</v>
      </c>
      <c r="N1308" s="48">
        <v>45509</v>
      </c>
      <c r="O1308" s="113">
        <v>0.1</v>
      </c>
      <c r="P1308" s="2"/>
      <c r="Q1308" s="206"/>
      <c r="R1308" s="152"/>
      <c r="S1308" s="152"/>
      <c r="T1308" s="152"/>
      <c r="U1308" s="152"/>
      <c r="V1308" s="152"/>
      <c r="W1308" s="2">
        <f>VLOOKUP(Table1[[#This Row],[Status]],Auxiliar!$B$16:$D$24,3,0)*Table1[[#This Row],[Estimação (horas)]]</f>
        <v>0.1</v>
      </c>
      <c r="X1308" s="206"/>
    </row>
    <row r="1309" spans="2:24" ht="17.7" customHeight="1" x14ac:dyDescent="0.25">
      <c r="B1309" s="39" t="s">
        <v>26</v>
      </c>
      <c r="C1309" s="39" t="s">
        <v>26</v>
      </c>
      <c r="D1309" s="20" t="s">
        <v>400</v>
      </c>
      <c r="E1309" s="112" t="s">
        <v>38</v>
      </c>
      <c r="F1309" s="2" t="s">
        <v>442</v>
      </c>
      <c r="G1309" s="13" t="s">
        <v>443</v>
      </c>
      <c r="H1309" s="59" t="str">
        <f>Table1[[#This Row],[Tabela]]&amp;Table1[[#This Row],[Campo]]</f>
        <v>lt006_instr_protprtctn_allctd_vl</v>
      </c>
      <c r="I1309" s="2" t="s">
        <v>614</v>
      </c>
      <c r="J1309" s="45">
        <f>VLOOKUP(Table1[[#This Row],[Status]],Auxiliar!$B$16:$C$24,2,0)</f>
        <v>1</v>
      </c>
      <c r="K1309" s="21" t="s">
        <v>1257</v>
      </c>
      <c r="L1309" s="46" t="s">
        <v>1258</v>
      </c>
      <c r="M1309" s="21" t="s">
        <v>1259</v>
      </c>
      <c r="N1309" s="48">
        <v>45509</v>
      </c>
      <c r="O1309" s="113">
        <v>0.1</v>
      </c>
      <c r="P1309" s="2"/>
      <c r="Q1309" s="206"/>
      <c r="R1309" s="152"/>
      <c r="S1309" s="152"/>
      <c r="T1309" s="152"/>
      <c r="U1309" s="152"/>
      <c r="V1309" s="152"/>
      <c r="W1309" s="2">
        <f>VLOOKUP(Table1[[#This Row],[Status]],Auxiliar!$B$16:$D$24,3,0)*Table1[[#This Row],[Estimação (horas)]]</f>
        <v>0.1</v>
      </c>
      <c r="X1309" s="206"/>
    </row>
    <row r="1310" spans="2:24" ht="17.7" customHeight="1" x14ac:dyDescent="0.25">
      <c r="B1310" s="39" t="s">
        <v>26</v>
      </c>
      <c r="C1310" s="39" t="s">
        <v>26</v>
      </c>
      <c r="D1310" s="20" t="s">
        <v>400</v>
      </c>
      <c r="E1310" s="112" t="s">
        <v>38</v>
      </c>
      <c r="F1310" s="32" t="s">
        <v>442</v>
      </c>
      <c r="G1310" s="20" t="s">
        <v>417</v>
      </c>
      <c r="H1310" s="59" t="str">
        <f>Table1[[#This Row],[Tabela]]&amp;Table1[[#This Row],[Campo]]</f>
        <v>lt006_instr_protcod_soc</v>
      </c>
      <c r="I1310" s="2" t="s">
        <v>614</v>
      </c>
      <c r="J1310" s="45">
        <f>VLOOKUP(Table1[[#This Row],[Status]],Auxiliar!$B$16:$C$24,2,0)</f>
        <v>1</v>
      </c>
      <c r="K1310" s="21" t="s">
        <v>1257</v>
      </c>
      <c r="L1310" s="46" t="s">
        <v>1258</v>
      </c>
      <c r="M1310" s="21" t="s">
        <v>1259</v>
      </c>
      <c r="N1310" s="48">
        <v>45509</v>
      </c>
      <c r="O1310" s="113">
        <v>0.1</v>
      </c>
      <c r="P1310" s="32"/>
      <c r="Q1310" s="206"/>
      <c r="R1310" s="152"/>
      <c r="S1310" s="152"/>
      <c r="T1310" s="152"/>
      <c r="U1310" s="152"/>
      <c r="V1310" s="152"/>
      <c r="W1310" s="2">
        <f>VLOOKUP(Table1[[#This Row],[Status]],Auxiliar!$B$16:$D$24,3,0)*Table1[[#This Row],[Estimação (horas)]]</f>
        <v>0.1</v>
      </c>
      <c r="X1310" s="206"/>
    </row>
    <row r="1311" spans="2:24" ht="17.7" customHeight="1" x14ac:dyDescent="0.25">
      <c r="B1311" s="13" t="s">
        <v>26</v>
      </c>
      <c r="C1311" s="13" t="s">
        <v>181</v>
      </c>
      <c r="D1311" s="13" t="s">
        <v>1302</v>
      </c>
      <c r="E1311" s="2" t="s">
        <v>38</v>
      </c>
      <c r="F1311" s="2" t="s">
        <v>219</v>
      </c>
      <c r="G1311" s="13" t="s">
        <v>221</v>
      </c>
      <c r="H1311" s="59" t="str">
        <f>Table1[[#This Row],[Tabela]]&amp;Table1[[#This Row],[Campo]]</f>
        <v>modesg_inp_emss_nacenome_regiao</v>
      </c>
      <c r="I1311" s="2" t="s">
        <v>613</v>
      </c>
      <c r="J1311" s="45">
        <f>VLOOKUP(Table1[[#This Row],[Status]],Auxiliar!$B$16:$C$24,2,0)</f>
        <v>0</v>
      </c>
      <c r="K1311" s="21" t="s">
        <v>1263</v>
      </c>
      <c r="L1311" s="21" t="s">
        <v>1270</v>
      </c>
      <c r="M1311" s="21" t="s">
        <v>1259</v>
      </c>
      <c r="N1311" s="48">
        <v>45501</v>
      </c>
      <c r="O1311" s="21">
        <f>INDEX(Auxiliar!$D$5:$F$13,MATCH(Table1[[#This Row],[Tipologia_Testes]],Auxiliar!$B$5:$B$13,0),MATCH(Table1[[#This Row],[Complexidade]],Auxiliar!$D$4:$F$4,0))</f>
        <v>0.5</v>
      </c>
      <c r="P1311" s="2"/>
      <c r="Q1311" s="206"/>
      <c r="R1311" s="152"/>
      <c r="S1311" s="152"/>
      <c r="T1311" s="152"/>
      <c r="U1311" s="152"/>
      <c r="V1311" s="152"/>
      <c r="W1311" s="2">
        <f>VLOOKUP(Table1[[#This Row],[Status]],Auxiliar!$B$16:$D$24,3,0)*Table1[[#This Row],[Estimação (horas)]]</f>
        <v>0</v>
      </c>
      <c r="X1311" s="206"/>
    </row>
    <row r="1312" spans="2:24" ht="17.7" customHeight="1" x14ac:dyDescent="0.25">
      <c r="B1312" s="13" t="s">
        <v>26</v>
      </c>
      <c r="C1312" s="13" t="s">
        <v>181</v>
      </c>
      <c r="D1312" s="13" t="s">
        <v>1302</v>
      </c>
      <c r="E1312" s="2" t="s">
        <v>38</v>
      </c>
      <c r="F1312" s="2" t="s">
        <v>219</v>
      </c>
      <c r="G1312" s="13" t="s">
        <v>665</v>
      </c>
      <c r="H1312" s="59" t="str">
        <f>Table1[[#This Row],[Tabela]]&amp;Table1[[#This Row],[Campo]]</f>
        <v>modesg_inp_emss_nacearea_atividade</v>
      </c>
      <c r="I1312" s="2" t="s">
        <v>613</v>
      </c>
      <c r="J1312" s="45">
        <f>VLOOKUP(Table1[[#This Row],[Status]],Auxiliar!$B$16:$C$24,2,0)</f>
        <v>0</v>
      </c>
      <c r="K1312" s="21" t="s">
        <v>1263</v>
      </c>
      <c r="L1312" s="21" t="s">
        <v>1270</v>
      </c>
      <c r="M1312" s="21" t="s">
        <v>1259</v>
      </c>
      <c r="N1312" s="48">
        <v>45501</v>
      </c>
      <c r="O1312" s="21">
        <f>INDEX(Auxiliar!$D$5:$F$13,MATCH(Table1[[#This Row],[Tipologia_Testes]],Auxiliar!$B$5:$B$13,0),MATCH(Table1[[#This Row],[Complexidade]],Auxiliar!$D$4:$F$4,0))</f>
        <v>0.5</v>
      </c>
      <c r="P1312" s="2"/>
      <c r="Q1312" s="206"/>
      <c r="R1312" s="152"/>
      <c r="S1312" s="152"/>
      <c r="T1312" s="152"/>
      <c r="U1312" s="152"/>
      <c r="V1312" s="152"/>
      <c r="W1312" s="2">
        <f>VLOOKUP(Table1[[#This Row],[Status]],Auxiliar!$B$16:$D$24,3,0)*Table1[[#This Row],[Estimação (horas)]]</f>
        <v>0</v>
      </c>
      <c r="X1312" s="206"/>
    </row>
    <row r="1313" spans="2:24" ht="17.7" customHeight="1" x14ac:dyDescent="0.25">
      <c r="B1313" s="13" t="s">
        <v>26</v>
      </c>
      <c r="C1313" s="13" t="s">
        <v>181</v>
      </c>
      <c r="D1313" s="13" t="s">
        <v>1302</v>
      </c>
      <c r="E1313" s="2" t="s">
        <v>38</v>
      </c>
      <c r="F1313" s="2" t="s">
        <v>219</v>
      </c>
      <c r="G1313" s="13" t="s">
        <v>666</v>
      </c>
      <c r="H1313" s="59" t="str">
        <f>Table1[[#This Row],[Tabela]]&amp;Table1[[#This Row],[Campo]]</f>
        <v>modesg_inp_emss_nacetipo_atividade</v>
      </c>
      <c r="I1313" s="2" t="s">
        <v>613</v>
      </c>
      <c r="J1313" s="45">
        <f>VLOOKUP(Table1[[#This Row],[Status]],Auxiliar!$B$16:$C$24,2,0)</f>
        <v>0</v>
      </c>
      <c r="K1313" s="21" t="s">
        <v>1263</v>
      </c>
      <c r="L1313" s="21" t="s">
        <v>1270</v>
      </c>
      <c r="M1313" s="21" t="s">
        <v>1259</v>
      </c>
      <c r="N1313" s="48">
        <v>45501</v>
      </c>
      <c r="O1313" s="21">
        <f>INDEX(Auxiliar!$D$5:$F$13,MATCH(Table1[[#This Row],[Tipologia_Testes]],Auxiliar!$B$5:$B$13,0),MATCH(Table1[[#This Row],[Complexidade]],Auxiliar!$D$4:$F$4,0))</f>
        <v>0.5</v>
      </c>
      <c r="P1313" s="2"/>
      <c r="Q1313" s="206"/>
      <c r="R1313" s="152"/>
      <c r="S1313" s="152"/>
      <c r="T1313" s="152"/>
      <c r="U1313" s="152"/>
      <c r="V1313" s="152"/>
      <c r="W1313" s="2">
        <f>VLOOKUP(Table1[[#This Row],[Status]],Auxiliar!$B$16:$D$24,3,0)*Table1[[#This Row],[Estimação (horas)]]</f>
        <v>0</v>
      </c>
      <c r="X1313" s="206"/>
    </row>
    <row r="1314" spans="2:24" ht="17.7" customHeight="1" x14ac:dyDescent="0.25">
      <c r="B1314" s="13" t="s">
        <v>26</v>
      </c>
      <c r="C1314" s="13" t="s">
        <v>181</v>
      </c>
      <c r="D1314" s="13" t="s">
        <v>1302</v>
      </c>
      <c r="E1314" s="2" t="s">
        <v>38</v>
      </c>
      <c r="F1314" s="2" t="s">
        <v>219</v>
      </c>
      <c r="G1314" s="13" t="s">
        <v>667</v>
      </c>
      <c r="H1314" s="59" t="str">
        <f>Table1[[#This Row],[Tabela]]&amp;Table1[[#This Row],[Campo]]</f>
        <v>modesg_inp_emss_nacesub_tipo_atividade_1</v>
      </c>
      <c r="I1314" s="2" t="s">
        <v>613</v>
      </c>
      <c r="J1314" s="45">
        <f>VLOOKUP(Table1[[#This Row],[Status]],Auxiliar!$B$16:$C$24,2,0)</f>
        <v>0</v>
      </c>
      <c r="K1314" s="21" t="s">
        <v>1263</v>
      </c>
      <c r="L1314" s="21" t="s">
        <v>1270</v>
      </c>
      <c r="M1314" s="21" t="s">
        <v>1259</v>
      </c>
      <c r="N1314" s="48">
        <v>45501</v>
      </c>
      <c r="O1314" s="21">
        <f>INDEX(Auxiliar!$D$5:$F$13,MATCH(Table1[[#This Row],[Tipologia_Testes]],Auxiliar!$B$5:$B$13,0),MATCH(Table1[[#This Row],[Complexidade]],Auxiliar!$D$4:$F$4,0))</f>
        <v>0.5</v>
      </c>
      <c r="P1314" s="2"/>
      <c r="Q1314" s="206"/>
      <c r="R1314" s="152"/>
      <c r="S1314" s="152"/>
      <c r="T1314" s="152"/>
      <c r="U1314" s="152"/>
      <c r="V1314" s="152"/>
      <c r="W1314" s="2">
        <f>VLOOKUP(Table1[[#This Row],[Status]],Auxiliar!$B$16:$D$24,3,0)*Table1[[#This Row],[Estimação (horas)]]</f>
        <v>0</v>
      </c>
      <c r="X1314" s="206"/>
    </row>
    <row r="1315" spans="2:24" ht="17.7" customHeight="1" x14ac:dyDescent="0.25">
      <c r="B1315" s="13" t="s">
        <v>26</v>
      </c>
      <c r="C1315" s="13" t="s">
        <v>181</v>
      </c>
      <c r="D1315" s="13" t="s">
        <v>1302</v>
      </c>
      <c r="E1315" s="2" t="s">
        <v>38</v>
      </c>
      <c r="F1315" s="2" t="s">
        <v>219</v>
      </c>
      <c r="G1315" s="13" t="s">
        <v>668</v>
      </c>
      <c r="H1315" s="59" t="str">
        <f>Table1[[#This Row],[Tabela]]&amp;Table1[[#This Row],[Campo]]</f>
        <v>modesg_inp_emss_nacesub_tipo_atividade_2</v>
      </c>
      <c r="I1315" s="2" t="s">
        <v>613</v>
      </c>
      <c r="J1315" s="45">
        <f>VLOOKUP(Table1[[#This Row],[Status]],Auxiliar!$B$16:$C$24,2,0)</f>
        <v>0</v>
      </c>
      <c r="K1315" s="21" t="s">
        <v>1263</v>
      </c>
      <c r="L1315" s="21" t="s">
        <v>1270</v>
      </c>
      <c r="M1315" s="21" t="s">
        <v>1259</v>
      </c>
      <c r="N1315" s="48">
        <v>45501</v>
      </c>
      <c r="O1315" s="21">
        <f>INDEX(Auxiliar!$D$5:$F$13,MATCH(Table1[[#This Row],[Tipologia_Testes]],Auxiliar!$B$5:$B$13,0),MATCH(Table1[[#This Row],[Complexidade]],Auxiliar!$D$4:$F$4,0))</f>
        <v>0.5</v>
      </c>
      <c r="P1315" s="2"/>
      <c r="Q1315" s="206"/>
      <c r="R1315" s="152"/>
      <c r="S1315" s="152"/>
      <c r="T1315" s="152"/>
      <c r="U1315" s="152"/>
      <c r="V1315" s="152"/>
      <c r="W1315" s="2">
        <f>VLOOKUP(Table1[[#This Row],[Status]],Auxiliar!$B$16:$D$24,3,0)*Table1[[#This Row],[Estimação (horas)]]</f>
        <v>0</v>
      </c>
      <c r="X1315" s="206"/>
    </row>
    <row r="1316" spans="2:24" ht="17.7" customHeight="1" x14ac:dyDescent="0.25">
      <c r="B1316" s="13" t="s">
        <v>26</v>
      </c>
      <c r="C1316" s="13" t="s">
        <v>181</v>
      </c>
      <c r="D1316" s="13" t="s">
        <v>1302</v>
      </c>
      <c r="E1316" s="2" t="s">
        <v>38</v>
      </c>
      <c r="F1316" s="2" t="s">
        <v>219</v>
      </c>
      <c r="G1316" s="13" t="s">
        <v>669</v>
      </c>
      <c r="H1316" s="59" t="str">
        <f>Table1[[#This Row],[Tabela]]&amp;Table1[[#This Row],[Campo]]</f>
        <v>modesg_inp_emss_naceunidades_unidade_funcional</v>
      </c>
      <c r="I1316" s="2" t="s">
        <v>613</v>
      </c>
      <c r="J1316" s="45">
        <f>VLOOKUP(Table1[[#This Row],[Status]],Auxiliar!$B$16:$C$24,2,0)</f>
        <v>0</v>
      </c>
      <c r="K1316" s="21" t="s">
        <v>1263</v>
      </c>
      <c r="L1316" s="21" t="s">
        <v>1270</v>
      </c>
      <c r="M1316" s="21" t="s">
        <v>1259</v>
      </c>
      <c r="N1316" s="48">
        <v>45501</v>
      </c>
      <c r="O1316" s="21">
        <f>INDEX(Auxiliar!$D$5:$F$13,MATCH(Table1[[#This Row],[Tipologia_Testes]],Auxiliar!$B$5:$B$13,0),MATCH(Table1[[#This Row],[Complexidade]],Auxiliar!$D$4:$F$4,0))</f>
        <v>0.5</v>
      </c>
      <c r="P1316" s="2"/>
      <c r="Q1316" s="206"/>
      <c r="R1316" s="152"/>
      <c r="S1316" s="152"/>
      <c r="T1316" s="152"/>
      <c r="U1316" s="152"/>
      <c r="V1316" s="152"/>
      <c r="W1316" s="2">
        <f>VLOOKUP(Table1[[#This Row],[Status]],Auxiliar!$B$16:$D$24,3,0)*Table1[[#This Row],[Estimação (horas)]]</f>
        <v>0</v>
      </c>
      <c r="X1316" s="206"/>
    </row>
    <row r="1317" spans="2:24" ht="17.7" customHeight="1" x14ac:dyDescent="0.25">
      <c r="B1317" s="13" t="s">
        <v>26</v>
      </c>
      <c r="C1317" s="13" t="s">
        <v>181</v>
      </c>
      <c r="D1317" s="13" t="s">
        <v>1302</v>
      </c>
      <c r="E1317" s="2" t="s">
        <v>38</v>
      </c>
      <c r="F1317" s="2" t="s">
        <v>219</v>
      </c>
      <c r="G1317" s="13" t="s">
        <v>670</v>
      </c>
      <c r="H1317" s="59" t="str">
        <f>Table1[[#This Row],[Tabela]]&amp;Table1[[#This Row],[Campo]]</f>
        <v>modesg_inp_emss_nacefator_emissao</v>
      </c>
      <c r="I1317" s="2" t="s">
        <v>613</v>
      </c>
      <c r="J1317" s="45">
        <f>VLOOKUP(Table1[[#This Row],[Status]],Auxiliar!$B$16:$C$24,2,0)</f>
        <v>0</v>
      </c>
      <c r="K1317" s="21" t="s">
        <v>1263</v>
      </c>
      <c r="L1317" s="21" t="s">
        <v>1270</v>
      </c>
      <c r="M1317" s="21" t="s">
        <v>1259</v>
      </c>
      <c r="N1317" s="48">
        <v>45501</v>
      </c>
      <c r="O1317" s="21">
        <f>INDEX(Auxiliar!$D$5:$F$13,MATCH(Table1[[#This Row],[Tipologia_Testes]],Auxiliar!$B$5:$B$13,0),MATCH(Table1[[#This Row],[Complexidade]],Auxiliar!$D$4:$F$4,0))</f>
        <v>0.5</v>
      </c>
      <c r="P1317" s="2"/>
      <c r="Q1317" s="206"/>
      <c r="R1317" s="152"/>
      <c r="S1317" s="152"/>
      <c r="T1317" s="152"/>
      <c r="U1317" s="152"/>
      <c r="V1317" s="152"/>
      <c r="W1317" s="2">
        <f>VLOOKUP(Table1[[#This Row],[Status]],Auxiliar!$B$16:$D$24,3,0)*Table1[[#This Row],[Estimação (horas)]]</f>
        <v>0</v>
      </c>
      <c r="X1317" s="206"/>
    </row>
    <row r="1318" spans="2:24" ht="17.7" customHeight="1" x14ac:dyDescent="0.25">
      <c r="B1318" s="13" t="s">
        <v>26</v>
      </c>
      <c r="C1318" s="13" t="s">
        <v>181</v>
      </c>
      <c r="D1318" s="13" t="s">
        <v>1302</v>
      </c>
      <c r="E1318" s="2" t="s">
        <v>38</v>
      </c>
      <c r="F1318" s="2" t="s">
        <v>214</v>
      </c>
      <c r="G1318" s="13" t="s">
        <v>671</v>
      </c>
      <c r="H1318" s="59" t="str">
        <f>Table1[[#This Row],[Tabela]]&amp;Table1[[#This Row],[Campo]]</f>
        <v>modesg_inp_km_medios_emss_vclsmedia_scp1_emss</v>
      </c>
      <c r="I1318" s="2" t="s">
        <v>613</v>
      </c>
      <c r="J1318" s="45">
        <f>VLOOKUP(Table1[[#This Row],[Status]],Auxiliar!$B$16:$C$24,2,0)</f>
        <v>0</v>
      </c>
      <c r="K1318" s="21" t="s">
        <v>1263</v>
      </c>
      <c r="L1318" s="21" t="s">
        <v>1270</v>
      </c>
      <c r="M1318" s="21" t="s">
        <v>1259</v>
      </c>
      <c r="N1318" s="48">
        <v>45491</v>
      </c>
      <c r="O1318" s="21">
        <f>INDEX(Auxiliar!$D$5:$F$13,MATCH(Table1[[#This Row],[Tipologia_Testes]],Auxiliar!$B$5:$B$13,0),MATCH(Table1[[#This Row],[Complexidade]],Auxiliar!$D$4:$F$4,0))</f>
        <v>0.5</v>
      </c>
      <c r="P1318" s="2"/>
      <c r="Q1318" s="206"/>
      <c r="R1318" s="152"/>
      <c r="S1318" s="152"/>
      <c r="T1318" s="152"/>
      <c r="U1318" s="152"/>
      <c r="V1318" s="152"/>
      <c r="W1318" s="2">
        <f>VLOOKUP(Table1[[#This Row],[Status]],Auxiliar!$B$16:$D$24,3,0)*Table1[[#This Row],[Estimação (horas)]]</f>
        <v>0</v>
      </c>
      <c r="X1318" s="206"/>
    </row>
    <row r="1319" spans="2:24" ht="17.7" customHeight="1" x14ac:dyDescent="0.25">
      <c r="B1319" s="13" t="s">
        <v>26</v>
      </c>
      <c r="C1319" s="13" t="s">
        <v>181</v>
      </c>
      <c r="D1319" s="13" t="s">
        <v>1302</v>
      </c>
      <c r="E1319" s="2" t="s">
        <v>38</v>
      </c>
      <c r="F1319" s="2" t="s">
        <v>214</v>
      </c>
      <c r="G1319" s="13" t="s">
        <v>672</v>
      </c>
      <c r="H1319" s="59" t="str">
        <f>Table1[[#This Row],[Tabela]]&amp;Table1[[#This Row],[Campo]]</f>
        <v>modesg_inp_km_medios_emss_vclsmedia_scp2_emss</v>
      </c>
      <c r="I1319" s="2" t="s">
        <v>613</v>
      </c>
      <c r="J1319" s="45">
        <f>VLOOKUP(Table1[[#This Row],[Status]],Auxiliar!$B$16:$C$24,2,0)</f>
        <v>0</v>
      </c>
      <c r="K1319" s="21" t="s">
        <v>1263</v>
      </c>
      <c r="L1319" s="21" t="s">
        <v>1270</v>
      </c>
      <c r="M1319" s="21" t="s">
        <v>1259</v>
      </c>
      <c r="N1319" s="48">
        <v>45491</v>
      </c>
      <c r="O1319" s="21">
        <f>INDEX(Auxiliar!$D$5:$F$13,MATCH(Table1[[#This Row],[Tipologia_Testes]],Auxiliar!$B$5:$B$13,0),MATCH(Table1[[#This Row],[Complexidade]],Auxiliar!$D$4:$F$4,0))</f>
        <v>0.5</v>
      </c>
      <c r="P1319" s="2"/>
      <c r="Q1319" s="206"/>
      <c r="R1319" s="152"/>
      <c r="S1319" s="152"/>
      <c r="T1319" s="152"/>
      <c r="U1319" s="152"/>
      <c r="V1319" s="152"/>
      <c r="W1319" s="2">
        <f>VLOOKUP(Table1[[#This Row],[Status]],Auxiliar!$B$16:$D$24,3,0)*Table1[[#This Row],[Estimação (horas)]]</f>
        <v>0</v>
      </c>
      <c r="X1319" s="206"/>
    </row>
    <row r="1320" spans="2:24" ht="17.7" customHeight="1" x14ac:dyDescent="0.25">
      <c r="B1320" s="20" t="s">
        <v>26</v>
      </c>
      <c r="C1320" s="20" t="s">
        <v>181</v>
      </c>
      <c r="D1320" s="13" t="s">
        <v>1302</v>
      </c>
      <c r="E1320" s="2" t="s">
        <v>38</v>
      </c>
      <c r="F1320" s="32" t="s">
        <v>214</v>
      </c>
      <c r="G1320" s="20" t="s">
        <v>673</v>
      </c>
      <c r="H1320" s="59" t="str">
        <f>Table1[[#This Row],[Tabela]]&amp;Table1[[#This Row],[Campo]]</f>
        <v>modesg_inp_km_medios_emss_vclsmedia_scp3_emss</v>
      </c>
      <c r="I1320" s="2" t="s">
        <v>613</v>
      </c>
      <c r="J1320" s="45">
        <f>VLOOKUP(Table1[[#This Row],[Status]],Auxiliar!$B$16:$C$24,2,0)</f>
        <v>0</v>
      </c>
      <c r="K1320" s="21" t="s">
        <v>1263</v>
      </c>
      <c r="L1320" s="21" t="s">
        <v>1270</v>
      </c>
      <c r="M1320" s="21" t="s">
        <v>1259</v>
      </c>
      <c r="N1320" s="48">
        <v>45491</v>
      </c>
      <c r="O1320" s="21">
        <f>INDEX(Auxiliar!$D$5:$F$13,MATCH(Table1[[#This Row],[Tipologia_Testes]],Auxiliar!$B$5:$B$13,0),MATCH(Table1[[#This Row],[Complexidade]],Auxiliar!$D$4:$F$4,0))</f>
        <v>0.5</v>
      </c>
      <c r="P1320" s="2" t="s">
        <v>1272</v>
      </c>
      <c r="Q1320" s="206"/>
      <c r="R1320" s="152"/>
      <c r="S1320" s="152"/>
      <c r="T1320" s="152"/>
      <c r="U1320" s="152"/>
      <c r="V1320" s="152"/>
      <c r="W1320" s="2">
        <f>VLOOKUP(Table1[[#This Row],[Status]],Auxiliar!$B$16:$D$24,3,0)*Table1[[#This Row],[Estimação (horas)]]</f>
        <v>0</v>
      </c>
      <c r="X1320" s="206"/>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3" operator="containsText" id="{F0FC3167-D078-4732-B252-F6CF35A33118}">
            <xm:f>NOT(ISERROR(SEARCH(Auxiliar!$B$21,I127)))</xm:f>
            <xm:f>Auxiliar!$B$21</xm:f>
            <x14:dxf>
              <font>
                <b/>
                <i val="0"/>
                <color rgb="FFFFC000"/>
              </font>
              <fill>
                <patternFill>
                  <bgColor theme="9" tint="0.59996337778862885"/>
                </patternFill>
              </fill>
            </x14:dxf>
          </x14:cfRule>
          <x14:cfRule type="cellIs" priority="74" operator="equal" id="{0DF84132-7044-4342-A136-5BB25A806900}">
            <xm:f>Auxiliar!$B$24</xm:f>
            <x14:dxf>
              <font>
                <b/>
                <i val="0"/>
                <color theme="1"/>
              </font>
              <fill>
                <patternFill patternType="darkUp">
                  <bgColor theme="0"/>
                </patternFill>
              </fill>
            </x14:dxf>
          </x14:cfRule>
          <x14:cfRule type="cellIs" priority="75" operator="equal" id="{0AA668F3-08F2-48AD-824F-FDAAFE4C3390}">
            <xm:f>Auxiliar!$B$18</xm:f>
            <x14:dxf>
              <font>
                <b/>
                <i val="0"/>
                <color theme="0" tint="-0.499984740745262"/>
              </font>
              <fill>
                <patternFill>
                  <bgColor theme="0" tint="-4.9989318521683403E-2"/>
                </patternFill>
              </fill>
            </x14:dxf>
          </x14:cfRule>
          <x14:cfRule type="containsText" priority="76"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77"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78"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31" operator="containsText" id="{1D83B866-8DFB-450A-BFBC-E85879C9253E}">
            <xm:f>NOT(ISERROR(SEARCH(Auxiliar!$B$21,I326)))</xm:f>
            <xm:f>Auxiliar!$B$21</xm:f>
            <x14:dxf>
              <font>
                <b/>
                <i val="0"/>
                <color rgb="FFFFC000"/>
              </font>
              <fill>
                <patternFill>
                  <bgColor theme="9" tint="0.59996337778862885"/>
                </patternFill>
              </fill>
            </x14:dxf>
          </x14:cfRule>
          <x14:cfRule type="cellIs" priority="32" operator="equal" id="{356F31D5-23E1-4B48-9BDD-F757BA374EEE}">
            <xm:f>Auxiliar!$B$24</xm:f>
            <x14:dxf>
              <font>
                <b/>
                <i val="0"/>
                <color theme="1"/>
              </font>
              <fill>
                <patternFill patternType="darkUp">
                  <bgColor theme="0"/>
                </patternFill>
              </fill>
            </x14:dxf>
          </x14:cfRule>
          <x14:cfRule type="cellIs" priority="33" operator="equal" id="{C66DB5AA-50E6-4A95-8ACD-2CCCD804D521}">
            <xm:f>Auxiliar!$B$18</xm:f>
            <x14:dxf>
              <font>
                <b/>
                <i val="0"/>
                <color theme="0" tint="-0.499984740745262"/>
              </font>
              <fill>
                <patternFill>
                  <bgColor theme="0" tint="-4.9989318521683403E-2"/>
                </patternFill>
              </fill>
            </x14:dxf>
          </x14:cfRule>
          <x14:cfRule type="containsText" priority="34" operator="containsText" id="{DCCCC016-E5F0-47E2-8559-DD22C9B97F73}">
            <xm:f>NOT(ISERROR(SEARCH(Auxiliar!$B$22,I326)))</xm:f>
            <xm:f>Auxiliar!$B$22</xm:f>
            <x14:dxf>
              <font>
                <b/>
                <i val="0"/>
                <color rgb="FFC00000"/>
              </font>
              <fill>
                <patternFill>
                  <bgColor theme="4" tint="0.79998168889431442"/>
                </patternFill>
              </fill>
            </x14:dxf>
          </x14:cfRule>
          <x14:cfRule type="containsText" priority="35" operator="containsText" id="{1954AEED-8E91-4A00-87BE-BB9DDD885B2B}">
            <xm:f>NOT(ISERROR(SEARCH(Auxiliar!$B$19,I326)))</xm:f>
            <xm:f>Auxiliar!$B$19</xm:f>
            <x14:dxf>
              <font>
                <b/>
                <i val="0"/>
                <color theme="9" tint="-0.499984740745262"/>
              </font>
              <fill>
                <patternFill>
                  <bgColor theme="9" tint="0.79998168889431442"/>
                </patternFill>
              </fill>
            </x14:dxf>
          </x14:cfRule>
          <x14:cfRule type="containsText" priority="36" operator="containsText" id="{407EDFE9-CC34-4959-A275-92B963477BAE}">
            <xm:f>NOT(ISERROR(SEARCH(Auxiliar!$B$16,I326)))</xm:f>
            <xm:f>Auxiliar!$B$16</xm:f>
            <x14:dxf>
              <font>
                <b/>
                <i val="0"/>
                <color theme="7"/>
              </font>
              <fill>
                <patternFill>
                  <bgColor theme="7" tint="0.79998168889431442"/>
                </patternFill>
              </fill>
            </x14:dxf>
          </x14:cfRule>
          <xm:sqref>I326:I346</xm:sqref>
        </x14:conditionalFormatting>
        <x14:conditionalFormatting xmlns:xm="http://schemas.microsoft.com/office/excel/2006/main">
          <x14:cfRule type="containsText" priority="25" operator="containsText" id="{740F90F7-AB92-479A-85BF-13BAB76C3411}">
            <xm:f>NOT(ISERROR(SEARCH(Auxiliar!$B$21,I1014)))</xm:f>
            <xm:f>Auxiliar!$B$21</xm:f>
            <x14:dxf>
              <font>
                <b/>
                <i val="0"/>
                <color rgb="FFFFC000"/>
              </font>
              <fill>
                <patternFill>
                  <bgColor theme="9" tint="0.59996337778862885"/>
                </patternFill>
              </fill>
            </x14:dxf>
          </x14:cfRule>
          <x14:cfRule type="cellIs" priority="26" operator="equal" id="{88AE8B12-357A-4B8A-9319-781057D8ABD6}">
            <xm:f>Auxiliar!$B$24</xm:f>
            <x14:dxf>
              <font>
                <b/>
                <i val="0"/>
                <color theme="1"/>
              </font>
              <fill>
                <patternFill patternType="darkUp">
                  <bgColor theme="0"/>
                </patternFill>
              </fill>
            </x14:dxf>
          </x14:cfRule>
          <x14:cfRule type="cellIs" priority="27" operator="equal" id="{BC303029-A698-4297-8685-4F827375138C}">
            <xm:f>Auxiliar!$B$18</xm:f>
            <x14:dxf>
              <font>
                <b/>
                <i val="0"/>
                <color theme="0" tint="-0.499984740745262"/>
              </font>
              <fill>
                <patternFill>
                  <bgColor theme="0" tint="-4.9989318521683403E-2"/>
                </patternFill>
              </fill>
            </x14:dxf>
          </x14:cfRule>
          <x14:cfRule type="containsText" priority="28" operator="containsText" id="{2BADB501-C230-4648-AC9D-1AC0A7F13148}">
            <xm:f>NOT(ISERROR(SEARCH(Auxiliar!$B$22,I1014)))</xm:f>
            <xm:f>Auxiliar!$B$22</xm:f>
            <x14:dxf>
              <font>
                <b/>
                <i val="0"/>
                <color rgb="FFC00000"/>
              </font>
              <fill>
                <patternFill>
                  <bgColor theme="4" tint="0.79998168889431442"/>
                </patternFill>
              </fill>
            </x14:dxf>
          </x14:cfRule>
          <x14:cfRule type="containsText" priority="29" operator="containsText" id="{AE4522B3-BC49-4A22-8071-DE4E78DD10CF}">
            <xm:f>NOT(ISERROR(SEARCH(Auxiliar!$B$19,I1014)))</xm:f>
            <xm:f>Auxiliar!$B$19</xm:f>
            <x14:dxf>
              <font>
                <b/>
                <i val="0"/>
                <color theme="9" tint="-0.499984740745262"/>
              </font>
              <fill>
                <patternFill>
                  <bgColor theme="9" tint="0.79998168889431442"/>
                </patternFill>
              </fill>
            </x14:dxf>
          </x14:cfRule>
          <x14:cfRule type="containsText" priority="30" operator="containsText" id="{67559983-07F8-49CE-B5B7-452567C44002}">
            <xm:f>NOT(ISERROR(SEARCH(Auxiliar!$B$16,I1014)))</xm:f>
            <xm:f>Auxiliar!$B$16</xm:f>
            <x14:dxf>
              <font>
                <b/>
                <i val="0"/>
                <color theme="7"/>
              </font>
              <fill>
                <patternFill>
                  <bgColor theme="7" tint="0.79998168889431442"/>
                </patternFill>
              </fill>
            </x14:dxf>
          </x14:cfRule>
          <xm:sqref>I1014:I1073</xm:sqref>
        </x14:conditionalFormatting>
        <x14:conditionalFormatting xmlns:xm="http://schemas.microsoft.com/office/excel/2006/main">
          <x14:cfRule type="containsText" priority="7" operator="containsText" id="{F48B2BF5-6845-4309-99E8-30933C9EE615}">
            <xm:f>NOT(ISERROR(SEARCH(Auxiliar!$B$21,I1080)))</xm:f>
            <xm:f>Auxiliar!$B$21</xm:f>
            <x14:dxf>
              <font>
                <b/>
                <i val="0"/>
                <color rgb="FFFFC000"/>
              </font>
              <fill>
                <patternFill>
                  <bgColor theme="9" tint="0.59996337778862885"/>
                </patternFill>
              </fill>
            </x14:dxf>
          </x14:cfRule>
          <x14:cfRule type="cellIs" priority="8" operator="equal" id="{13D25AAA-9E27-4596-8161-C1D8B229FB78}">
            <xm:f>Auxiliar!$B$24</xm:f>
            <x14:dxf>
              <font>
                <b/>
                <i val="0"/>
                <color theme="1"/>
              </font>
              <fill>
                <patternFill patternType="darkUp">
                  <bgColor theme="0"/>
                </patternFill>
              </fill>
            </x14:dxf>
          </x14:cfRule>
          <x14:cfRule type="cellIs" priority="9" operator="equal" id="{22B4EADE-6286-4A66-8996-D7CA931879E6}">
            <xm:f>Auxiliar!$B$18</xm:f>
            <x14:dxf>
              <font>
                <b/>
                <i val="0"/>
                <color theme="0" tint="-0.499984740745262"/>
              </font>
              <fill>
                <patternFill>
                  <bgColor theme="0" tint="-4.9989318521683403E-2"/>
                </patternFill>
              </fill>
            </x14:dxf>
          </x14:cfRule>
          <x14:cfRule type="containsText" priority="10" operator="containsText" id="{C2F100D2-230C-4775-95E5-1B756C722026}">
            <xm:f>NOT(ISERROR(SEARCH(Auxiliar!$B$22,I1080)))</xm:f>
            <xm:f>Auxiliar!$B$22</xm:f>
            <x14:dxf>
              <font>
                <b/>
                <i val="0"/>
                <color rgb="FFC00000"/>
              </font>
              <fill>
                <patternFill>
                  <bgColor theme="4" tint="0.79998168889431442"/>
                </patternFill>
              </fill>
            </x14:dxf>
          </x14:cfRule>
          <x14:cfRule type="containsText" priority="11" operator="containsText" id="{89B66DB3-A772-4893-9D67-D65B5194EBAD}">
            <xm:f>NOT(ISERROR(SEARCH(Auxiliar!$B$19,I1080)))</xm:f>
            <xm:f>Auxiliar!$B$19</xm:f>
            <x14:dxf>
              <font>
                <b/>
                <i val="0"/>
                <color theme="9" tint="-0.499984740745262"/>
              </font>
              <fill>
                <patternFill>
                  <bgColor theme="9" tint="0.79998168889431442"/>
                </patternFill>
              </fill>
            </x14:dxf>
          </x14:cfRule>
          <x14:cfRule type="containsText" priority="12" operator="containsText" id="{5D1F0C29-4DCB-4FAB-A3CE-17A3E4B54DB4}">
            <xm:f>NOT(ISERROR(SEARCH(Auxiliar!$B$16,I1080)))</xm:f>
            <xm:f>Auxiliar!$B$16</xm:f>
            <x14:dxf>
              <font>
                <b/>
                <i val="0"/>
                <color theme="7"/>
              </font>
              <fill>
                <patternFill>
                  <bgColor theme="7" tint="0.79998168889431442"/>
                </patternFill>
              </fill>
            </x14:dxf>
          </x14:cfRule>
          <xm:sqref>I1080:I1145</xm:sqref>
        </x14:conditionalFormatting>
        <x14:conditionalFormatting xmlns:xm="http://schemas.microsoft.com/office/excel/2006/main">
          <x14:cfRule type="containsText" priority="1" operator="containsText" id="{5ED364A6-7788-43B4-ABBB-E3185B87783C}">
            <xm:f>NOT(ISERROR(SEARCH(Auxiliar!$B$21,I1170)))</xm:f>
            <xm:f>Auxiliar!$B$21</xm:f>
            <x14:dxf>
              <font>
                <b/>
                <i val="0"/>
                <color rgb="FFFFC000"/>
              </font>
              <fill>
                <patternFill>
                  <bgColor theme="9" tint="0.59996337778862885"/>
                </patternFill>
              </fill>
            </x14:dxf>
          </x14:cfRule>
          <x14:cfRule type="cellIs" priority="2" operator="equal" id="{CC216F48-AEAC-42B0-BAEF-B859E88448DD}">
            <xm:f>Auxiliar!$B$24</xm:f>
            <x14:dxf>
              <font>
                <b/>
                <i val="0"/>
                <color theme="1"/>
              </font>
              <fill>
                <patternFill patternType="darkUp">
                  <bgColor theme="0"/>
                </patternFill>
              </fill>
            </x14:dxf>
          </x14:cfRule>
          <x14:cfRule type="cellIs" priority="3" operator="equal" id="{23819E92-56C5-4D3E-B9E1-67FDD9E7882C}">
            <xm:f>Auxiliar!$B$18</xm:f>
            <x14:dxf>
              <font>
                <b/>
                <i val="0"/>
                <color theme="0" tint="-0.499984740745262"/>
              </font>
              <fill>
                <patternFill>
                  <bgColor theme="0" tint="-4.9989318521683403E-2"/>
                </patternFill>
              </fill>
            </x14:dxf>
          </x14:cfRule>
          <x14:cfRule type="containsText" priority="4" operator="containsText" id="{46386A8D-BAB7-4BFF-87C4-1363B0FA8A30}">
            <xm:f>NOT(ISERROR(SEARCH(Auxiliar!$B$22,I1170)))</xm:f>
            <xm:f>Auxiliar!$B$22</xm:f>
            <x14:dxf>
              <font>
                <b/>
                <i val="0"/>
                <color rgb="FFC00000"/>
              </font>
              <fill>
                <patternFill>
                  <bgColor theme="4" tint="0.79998168889431442"/>
                </patternFill>
              </fill>
            </x14:dxf>
          </x14:cfRule>
          <x14:cfRule type="containsText" priority="5" operator="containsText" id="{3EB3A01F-0710-4CE2-8684-0B52CD46D965}">
            <xm:f>NOT(ISERROR(SEARCH(Auxiliar!$B$19,I1170)))</xm:f>
            <xm:f>Auxiliar!$B$19</xm:f>
            <x14:dxf>
              <font>
                <b/>
                <i val="0"/>
                <color theme="9" tint="-0.499984740745262"/>
              </font>
              <fill>
                <patternFill>
                  <bgColor theme="9" tint="0.79998168889431442"/>
                </patternFill>
              </fill>
            </x14:dxf>
          </x14:cfRule>
          <x14:cfRule type="containsText" priority="6" operator="containsText" id="{9D69CC26-ED2C-4C88-8B01-1607714BDD42}">
            <xm:f>NOT(ISERROR(SEARCH(Auxiliar!$B$16,I1170)))</xm:f>
            <xm:f>Auxiliar!$B$16</xm:f>
            <x14:dxf>
              <font>
                <b/>
                <i val="0"/>
                <color theme="7"/>
              </font>
              <fill>
                <patternFill>
                  <bgColor theme="7" tint="0.79998168889431442"/>
                </patternFill>
              </fill>
            </x14:dxf>
          </x14:cfRule>
          <xm:sqref>I1170:I1181</xm:sqref>
        </x14:conditionalFormatting>
        <x14:conditionalFormatting xmlns:xm="http://schemas.microsoft.com/office/excel/2006/main">
          <x14:cfRule type="containsText" priority="607" operator="containsText" id="{A0E353A4-BC40-460B-BB47-B57EC0BDDA87}">
            <xm:f>NOT(ISERROR(SEARCH(Auxiliar!$B$21,I347)))</xm:f>
            <xm:f>Auxiliar!$B$21</xm:f>
            <x14:dxf>
              <font>
                <b/>
                <i val="0"/>
                <color rgb="FFFFC000"/>
              </font>
              <fill>
                <patternFill>
                  <bgColor theme="9" tint="0.59996337778862885"/>
                </patternFill>
              </fill>
            </x14:dxf>
          </x14:cfRule>
          <xm:sqref>I1185:I1229 I347:J1013 J1014:J1073 I1074:J1079 J1080:J1145 I1146:J1169 J1170:J1181 I1182:J1185 J1186:J1256 I1257:J1293 J1294:J1300 I1301:J1320</xm:sqref>
        </x14:conditionalFormatting>
        <x14:conditionalFormatting xmlns:xm="http://schemas.microsoft.com/office/excel/2006/main">
          <x14:cfRule type="containsText" priority="49" operator="containsText" id="{818B4E3F-A611-4A6A-A815-B804D1E3C747}">
            <xm:f>NOT(ISERROR(SEARCH(Auxiliar!$B$21,I1186)))</xm:f>
            <xm:f>Auxiliar!$B$21</xm:f>
            <x14:dxf>
              <font>
                <b/>
                <i val="0"/>
                <color rgb="FFFFC000"/>
              </font>
              <fill>
                <patternFill>
                  <bgColor theme="9" tint="0.59996337778862885"/>
                </patternFill>
              </fill>
            </x14:dxf>
          </x14:cfRule>
          <x14:cfRule type="cellIs" priority="50" operator="equal" id="{49F42230-2FF0-42CE-B047-38469DF4FF91}">
            <xm:f>Auxiliar!$B$24</xm:f>
            <x14:dxf>
              <font>
                <b/>
                <i val="0"/>
                <color theme="1"/>
              </font>
              <fill>
                <patternFill patternType="darkUp">
                  <bgColor theme="0"/>
                </patternFill>
              </fill>
            </x14:dxf>
          </x14:cfRule>
          <x14:cfRule type="cellIs" priority="51" operator="equal" id="{340814F4-4DC4-4851-925E-2EA110D79ECA}">
            <xm:f>Auxiliar!$B$18</xm:f>
            <x14:dxf>
              <font>
                <b/>
                <i val="0"/>
                <color theme="0" tint="-0.499984740745262"/>
              </font>
              <fill>
                <patternFill>
                  <bgColor theme="0" tint="-4.9989318521683403E-2"/>
                </patternFill>
              </fill>
            </x14:dxf>
          </x14:cfRule>
          <x14:cfRule type="containsText" priority="52" operator="containsText" id="{E28141F3-5A6E-41CE-B06F-37F11754FF33}">
            <xm:f>NOT(ISERROR(SEARCH(Auxiliar!$B$22,I1186)))</xm:f>
            <xm:f>Auxiliar!$B$22</xm:f>
            <x14:dxf>
              <font>
                <b/>
                <i val="0"/>
                <color rgb="FFC00000"/>
              </font>
              <fill>
                <patternFill>
                  <bgColor theme="4" tint="0.79998168889431442"/>
                </patternFill>
              </fill>
            </x14:dxf>
          </x14:cfRule>
          <x14:cfRule type="containsText" priority="53" operator="containsText" id="{FFEC3B97-FFCD-4F44-80C1-F8E1BE955C8F}">
            <xm:f>NOT(ISERROR(SEARCH(Auxiliar!$B$19,I1186)))</xm:f>
            <xm:f>Auxiliar!$B$19</xm:f>
            <x14:dxf>
              <font>
                <b/>
                <i val="0"/>
                <color theme="9" tint="-0.499984740745262"/>
              </font>
              <fill>
                <patternFill>
                  <bgColor theme="9" tint="0.79998168889431442"/>
                </patternFill>
              </fill>
            </x14:dxf>
          </x14:cfRule>
          <x14:cfRule type="containsText" priority="54" operator="containsText" id="{CD308544-9CE6-4FAC-9303-AD8028CE88C4}">
            <xm:f>NOT(ISERROR(SEARCH(Auxiliar!$B$16,I1186)))</xm:f>
            <xm:f>Auxiliar!$B$16</xm:f>
            <x14:dxf>
              <font>
                <b/>
                <i val="0"/>
                <color theme="7"/>
              </font>
              <fill>
                <patternFill>
                  <bgColor theme="7" tint="0.79998168889431442"/>
                </patternFill>
              </fill>
            </x14:dxf>
          </x14:cfRule>
          <xm:sqref>I1186:I1256</xm:sqref>
        </x14:conditionalFormatting>
        <x14:conditionalFormatting xmlns:xm="http://schemas.microsoft.com/office/excel/2006/main">
          <x14:cfRule type="containsText" priority="463" operator="containsText" id="{EA64DC1C-861B-48F8-9621-E598024B99B0}">
            <xm:f>NOT(ISERROR(SEARCH(Auxiliar!$B$21,I1294)))</xm:f>
            <xm:f>Auxiliar!$B$21</xm:f>
            <x14:dxf>
              <font>
                <b/>
                <i val="0"/>
                <color rgb="FFFFC000"/>
              </font>
              <fill>
                <patternFill>
                  <bgColor theme="9" tint="0.59996337778862885"/>
                </patternFill>
              </fill>
            </x14:dxf>
          </x14:cfRule>
          <x14:cfRule type="cellIs" priority="464" operator="equal" id="{839A85C4-8947-4392-8D52-FE7821AB5714}">
            <xm:f>Auxiliar!$B$24</xm:f>
            <x14:dxf>
              <font>
                <b/>
                <i val="0"/>
                <color theme="1"/>
              </font>
              <fill>
                <patternFill patternType="darkUp">
                  <bgColor theme="0"/>
                </patternFill>
              </fill>
            </x14:dxf>
          </x14:cfRule>
          <x14:cfRule type="cellIs" priority="465" operator="equal" id="{AFCEA854-203F-4E0E-9E0B-A825AA0A5D6E}">
            <xm:f>Auxiliar!$B$18</xm:f>
            <x14:dxf>
              <font>
                <b/>
                <i val="0"/>
                <color theme="0" tint="-0.499984740745262"/>
              </font>
              <fill>
                <patternFill>
                  <bgColor theme="0" tint="-4.9989318521683403E-2"/>
                </patternFill>
              </fill>
            </x14:dxf>
          </x14:cfRule>
          <x14:cfRule type="containsText" priority="466" operator="containsText" id="{91A68634-C2AA-4631-967D-73826B7DB8C2}">
            <xm:f>NOT(ISERROR(SEARCH(Auxiliar!$B$22,I1294)))</xm:f>
            <xm:f>Auxiliar!$B$22</xm:f>
            <x14:dxf>
              <font>
                <b/>
                <i val="0"/>
                <color rgb="FFC00000"/>
              </font>
              <fill>
                <patternFill>
                  <bgColor theme="4" tint="0.79998168889431442"/>
                </patternFill>
              </fill>
            </x14:dxf>
          </x14:cfRule>
          <x14:cfRule type="containsText" priority="467" operator="containsText" id="{4769B32D-E197-485A-BF69-332F4675605F}">
            <xm:f>NOT(ISERROR(SEARCH(Auxiliar!$B$19,I1294)))</xm:f>
            <xm:f>Auxiliar!$B$19</xm:f>
            <x14:dxf>
              <font>
                <b/>
                <i val="0"/>
                <color theme="9" tint="-0.499984740745262"/>
              </font>
              <fill>
                <patternFill>
                  <bgColor theme="9" tint="0.79998168889431442"/>
                </patternFill>
              </fill>
            </x14:dxf>
          </x14:cfRule>
          <x14:cfRule type="containsText" priority="468" operator="containsText" id="{04D6B225-779D-4593-8DEC-29BFE75B36C6}">
            <xm:f>NOT(ISERROR(SEARCH(Auxiliar!$B$16,I1294)))</xm:f>
            <xm:f>Auxiliar!$B$16</xm:f>
            <x14:dxf>
              <font>
                <b/>
                <i val="0"/>
                <color theme="7"/>
              </font>
              <fill>
                <patternFill>
                  <bgColor theme="7" tint="0.79998168889431442"/>
                </patternFill>
              </fill>
            </x14:dxf>
          </x14:cfRule>
          <xm:sqref>I1294:I1300</xm:sqref>
        </x14:conditionalFormatting>
        <x14:conditionalFormatting xmlns:xm="http://schemas.microsoft.com/office/excel/2006/main">
          <x14:cfRule type="containsText" priority="457" operator="containsText" id="{22EE3303-E871-4FDC-B876-3AC40B4BB29E}">
            <xm:f>NOT(ISERROR(SEARCH(Auxiliar!$B$21,I9)))</xm:f>
            <xm:f>Auxiliar!$B$21</xm:f>
            <x14:dxf>
              <font>
                <b/>
                <i val="0"/>
                <color rgb="FFFFC000"/>
              </font>
              <fill>
                <patternFill>
                  <bgColor theme="9" tint="0.59996337778862885"/>
                </patternFill>
              </fill>
            </x14:dxf>
          </x14:cfRule>
          <x14:cfRule type="cellIs" priority="458" operator="equal" id="{A75C795E-F66D-4DC2-A9AF-15BDCED7DA25}">
            <xm:f>Auxiliar!$B$24</xm:f>
            <x14:dxf>
              <font>
                <b/>
                <i val="0"/>
                <color theme="1"/>
              </font>
              <fill>
                <patternFill patternType="darkUp">
                  <bgColor theme="0"/>
                </patternFill>
              </fill>
            </x14:dxf>
          </x14:cfRule>
          <x14:cfRule type="cellIs" priority="459" operator="equal" id="{68C7A1CE-73C7-4D91-A2AC-1493C4E277DD}">
            <xm:f>Auxiliar!$B$18</xm:f>
            <x14:dxf>
              <font>
                <b/>
                <i val="0"/>
                <color theme="0" tint="-0.499984740745262"/>
              </font>
              <fill>
                <patternFill>
                  <bgColor theme="0" tint="-4.9989318521683403E-2"/>
                </patternFill>
              </fill>
            </x14:dxf>
          </x14:cfRule>
          <x14:cfRule type="containsText" priority="460" operator="containsText" id="{6A2CADA4-F650-4DEF-8995-04741341356E}">
            <xm:f>NOT(ISERROR(SEARCH(Auxiliar!$B$22,I9)))</xm:f>
            <xm:f>Auxiliar!$B$22</xm:f>
            <x14:dxf>
              <font>
                <b/>
                <i val="0"/>
                <color rgb="FFC00000"/>
              </font>
              <fill>
                <patternFill>
                  <bgColor theme="4" tint="0.79998168889431442"/>
                </patternFill>
              </fill>
            </x14:dxf>
          </x14:cfRule>
          <x14:cfRule type="containsText" priority="461"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462" operator="containsText" id="{4E533A52-7B9B-43BD-B042-872B81470415}">
            <xm:f>NOT(ISERROR(SEARCH(Auxiliar!$B$16,I9)))</xm:f>
            <xm:f>Auxiliar!$B$16</xm:f>
            <x14:dxf>
              <font>
                <b/>
                <i val="0"/>
                <color theme="7"/>
              </font>
              <fill>
                <patternFill>
                  <bgColor theme="7" tint="0.79998168889431442"/>
                </patternFill>
              </fill>
            </x14:dxf>
          </x14:cfRule>
          <xm:sqref>I9:J126</xm:sqref>
        </x14:conditionalFormatting>
        <x14:conditionalFormatting xmlns:xm="http://schemas.microsoft.com/office/excel/2006/main">
          <x14:cfRule type="containsText" priority="541" operator="containsText" id="{6928D489-0130-4A60-BE2B-1D9108B02454}">
            <xm:f>NOT(ISERROR(SEARCH(Auxiliar!$B$21,I130)))</xm:f>
            <xm:f>Auxiliar!$B$21</xm:f>
            <x14:dxf>
              <font>
                <b/>
                <i val="0"/>
                <color rgb="FFFFC000"/>
              </font>
              <fill>
                <patternFill>
                  <bgColor theme="9" tint="0.59996337778862885"/>
                </patternFill>
              </fill>
            </x14:dxf>
          </x14:cfRule>
          <x14:cfRule type="cellIs" priority="542" operator="equal" id="{E2F14AF0-878C-4184-86EE-1EC72D11FF82}">
            <xm:f>Auxiliar!$B$24</xm:f>
            <x14:dxf>
              <font>
                <b/>
                <i val="0"/>
                <color theme="1"/>
              </font>
              <fill>
                <patternFill patternType="darkUp">
                  <bgColor theme="0"/>
                </patternFill>
              </fill>
            </x14:dxf>
          </x14:cfRule>
          <x14:cfRule type="cellIs" priority="543" operator="equal" id="{662C2D77-73A6-422E-B043-D39190EAAFD3}">
            <xm:f>Auxiliar!$B$18</xm:f>
            <x14:dxf>
              <font>
                <b/>
                <i val="0"/>
                <color theme="0" tint="-0.499984740745262"/>
              </font>
              <fill>
                <patternFill>
                  <bgColor theme="0" tint="-4.9989318521683403E-2"/>
                </patternFill>
              </fill>
            </x14:dxf>
          </x14:cfRule>
          <x14:cfRule type="containsText" priority="544"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545"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546" operator="containsText" id="{E1F4ABAD-4246-42AD-B2CD-8E341D15C381}">
            <xm:f>NOT(ISERROR(SEARCH(Auxiliar!$B$16,I130)))</xm:f>
            <xm:f>Auxiliar!$B$16</xm:f>
            <x14:dxf>
              <font>
                <b/>
                <i val="0"/>
                <color theme="7"/>
              </font>
              <fill>
                <patternFill>
                  <bgColor theme="7" tint="0.79998168889431442"/>
                </patternFill>
              </fill>
            </x14:dxf>
          </x14:cfRule>
          <xm:sqref>I130:J325</xm:sqref>
        </x14:conditionalFormatting>
        <x14:conditionalFormatting xmlns:xm="http://schemas.microsoft.com/office/excel/2006/main">
          <x14:cfRule type="cellIs" priority="608" operator="equal" id="{461BEC2A-3AB6-4974-9160-0CC657CD83C0}">
            <xm:f>Auxiliar!$B$24</xm:f>
            <x14:dxf>
              <font>
                <b/>
                <i val="0"/>
                <color theme="1"/>
              </font>
              <fill>
                <patternFill patternType="darkUp">
                  <bgColor theme="0"/>
                </patternFill>
              </fill>
            </x14:dxf>
          </x14:cfRule>
          <x14:cfRule type="cellIs" priority="1075" operator="equal" id="{5CC18A3F-CC0C-4983-A19C-E91C49A3DB8A}">
            <xm:f>Auxiliar!$B$18</xm:f>
            <x14:dxf>
              <font>
                <b/>
                <i val="0"/>
                <color theme="0" tint="-0.499984740745262"/>
              </font>
              <fill>
                <patternFill>
                  <bgColor theme="0" tint="-4.9989318521683403E-2"/>
                </patternFill>
              </fill>
            </x14:dxf>
          </x14:cfRule>
          <x14:cfRule type="containsText" priority="1076"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1077" operator="containsText" id="{E48215E9-5888-4D3F-A01B-A05864457930}">
            <xm:f>NOT(ISERROR(SEARCH(Auxiliar!$B$19,I347)))</xm:f>
            <xm:f>Auxiliar!$B$19</xm:f>
            <x14:dxf>
              <font>
                <b/>
                <i val="0"/>
                <color theme="9" tint="-0.499984740745262"/>
              </font>
              <fill>
                <patternFill>
                  <bgColor theme="9" tint="0.79998168889431442"/>
                </patternFill>
              </fill>
            </x14:dxf>
          </x14:cfRule>
          <x14:cfRule type="containsText" priority="1078" operator="containsText" id="{E24FE097-F3CC-4A48-80A2-F7619DECA0EF}">
            <xm:f>NOT(ISERROR(SEARCH(Auxiliar!$B$16,I347)))</xm:f>
            <xm:f>Auxiliar!$B$16</xm:f>
            <x14:dxf>
              <font>
                <b/>
                <i val="0"/>
                <color theme="7"/>
              </font>
              <fill>
                <patternFill>
                  <bgColor theme="7" tint="0.79998168889431442"/>
                </patternFill>
              </fill>
            </x14:dxf>
          </x14:cfRule>
          <xm:sqref>I347:J1013 J1014:J1073 I1074:J1079 J1080:J1145 I1146:J1169 J1170:J1181 I1182:J1185 I1185:I1229 J1186:J1256 I1257:J1293 J1294:J1300 I1301:J1320</xm:sqref>
        </x14:conditionalFormatting>
        <x14:conditionalFormatting xmlns:xm="http://schemas.microsoft.com/office/excel/2006/main">
          <x14:cfRule type="containsText" priority="433" operator="containsText" id="{B9BA2292-98F1-4845-8262-A781D9352444}">
            <xm:f>NOT(ISERROR(SEARCH(Auxiliar!$B$21,J127)))</xm:f>
            <xm:f>Auxiliar!$B$21</xm:f>
            <x14:dxf>
              <font>
                <b/>
                <i val="0"/>
                <color rgb="FFFFC000"/>
              </font>
              <fill>
                <patternFill>
                  <bgColor theme="9" tint="0.59996337778862885"/>
                </patternFill>
              </fill>
            </x14:dxf>
          </x14:cfRule>
          <x14:cfRule type="cellIs" priority="434" operator="equal" id="{D32B9961-C82B-426A-A975-2475FFC80C76}">
            <xm:f>Auxiliar!$B$24</xm:f>
            <x14:dxf>
              <font>
                <b/>
                <i val="0"/>
                <color theme="1"/>
              </font>
              <fill>
                <patternFill patternType="darkUp">
                  <bgColor theme="0"/>
                </patternFill>
              </fill>
            </x14:dxf>
          </x14:cfRule>
          <x14:cfRule type="cellIs" priority="435" operator="equal" id="{EE9F5D7D-A515-4B4F-859E-E804329C9CE0}">
            <xm:f>Auxiliar!$B$18</xm:f>
            <x14:dxf>
              <font>
                <b/>
                <i val="0"/>
                <color theme="0" tint="-0.499984740745262"/>
              </font>
              <fill>
                <patternFill>
                  <bgColor theme="0" tint="-4.9989318521683403E-2"/>
                </patternFill>
              </fill>
            </x14:dxf>
          </x14:cfRule>
          <x14:cfRule type="containsText" priority="436"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437"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438"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559" operator="containsText" id="{576165AC-18FE-49D8-90D0-249BF5B7AAD2}">
            <xm:f>NOT(ISERROR(SEARCH(Auxiliar!$B$21,J326)))</xm:f>
            <xm:f>Auxiliar!$B$21</xm:f>
            <x14:dxf>
              <font>
                <b/>
                <i val="0"/>
                <color rgb="FFFFC000"/>
              </font>
              <fill>
                <patternFill>
                  <bgColor theme="9" tint="0.59996337778862885"/>
                </patternFill>
              </fill>
            </x14:dxf>
          </x14:cfRule>
          <x14:cfRule type="cellIs" priority="560" operator="equal" id="{2BEF1854-999B-428C-B198-117A6D75B6CF}">
            <xm:f>Auxiliar!$B$24</xm:f>
            <x14:dxf>
              <font>
                <b/>
                <i val="0"/>
                <color theme="1"/>
              </font>
              <fill>
                <patternFill patternType="darkUp">
                  <bgColor theme="0"/>
                </patternFill>
              </fill>
            </x14:dxf>
          </x14:cfRule>
          <x14:cfRule type="cellIs" priority="561" operator="equal" id="{82150E9C-7DB3-4C92-B25A-09099C09088C}">
            <xm:f>Auxiliar!$B$18</xm:f>
            <x14:dxf>
              <font>
                <b/>
                <i val="0"/>
                <color theme="0" tint="-0.499984740745262"/>
              </font>
              <fill>
                <patternFill>
                  <bgColor theme="0" tint="-4.9989318521683403E-2"/>
                </patternFill>
              </fill>
            </x14:dxf>
          </x14:cfRule>
          <x14:cfRule type="containsText" priority="562"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563"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564" operator="containsText" id="{9385C25B-E63C-416B-A9A9-CB4E3502313C}">
            <xm:f>NOT(ISERROR(SEARCH(Auxiliar!$B$16,J326)))</xm:f>
            <xm:f>Auxiliar!$B$16</xm:f>
            <x14:dxf>
              <font>
                <b/>
                <i val="0"/>
                <color theme="7"/>
              </font>
              <fill>
                <patternFill>
                  <bgColor theme="7" tint="0.79998168889431442"/>
                </patternFill>
              </fill>
            </x14:dxf>
          </x14:cfRule>
          <xm:sqref>J326:J346</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600-000000000000}">
          <x14:formula1>
            <xm:f>Auxiliar!$D$4:$F$4</xm:f>
          </x14:formula1>
          <xm:sqref>M9:M1320</xm:sqref>
        </x14:dataValidation>
        <x14:dataValidation type="list" allowBlank="1" showInputMessage="1" showErrorMessage="1" xr:uid="{00000000-0002-0000-0600-000001000000}">
          <x14:formula1>
            <xm:f>Auxiliar!$B$5:$B$13</xm:f>
          </x14:formula1>
          <xm:sqref>K9:K1320</xm:sqref>
        </x14:dataValidation>
        <x14:dataValidation type="list" allowBlank="1" showInputMessage="1" showErrorMessage="1" xr:uid="{00000000-0002-0000-0600-000002000000}">
          <x14:formula1>
            <xm:f>Auxiliar!$B$16:$B$24</xm:f>
          </x14:formula1>
          <xm:sqref>I9:I1320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tabColor theme="4" tint="0.79998168889431442"/>
  </sheetPr>
  <dimension ref="A1:K222"/>
  <sheetViews>
    <sheetView zoomScale="70" zoomScaleNormal="70" workbookViewId="0">
      <selection activeCell="A17" sqref="A17"/>
    </sheetView>
  </sheetViews>
  <sheetFormatPr defaultColWidth="8.69921875" defaultRowHeight="15" x14ac:dyDescent="0.25"/>
  <cols>
    <col min="1" max="1" width="40.5" style="14" customWidth="1"/>
    <col min="2" max="4" width="8.69921875" style="14"/>
    <col min="5" max="5" width="43.59765625" style="14" customWidth="1"/>
    <col min="6" max="16384" width="8.69921875" style="14"/>
  </cols>
  <sheetData>
    <row r="1" spans="1:11" ht="15.6" x14ac:dyDescent="0.3">
      <c r="A1" s="15" t="s">
        <v>1366</v>
      </c>
      <c r="B1" s="14" t="s">
        <v>1367</v>
      </c>
      <c r="C1" s="14" t="s">
        <v>1368</v>
      </c>
      <c r="D1" s="14" t="s">
        <v>1369</v>
      </c>
      <c r="E1" s="14" t="s">
        <v>1370</v>
      </c>
      <c r="F1" s="14" t="s">
        <v>1371</v>
      </c>
      <c r="G1" s="14" t="s">
        <v>1372</v>
      </c>
      <c r="H1" s="14" t="s">
        <v>1373</v>
      </c>
      <c r="I1" s="14" t="s">
        <v>1374</v>
      </c>
      <c r="J1" s="14" t="s">
        <v>1375</v>
      </c>
      <c r="K1" s="14" t="s">
        <v>1376</v>
      </c>
    </row>
    <row r="2" spans="1:11" x14ac:dyDescent="0.25">
      <c r="A2" s="16" t="str">
        <f>VLOOKUP(E2,Table1[[#All],[Campo]],1,0)</f>
        <v>cod_soc</v>
      </c>
      <c r="B2" s="14" t="s">
        <v>1377</v>
      </c>
      <c r="C2" s="14" t="s">
        <v>1378</v>
      </c>
      <c r="D2" s="14" t="s">
        <v>1379</v>
      </c>
      <c r="E2" s="14" t="s">
        <v>1380</v>
      </c>
      <c r="F2" s="14" t="s">
        <v>1381</v>
      </c>
      <c r="G2" s="14" t="s">
        <v>1382</v>
      </c>
      <c r="H2" s="14" t="s">
        <v>624</v>
      </c>
      <c r="I2" s="14">
        <v>1096295</v>
      </c>
      <c r="J2" s="14">
        <v>0</v>
      </c>
      <c r="K2" s="14">
        <v>0</v>
      </c>
    </row>
    <row r="3" spans="1:11" x14ac:dyDescent="0.25">
      <c r="A3" s="16" t="str">
        <f>VLOOKUP(E3,Table1[[#All],[Campo]],1,0)</f>
        <v>dt_rfrnc</v>
      </c>
      <c r="B3" s="14" t="s">
        <v>1383</v>
      </c>
      <c r="C3" s="14" t="s">
        <v>1384</v>
      </c>
      <c r="D3" s="14" t="s">
        <v>1379</v>
      </c>
      <c r="E3" s="14" t="s">
        <v>1385</v>
      </c>
      <c r="F3" s="14" t="s">
        <v>1386</v>
      </c>
      <c r="G3" s="14" t="s">
        <v>1382</v>
      </c>
      <c r="H3" s="14" t="s">
        <v>624</v>
      </c>
      <c r="I3" s="14">
        <v>1096295</v>
      </c>
      <c r="J3" s="14">
        <v>0</v>
      </c>
      <c r="K3" s="14">
        <v>0</v>
      </c>
    </row>
    <row r="4" spans="1:11" x14ac:dyDescent="0.25">
      <c r="A4" s="16" t="str">
        <f>VLOOKUP(E4,Table1[[#All],[Campo]],1,0)</f>
        <v>cod_soc</v>
      </c>
      <c r="B4" s="14" t="s">
        <v>1387</v>
      </c>
      <c r="C4" s="14" t="s">
        <v>1378</v>
      </c>
      <c r="D4" s="14" t="s">
        <v>1388</v>
      </c>
      <c r="E4" s="14" t="s">
        <v>1380</v>
      </c>
      <c r="F4" s="14" t="s">
        <v>1381</v>
      </c>
      <c r="G4" s="14" t="s">
        <v>1389</v>
      </c>
      <c r="H4" s="14" t="s">
        <v>624</v>
      </c>
      <c r="I4" s="14">
        <v>2490665</v>
      </c>
      <c r="J4" s="14">
        <v>0</v>
      </c>
      <c r="K4" s="14">
        <v>0</v>
      </c>
    </row>
    <row r="5" spans="1:11" x14ac:dyDescent="0.25">
      <c r="A5" s="16" t="str">
        <f>VLOOKUP(E5,Table1[[#All],[Campo]],1,0)</f>
        <v>dt_rfrnc</v>
      </c>
      <c r="B5" s="14" t="s">
        <v>1390</v>
      </c>
      <c r="C5" s="14" t="s">
        <v>1391</v>
      </c>
      <c r="D5" s="14" t="s">
        <v>1388</v>
      </c>
      <c r="E5" s="14" t="s">
        <v>1385</v>
      </c>
      <c r="F5" s="14" t="s">
        <v>1386</v>
      </c>
      <c r="G5" s="14" t="s">
        <v>1389</v>
      </c>
      <c r="H5" s="14" t="s">
        <v>624</v>
      </c>
      <c r="I5" s="14">
        <v>2490665</v>
      </c>
      <c r="J5" s="14">
        <v>0</v>
      </c>
      <c r="K5" s="14">
        <v>0</v>
      </c>
    </row>
    <row r="6" spans="1:11" x14ac:dyDescent="0.25">
      <c r="A6" s="16" t="str">
        <f>VLOOKUP(E6,Table1[[#All],[Campo]],1,0)</f>
        <v>instrmnt_id</v>
      </c>
      <c r="B6" s="14" t="s">
        <v>1392</v>
      </c>
      <c r="C6" s="14" t="s">
        <v>1393</v>
      </c>
      <c r="D6" s="14" t="s">
        <v>1388</v>
      </c>
      <c r="E6" s="14" t="s">
        <v>1394</v>
      </c>
      <c r="F6" s="14" t="s">
        <v>1381</v>
      </c>
      <c r="G6" s="14" t="s">
        <v>1389</v>
      </c>
      <c r="H6" s="14" t="s">
        <v>624</v>
      </c>
      <c r="I6" s="14">
        <v>2490665</v>
      </c>
      <c r="J6" s="14">
        <v>0</v>
      </c>
      <c r="K6" s="14">
        <v>0</v>
      </c>
    </row>
    <row r="7" spans="1:11" x14ac:dyDescent="0.25">
      <c r="A7" s="16" t="str">
        <f>VLOOKUP(E7,Table1[[#All],[Campo]],1,0)</f>
        <v>cod_soc</v>
      </c>
      <c r="B7" s="14" t="s">
        <v>1395</v>
      </c>
      <c r="C7" s="14" t="s">
        <v>1378</v>
      </c>
      <c r="D7" s="14" t="s">
        <v>1396</v>
      </c>
      <c r="E7" s="14" t="s">
        <v>1380</v>
      </c>
      <c r="F7" s="14" t="s">
        <v>1381</v>
      </c>
      <c r="G7" s="14" t="s">
        <v>1397</v>
      </c>
      <c r="H7" s="14" t="s">
        <v>624</v>
      </c>
      <c r="I7" s="14">
        <v>2002411</v>
      </c>
      <c r="J7" s="14">
        <v>0</v>
      </c>
      <c r="K7" s="14">
        <v>0</v>
      </c>
    </row>
    <row r="8" spans="1:11" x14ac:dyDescent="0.25">
      <c r="A8" s="16" t="str">
        <f>VLOOKUP(E8,Table1[[#All],[Campo]],1,0)</f>
        <v>dt_rfrnc</v>
      </c>
      <c r="B8" s="14" t="s">
        <v>1398</v>
      </c>
      <c r="C8" s="14" t="s">
        <v>1391</v>
      </c>
      <c r="D8" s="14" t="s">
        <v>1396</v>
      </c>
      <c r="E8" s="14" t="s">
        <v>1385</v>
      </c>
      <c r="F8" s="14" t="s">
        <v>1386</v>
      </c>
      <c r="G8" s="14" t="s">
        <v>1397</v>
      </c>
      <c r="H8" s="14" t="s">
        <v>624</v>
      </c>
      <c r="I8" s="14">
        <v>2002411</v>
      </c>
      <c r="J8" s="14">
        <v>0</v>
      </c>
      <c r="K8" s="14">
        <v>0</v>
      </c>
    </row>
    <row r="9" spans="1:11" x14ac:dyDescent="0.25">
      <c r="A9" s="16" t="str">
        <f>VLOOKUP(E9,Table1[[#All],[Campo]],1,0)</f>
        <v>instrmnt_id</v>
      </c>
      <c r="B9" s="14" t="s">
        <v>1399</v>
      </c>
      <c r="C9" s="14" t="s">
        <v>1393</v>
      </c>
      <c r="D9" s="14" t="s">
        <v>1396</v>
      </c>
      <c r="E9" s="14" t="s">
        <v>1394</v>
      </c>
      <c r="F9" s="14" t="s">
        <v>1381</v>
      </c>
      <c r="G9" s="14" t="s">
        <v>1397</v>
      </c>
      <c r="H9" s="14" t="s">
        <v>624</v>
      </c>
      <c r="I9" s="14">
        <v>2002411</v>
      </c>
      <c r="J9" s="14">
        <v>0</v>
      </c>
      <c r="K9" s="14">
        <v>0</v>
      </c>
    </row>
    <row r="10" spans="1:11" x14ac:dyDescent="0.25">
      <c r="A10" s="16" t="str">
        <f>VLOOKUP(E10,Table1[[#All],[Campo]],1,0)</f>
        <v>dflt_stts_instrmnt</v>
      </c>
      <c r="B10" s="14" t="s">
        <v>1400</v>
      </c>
      <c r="C10" s="14" t="s">
        <v>1401</v>
      </c>
      <c r="D10" s="14" t="s">
        <v>1402</v>
      </c>
      <c r="E10" s="14" t="s">
        <v>1403</v>
      </c>
      <c r="F10" s="14" t="s">
        <v>1404</v>
      </c>
      <c r="G10" s="14" t="s">
        <v>1397</v>
      </c>
      <c r="H10" s="14" t="s">
        <v>1405</v>
      </c>
      <c r="I10" s="14">
        <v>2002411</v>
      </c>
      <c r="J10" s="14">
        <v>96182</v>
      </c>
      <c r="K10" s="14">
        <v>4.8033000000000001</v>
      </c>
    </row>
    <row r="11" spans="1:11" x14ac:dyDescent="0.25">
      <c r="A11" s="16" t="str">
        <f>VLOOKUP(E11,Table1[[#All],[Campo]],1,0)</f>
        <v>prfrmng_stts</v>
      </c>
      <c r="B11" s="14" t="s">
        <v>1406</v>
      </c>
      <c r="C11" s="14" t="s">
        <v>1407</v>
      </c>
      <c r="D11" s="14" t="s">
        <v>1402</v>
      </c>
      <c r="E11" s="14" t="s">
        <v>1408</v>
      </c>
      <c r="F11" s="14" t="s">
        <v>1404</v>
      </c>
      <c r="G11" s="14" t="s">
        <v>1397</v>
      </c>
      <c r="H11" s="14" t="s">
        <v>624</v>
      </c>
      <c r="I11" s="14">
        <v>2002411</v>
      </c>
      <c r="J11" s="14">
        <v>0</v>
      </c>
      <c r="K11" s="14">
        <v>0</v>
      </c>
    </row>
    <row r="12" spans="1:11" x14ac:dyDescent="0.25">
      <c r="A12" s="16" t="str">
        <f>VLOOKUP(E12,Table1[[#All],[Campo]],1,0)</f>
        <v>lcl_instmrnt_id</v>
      </c>
      <c r="B12" s="14" t="s">
        <v>1409</v>
      </c>
      <c r="C12" s="14" t="s">
        <v>1410</v>
      </c>
      <c r="D12" s="14" t="s">
        <v>1396</v>
      </c>
      <c r="E12" s="14" t="s">
        <v>1411</v>
      </c>
      <c r="F12" s="14" t="s">
        <v>1381</v>
      </c>
      <c r="G12" s="14" t="s">
        <v>1397</v>
      </c>
      <c r="H12" s="14" t="s">
        <v>1405</v>
      </c>
      <c r="I12" s="14">
        <v>2002411</v>
      </c>
      <c r="J12" s="14">
        <v>2002411</v>
      </c>
      <c r="K12" s="14">
        <v>100</v>
      </c>
    </row>
    <row r="13" spans="1:11" x14ac:dyDescent="0.25">
      <c r="A13" s="16" t="str">
        <f>VLOOKUP(E13,Table1[[#All],[Campo]],1,0)</f>
        <v>sstnbl_indctr</v>
      </c>
      <c r="B13" s="14" t="s">
        <v>1412</v>
      </c>
      <c r="C13" s="14" t="s">
        <v>1413</v>
      </c>
      <c r="D13" s="14" t="s">
        <v>1402</v>
      </c>
      <c r="E13" s="14" t="s">
        <v>1414</v>
      </c>
      <c r="F13" s="14" t="s">
        <v>1415</v>
      </c>
      <c r="G13" s="14" t="s">
        <v>1397</v>
      </c>
      <c r="H13" s="14" t="s">
        <v>1405</v>
      </c>
      <c r="I13" s="14">
        <v>2002318</v>
      </c>
      <c r="J13" s="14">
        <v>2002318</v>
      </c>
      <c r="K13" s="14">
        <v>100</v>
      </c>
    </row>
    <row r="14" spans="1:11" x14ac:dyDescent="0.25">
      <c r="A14" s="16" t="str">
        <f>VLOOKUP(E14,Table1[[#All],[Campo]],1,0)</f>
        <v>sstnbl_ctgry</v>
      </c>
      <c r="B14" s="14" t="s">
        <v>1416</v>
      </c>
      <c r="C14" s="14" t="s">
        <v>1417</v>
      </c>
      <c r="D14" s="14" t="s">
        <v>1402</v>
      </c>
      <c r="E14" s="14" t="s">
        <v>1418</v>
      </c>
      <c r="F14" s="14" t="s">
        <v>1415</v>
      </c>
      <c r="G14" s="14" t="s">
        <v>1397</v>
      </c>
      <c r="H14" s="14" t="s">
        <v>1405</v>
      </c>
      <c r="I14" s="14">
        <v>2002318</v>
      </c>
      <c r="J14" s="14">
        <v>2002318</v>
      </c>
      <c r="K14" s="14">
        <v>100</v>
      </c>
    </row>
    <row r="15" spans="1:11" x14ac:dyDescent="0.25">
      <c r="A15" s="16" t="e">
        <f>VLOOKUP(E15,Table1[[#All],[Campo]],1,0)</f>
        <v>#N/A</v>
      </c>
      <c r="B15" s="14" t="s">
        <v>1419</v>
      </c>
      <c r="C15" s="14" t="s">
        <v>1420</v>
      </c>
      <c r="D15" s="14" t="s">
        <v>1402</v>
      </c>
      <c r="E15" s="14" t="s">
        <v>1421</v>
      </c>
      <c r="F15" s="14" t="s">
        <v>1415</v>
      </c>
      <c r="G15" s="14" t="s">
        <v>1397</v>
      </c>
      <c r="H15" s="14" t="s">
        <v>1405</v>
      </c>
      <c r="I15" s="14">
        <v>2002411</v>
      </c>
      <c r="J15" s="14">
        <v>2002411</v>
      </c>
      <c r="K15" s="14">
        <v>100</v>
      </c>
    </row>
    <row r="16" spans="1:11" x14ac:dyDescent="0.25">
      <c r="A16" s="16" t="e">
        <f>VLOOKUP(E16,Table1[[#All],[Campo]],1,0)</f>
        <v>#N/A</v>
      </c>
      <c r="B16" s="14" t="s">
        <v>1422</v>
      </c>
      <c r="C16" s="14" t="s">
        <v>1423</v>
      </c>
      <c r="D16" s="14" t="s">
        <v>1402</v>
      </c>
      <c r="E16" s="14" t="s">
        <v>1424</v>
      </c>
      <c r="F16" s="14" t="s">
        <v>1415</v>
      </c>
      <c r="G16" s="14" t="s">
        <v>1397</v>
      </c>
      <c r="H16" s="14" t="s">
        <v>1405</v>
      </c>
      <c r="I16" s="14">
        <v>2002411</v>
      </c>
      <c r="J16" s="14">
        <v>2002411</v>
      </c>
      <c r="K16" s="14">
        <v>100</v>
      </c>
    </row>
    <row r="17" spans="1:11" x14ac:dyDescent="0.25">
      <c r="A17" s="16" t="e">
        <f>VLOOKUP(E17,Table1[[#All],[Campo]],1,0)</f>
        <v>#N/A</v>
      </c>
      <c r="B17" s="14" t="s">
        <v>1425</v>
      </c>
      <c r="C17" s="14" t="s">
        <v>1426</v>
      </c>
      <c r="D17" s="14" t="s">
        <v>1402</v>
      </c>
      <c r="E17" s="14" t="s">
        <v>1427</v>
      </c>
      <c r="F17" s="14" t="s">
        <v>1415</v>
      </c>
      <c r="G17" s="14" t="s">
        <v>1397</v>
      </c>
      <c r="H17" s="14" t="s">
        <v>1405</v>
      </c>
      <c r="I17" s="14">
        <v>2002411</v>
      </c>
      <c r="J17" s="14">
        <v>2002411</v>
      </c>
      <c r="K17" s="14">
        <v>100</v>
      </c>
    </row>
    <row r="18" spans="1:11" x14ac:dyDescent="0.25">
      <c r="A18" s="16" t="e">
        <f>VLOOKUP(E18,Table1[[#All],[Campo]],1,0)</f>
        <v>#N/A</v>
      </c>
      <c r="B18" s="14" t="s">
        <v>1428</v>
      </c>
      <c r="C18" s="14" t="s">
        <v>1429</v>
      </c>
      <c r="D18" s="14" t="s">
        <v>1402</v>
      </c>
      <c r="E18" s="14" t="s">
        <v>1430</v>
      </c>
      <c r="F18" s="14" t="s">
        <v>1415</v>
      </c>
      <c r="G18" s="14" t="s">
        <v>1397</v>
      </c>
      <c r="H18" s="14" t="s">
        <v>1405</v>
      </c>
      <c r="I18" s="14">
        <v>2002411</v>
      </c>
      <c r="J18" s="14">
        <v>2002411</v>
      </c>
      <c r="K18" s="14">
        <v>100</v>
      </c>
    </row>
    <row r="19" spans="1:11" x14ac:dyDescent="0.25">
      <c r="A19" s="16" t="s">
        <v>1431</v>
      </c>
      <c r="B19" s="14" t="s">
        <v>1432</v>
      </c>
      <c r="C19" s="14" t="s">
        <v>1433</v>
      </c>
      <c r="D19" s="14" t="s">
        <v>1402</v>
      </c>
      <c r="E19" s="14" t="s">
        <v>1434</v>
      </c>
      <c r="F19" s="14" t="s">
        <v>1415</v>
      </c>
      <c r="G19" s="14" t="s">
        <v>1397</v>
      </c>
      <c r="H19" s="14" t="s">
        <v>1405</v>
      </c>
      <c r="I19" s="14">
        <v>2002411</v>
      </c>
      <c r="J19" s="14">
        <v>2002411</v>
      </c>
      <c r="K19" s="14">
        <v>100</v>
      </c>
    </row>
    <row r="20" spans="1:11" x14ac:dyDescent="0.25">
      <c r="A20" s="16" t="str">
        <f>VLOOKUP(E20,Table1[[#All],[Campo]],1,0)</f>
        <v>idcmb</v>
      </c>
      <c r="B20" s="14" t="s">
        <v>1435</v>
      </c>
      <c r="C20" s="14" t="s">
        <v>1436</v>
      </c>
      <c r="D20" s="14" t="s">
        <v>1396</v>
      </c>
      <c r="E20" s="14" t="s">
        <v>1437</v>
      </c>
      <c r="F20" s="14" t="s">
        <v>1381</v>
      </c>
      <c r="G20" s="14" t="s">
        <v>1397</v>
      </c>
      <c r="H20" s="14" t="s">
        <v>1405</v>
      </c>
      <c r="I20" s="14">
        <v>2002411</v>
      </c>
      <c r="J20" s="14">
        <v>1</v>
      </c>
      <c r="K20" s="14">
        <v>0</v>
      </c>
    </row>
    <row r="21" spans="1:11" x14ac:dyDescent="0.25">
      <c r="A21" s="16" t="str">
        <f>VLOOKUP(E21,Table1[[#All],[Campo]],1,0)</f>
        <v>cod_soc</v>
      </c>
      <c r="B21" s="14" t="s">
        <v>1438</v>
      </c>
      <c r="C21" s="14" t="s">
        <v>1378</v>
      </c>
      <c r="D21" s="14" t="s">
        <v>1439</v>
      </c>
      <c r="E21" s="14" t="s">
        <v>1380</v>
      </c>
      <c r="F21" s="14" t="s">
        <v>1381</v>
      </c>
      <c r="G21" s="14" t="s">
        <v>1440</v>
      </c>
      <c r="H21" s="14" t="s">
        <v>624</v>
      </c>
      <c r="I21" s="14">
        <v>731165</v>
      </c>
      <c r="J21" s="14">
        <v>0</v>
      </c>
      <c r="K21" s="14">
        <v>0</v>
      </c>
    </row>
    <row r="22" spans="1:11" x14ac:dyDescent="0.25">
      <c r="A22" s="16" t="str">
        <f>VLOOKUP(E22,Table1[[#All],[Campo]],1,0)</f>
        <v>dt_rfrnc</v>
      </c>
      <c r="B22" s="14" t="s">
        <v>1441</v>
      </c>
      <c r="C22" s="14" t="s">
        <v>1391</v>
      </c>
      <c r="D22" s="14" t="s">
        <v>1439</v>
      </c>
      <c r="E22" s="14" t="s">
        <v>1385</v>
      </c>
      <c r="F22" s="14" t="s">
        <v>1386</v>
      </c>
      <c r="G22" s="14" t="s">
        <v>1440</v>
      </c>
      <c r="H22" s="14" t="s">
        <v>624</v>
      </c>
      <c r="I22" s="14">
        <v>731165</v>
      </c>
      <c r="J22" s="14">
        <v>0</v>
      </c>
      <c r="K22" s="14">
        <v>0</v>
      </c>
    </row>
    <row r="23" spans="1:11" x14ac:dyDescent="0.25">
      <c r="A23" s="16" t="str">
        <f>VLOOKUP(E23,Table1[[#All],[Campo]],1,0)</f>
        <v>instrmnt_id</v>
      </c>
      <c r="B23" s="14" t="s">
        <v>1442</v>
      </c>
      <c r="C23" s="14" t="s">
        <v>1393</v>
      </c>
      <c r="D23" s="14" t="s">
        <v>1439</v>
      </c>
      <c r="E23" s="14" t="s">
        <v>1394</v>
      </c>
      <c r="F23" s="14" t="s">
        <v>1381</v>
      </c>
      <c r="G23" s="14" t="s">
        <v>1440</v>
      </c>
      <c r="H23" s="14" t="s">
        <v>624</v>
      </c>
      <c r="I23" s="14">
        <v>731165</v>
      </c>
      <c r="J23" s="14">
        <v>0</v>
      </c>
      <c r="K23" s="14">
        <v>0</v>
      </c>
    </row>
    <row r="24" spans="1:11" x14ac:dyDescent="0.25">
      <c r="A24" s="16" t="str">
        <f>VLOOKUP(E24,Table1[[#All],[Campo]],1,0)</f>
        <v>cod_soc</v>
      </c>
      <c r="B24" s="14" t="s">
        <v>1443</v>
      </c>
      <c r="C24" s="14" t="s">
        <v>1378</v>
      </c>
      <c r="D24" s="14" t="s">
        <v>1444</v>
      </c>
      <c r="E24" s="14" t="s">
        <v>1380</v>
      </c>
      <c r="F24" s="14" t="s">
        <v>1381</v>
      </c>
      <c r="G24" s="14" t="s">
        <v>1445</v>
      </c>
      <c r="H24" s="14" t="s">
        <v>624</v>
      </c>
      <c r="I24" s="14">
        <v>456960</v>
      </c>
      <c r="J24" s="14">
        <v>0</v>
      </c>
      <c r="K24" s="14">
        <v>0</v>
      </c>
    </row>
    <row r="25" spans="1:11" x14ac:dyDescent="0.25">
      <c r="A25" s="16" t="str">
        <f>VLOOKUP(E25,Table1[[#All],[Campo]],1,0)</f>
        <v>dt_rfrnc</v>
      </c>
      <c r="B25" s="14" t="s">
        <v>1446</v>
      </c>
      <c r="C25" s="14" t="s">
        <v>1391</v>
      </c>
      <c r="D25" s="14" t="s">
        <v>1444</v>
      </c>
      <c r="E25" s="14" t="s">
        <v>1385</v>
      </c>
      <c r="F25" s="14" t="s">
        <v>1386</v>
      </c>
      <c r="G25" s="14" t="s">
        <v>1445</v>
      </c>
      <c r="H25" s="14" t="s">
        <v>624</v>
      </c>
      <c r="I25" s="14">
        <v>456960</v>
      </c>
      <c r="J25" s="14">
        <v>0</v>
      </c>
      <c r="K25" s="14">
        <v>0</v>
      </c>
    </row>
    <row r="26" spans="1:11" x14ac:dyDescent="0.25">
      <c r="A26" s="16" t="str">
        <f>VLOOKUP(E26,Table1[[#All],[Campo]],1,0)</f>
        <v>instrmnt_id</v>
      </c>
      <c r="B26" s="14" t="s">
        <v>1447</v>
      </c>
      <c r="C26" s="14" t="s">
        <v>1448</v>
      </c>
      <c r="D26" s="14" t="s">
        <v>1402</v>
      </c>
      <c r="E26" s="14" t="s">
        <v>1394</v>
      </c>
      <c r="F26" s="14" t="s">
        <v>1449</v>
      </c>
      <c r="G26" s="14" t="s">
        <v>1450</v>
      </c>
      <c r="H26" s="14" t="s">
        <v>624</v>
      </c>
      <c r="I26" s="14">
        <v>2003033</v>
      </c>
      <c r="J26" s="14">
        <v>0</v>
      </c>
      <c r="K26" s="14">
        <v>0</v>
      </c>
    </row>
    <row r="27" spans="1:11" x14ac:dyDescent="0.25">
      <c r="A27" s="16" t="str">
        <f>VLOOKUP(E27,Table1[[#All],[Campo]],1,0)</f>
        <v>instrmnt_id</v>
      </c>
      <c r="B27" s="14" t="s">
        <v>1451</v>
      </c>
      <c r="C27" s="14" t="s">
        <v>1452</v>
      </c>
      <c r="D27" s="14" t="s">
        <v>1453</v>
      </c>
      <c r="E27" s="14" t="s">
        <v>1394</v>
      </c>
      <c r="F27" s="14" t="s">
        <v>1449</v>
      </c>
      <c r="G27" s="14" t="s">
        <v>1450</v>
      </c>
      <c r="H27" s="14" t="s">
        <v>624</v>
      </c>
      <c r="I27" s="14">
        <v>731165</v>
      </c>
      <c r="J27" s="14">
        <v>0</v>
      </c>
      <c r="K27" s="14">
        <v>0</v>
      </c>
    </row>
    <row r="28" spans="1:11" x14ac:dyDescent="0.25">
      <c r="A28" s="16" t="str">
        <f>VLOOKUP(E28,Table1[[#All],[Campo]],1,0)</f>
        <v>cod_soc</v>
      </c>
      <c r="B28" s="14" t="s">
        <v>1454</v>
      </c>
      <c r="C28" s="14" t="s">
        <v>1455</v>
      </c>
      <c r="D28" s="14" t="s">
        <v>1456</v>
      </c>
      <c r="E28" s="14" t="s">
        <v>1380</v>
      </c>
      <c r="F28" s="14" t="s">
        <v>1457</v>
      </c>
      <c r="G28" s="14" t="s">
        <v>1458</v>
      </c>
      <c r="H28" s="14" t="s">
        <v>624</v>
      </c>
      <c r="I28" s="14">
        <v>1096295</v>
      </c>
      <c r="J28" s="14">
        <v>0</v>
      </c>
      <c r="K28" s="14">
        <v>0</v>
      </c>
    </row>
    <row r="29" spans="1:11" x14ac:dyDescent="0.25">
      <c r="A29" s="16" t="str">
        <f>VLOOKUP(E29,Table1[[#All],[Campo]],1,0)</f>
        <v>dt_rfrnc</v>
      </c>
      <c r="B29" s="14" t="s">
        <v>1459</v>
      </c>
      <c r="C29" s="14" t="s">
        <v>1460</v>
      </c>
      <c r="D29" s="14" t="s">
        <v>1456</v>
      </c>
      <c r="E29" s="14" t="s">
        <v>1385</v>
      </c>
      <c r="F29" s="14" t="s">
        <v>1461</v>
      </c>
      <c r="G29" s="14" t="s">
        <v>1458</v>
      </c>
      <c r="H29" s="14" t="s">
        <v>624</v>
      </c>
      <c r="I29" s="14">
        <v>1096295</v>
      </c>
      <c r="J29" s="14">
        <v>0</v>
      </c>
      <c r="K29" s="14">
        <v>0</v>
      </c>
    </row>
    <row r="30" spans="1:11" x14ac:dyDescent="0.25">
      <c r="A30" s="16" t="str">
        <f>VLOOKUP(E30,Table1[[#All],[Campo]],1,0)</f>
        <v>cod_soc</v>
      </c>
      <c r="B30" s="14" t="s">
        <v>1462</v>
      </c>
      <c r="C30" s="14" t="s">
        <v>1455</v>
      </c>
      <c r="D30" s="14" t="s">
        <v>1463</v>
      </c>
      <c r="E30" s="14" t="s">
        <v>1380</v>
      </c>
      <c r="F30" s="14" t="s">
        <v>1457</v>
      </c>
      <c r="G30" s="14" t="s">
        <v>1464</v>
      </c>
      <c r="H30" s="14" t="s">
        <v>624</v>
      </c>
      <c r="I30" s="14">
        <v>2490665</v>
      </c>
      <c r="J30" s="14">
        <v>0</v>
      </c>
      <c r="K30" s="14">
        <v>0</v>
      </c>
    </row>
    <row r="31" spans="1:11" x14ac:dyDescent="0.25">
      <c r="A31" s="16" t="str">
        <f>VLOOKUP(E31,Table1[[#All],[Campo]],1,0)</f>
        <v>dt_rfrnc</v>
      </c>
      <c r="B31" s="14" t="s">
        <v>1465</v>
      </c>
      <c r="C31" s="14" t="s">
        <v>1466</v>
      </c>
      <c r="D31" s="14" t="s">
        <v>1463</v>
      </c>
      <c r="E31" s="14" t="s">
        <v>1385</v>
      </c>
      <c r="F31" s="14" t="s">
        <v>1461</v>
      </c>
      <c r="G31" s="14" t="s">
        <v>1464</v>
      </c>
      <c r="H31" s="14" t="s">
        <v>624</v>
      </c>
      <c r="I31" s="14">
        <v>2490665</v>
      </c>
      <c r="J31" s="14">
        <v>0</v>
      </c>
      <c r="K31" s="14">
        <v>0</v>
      </c>
    </row>
    <row r="32" spans="1:11" x14ac:dyDescent="0.25">
      <c r="A32" s="16" t="str">
        <f>VLOOKUP(E32,Table1[[#All],[Campo]],1,0)</f>
        <v>instrmnt_id</v>
      </c>
      <c r="B32" s="14" t="s">
        <v>1467</v>
      </c>
      <c r="C32" s="14" t="s">
        <v>1468</v>
      </c>
      <c r="D32" s="14" t="s">
        <v>1463</v>
      </c>
      <c r="E32" s="14" t="s">
        <v>1394</v>
      </c>
      <c r="F32" s="14" t="s">
        <v>1469</v>
      </c>
      <c r="G32" s="14" t="s">
        <v>1464</v>
      </c>
      <c r="H32" s="14" t="s">
        <v>624</v>
      </c>
      <c r="I32" s="14">
        <v>2490665</v>
      </c>
      <c r="J32" s="14">
        <v>0</v>
      </c>
      <c r="K32" s="14">
        <v>0</v>
      </c>
    </row>
    <row r="33" spans="1:11" x14ac:dyDescent="0.25">
      <c r="A33" s="16" t="str">
        <f>VLOOKUP(E33,Table1[[#All],[Campo]],1,0)</f>
        <v>cod_soc</v>
      </c>
      <c r="B33" s="14" t="s">
        <v>1470</v>
      </c>
      <c r="C33" s="14" t="s">
        <v>1455</v>
      </c>
      <c r="D33" s="14" t="s">
        <v>1402</v>
      </c>
      <c r="E33" s="14" t="s">
        <v>1380</v>
      </c>
      <c r="F33" s="14" t="s">
        <v>1457</v>
      </c>
      <c r="G33" s="14" t="s">
        <v>1471</v>
      </c>
      <c r="H33" s="14" t="s">
        <v>624</v>
      </c>
      <c r="I33" s="14">
        <v>2003033</v>
      </c>
      <c r="J33" s="14">
        <v>0</v>
      </c>
      <c r="K33" s="14">
        <v>0</v>
      </c>
    </row>
    <row r="34" spans="1:11" x14ac:dyDescent="0.25">
      <c r="A34" s="16" t="str">
        <f>VLOOKUP(E34,Table1[[#All],[Campo]],1,0)</f>
        <v>subportfolio_id</v>
      </c>
      <c r="B34" s="14" t="s">
        <v>1472</v>
      </c>
      <c r="C34" s="14" t="s">
        <v>1473</v>
      </c>
      <c r="D34" s="14" t="s">
        <v>1402</v>
      </c>
      <c r="E34" s="14" t="s">
        <v>1474</v>
      </c>
      <c r="F34" s="14" t="s">
        <v>1457</v>
      </c>
      <c r="G34" s="14" t="s">
        <v>1471</v>
      </c>
      <c r="H34" s="14" t="s">
        <v>624</v>
      </c>
      <c r="I34" s="14">
        <v>2003033</v>
      </c>
      <c r="J34" s="14">
        <v>0</v>
      </c>
      <c r="K34" s="14">
        <v>0</v>
      </c>
    </row>
    <row r="35" spans="1:11" x14ac:dyDescent="0.25">
      <c r="A35" s="16" t="str">
        <f>VLOOKUP(E35,Table1[[#All],[Campo]],1,0)</f>
        <v>dt_rfrnc</v>
      </c>
      <c r="B35" s="14" t="s">
        <v>1475</v>
      </c>
      <c r="C35" s="14" t="s">
        <v>1466</v>
      </c>
      <c r="D35" s="14" t="s">
        <v>1402</v>
      </c>
      <c r="E35" s="14" t="s">
        <v>1385</v>
      </c>
      <c r="F35" s="14" t="s">
        <v>1461</v>
      </c>
      <c r="G35" s="14" t="s">
        <v>1471</v>
      </c>
      <c r="H35" s="14" t="s">
        <v>624</v>
      </c>
      <c r="I35" s="14">
        <v>2003033</v>
      </c>
      <c r="J35" s="14">
        <v>0</v>
      </c>
      <c r="K35" s="14">
        <v>0</v>
      </c>
    </row>
    <row r="36" spans="1:11" x14ac:dyDescent="0.25">
      <c r="A36" s="16" t="str">
        <f>VLOOKUP(E36,Table1[[#All],[Campo]],1,0)</f>
        <v>instrmnt_id</v>
      </c>
      <c r="B36" s="14" t="s">
        <v>1476</v>
      </c>
      <c r="C36" s="14" t="s">
        <v>1468</v>
      </c>
      <c r="D36" s="14" t="s">
        <v>1402</v>
      </c>
      <c r="E36" s="14" t="s">
        <v>1394</v>
      </c>
      <c r="F36" s="14" t="s">
        <v>1469</v>
      </c>
      <c r="G36" s="14" t="s">
        <v>1471</v>
      </c>
      <c r="H36" s="14" t="s">
        <v>624</v>
      </c>
      <c r="I36" s="14">
        <v>2003033</v>
      </c>
      <c r="J36" s="14">
        <v>0</v>
      </c>
      <c r="K36" s="14">
        <v>0</v>
      </c>
    </row>
    <row r="37" spans="1:11" x14ac:dyDescent="0.25">
      <c r="A37" s="16" t="str">
        <f>VLOOKUP(E37,Table1[[#All],[Campo]],1,0)</f>
        <v>dflt_stts_instrmnt</v>
      </c>
      <c r="B37" s="14" t="s">
        <v>1477</v>
      </c>
      <c r="C37" s="14" t="s">
        <v>1478</v>
      </c>
      <c r="D37" s="14" t="s">
        <v>1402</v>
      </c>
      <c r="E37" s="14" t="s">
        <v>1403</v>
      </c>
      <c r="F37" s="14" t="s">
        <v>1457</v>
      </c>
      <c r="G37" s="14" t="s">
        <v>1471</v>
      </c>
      <c r="H37" s="14" t="s">
        <v>624</v>
      </c>
      <c r="I37" s="14">
        <v>2003033</v>
      </c>
      <c r="J37" s="14">
        <v>0</v>
      </c>
      <c r="K37" s="14">
        <v>0</v>
      </c>
    </row>
    <row r="38" spans="1:11" x14ac:dyDescent="0.25">
      <c r="A38" s="16" t="str">
        <f>VLOOKUP(E38,Table1[[#All],[Campo]],1,0)</f>
        <v>imprmnt_stts</v>
      </c>
      <c r="B38" s="14" t="s">
        <v>1479</v>
      </c>
      <c r="C38" s="14" t="s">
        <v>1480</v>
      </c>
      <c r="D38" s="14" t="s">
        <v>1402</v>
      </c>
      <c r="E38" s="14" t="s">
        <v>1481</v>
      </c>
      <c r="F38" s="14" t="s">
        <v>1457</v>
      </c>
      <c r="G38" s="14" t="s">
        <v>1471</v>
      </c>
      <c r="H38" s="14" t="s">
        <v>624</v>
      </c>
      <c r="I38" s="14">
        <v>2003033</v>
      </c>
      <c r="J38" s="14">
        <v>0</v>
      </c>
      <c r="K38" s="14">
        <v>0</v>
      </c>
    </row>
    <row r="39" spans="1:11" x14ac:dyDescent="0.25">
      <c r="A39" s="16" t="str">
        <f>VLOOKUP(E39,Table1[[#All],[Campo]],1,0)</f>
        <v>prfrmng_stts</v>
      </c>
      <c r="B39" s="14" t="s">
        <v>1482</v>
      </c>
      <c r="C39" s="14" t="s">
        <v>1483</v>
      </c>
      <c r="D39" s="14" t="s">
        <v>1402</v>
      </c>
      <c r="E39" s="14" t="s">
        <v>1408</v>
      </c>
      <c r="F39" s="14" t="s">
        <v>1457</v>
      </c>
      <c r="G39" s="14" t="s">
        <v>1471</v>
      </c>
      <c r="H39" s="14" t="s">
        <v>624</v>
      </c>
      <c r="I39" s="14">
        <v>2003033</v>
      </c>
      <c r="J39" s="14">
        <v>0</v>
      </c>
      <c r="K39" s="14">
        <v>0</v>
      </c>
    </row>
    <row r="40" spans="1:11" x14ac:dyDescent="0.25">
      <c r="A40" s="16" t="str">
        <f>VLOOKUP(E40,Table1[[#All],[Campo]],1,0)</f>
        <v>typ_instrmnt</v>
      </c>
      <c r="B40" s="14" t="s">
        <v>1484</v>
      </c>
      <c r="C40" s="14" t="s">
        <v>1485</v>
      </c>
      <c r="D40" s="14" t="s">
        <v>1402</v>
      </c>
      <c r="E40" s="14" t="s">
        <v>1486</v>
      </c>
      <c r="F40" s="14" t="s">
        <v>1457</v>
      </c>
      <c r="G40" s="14" t="s">
        <v>1471</v>
      </c>
      <c r="H40" s="14" t="s">
        <v>624</v>
      </c>
      <c r="I40" s="14">
        <v>2003033</v>
      </c>
      <c r="J40" s="14">
        <v>0</v>
      </c>
      <c r="K40" s="14">
        <v>0</v>
      </c>
    </row>
    <row r="41" spans="1:11" x14ac:dyDescent="0.25">
      <c r="A41" s="16" t="str">
        <f>VLOOKUP(E41,Table1[[#All],[Campo]],1,0)</f>
        <v>grss_crryng_amnt_instrmnt</v>
      </c>
      <c r="B41" s="14" t="s">
        <v>1487</v>
      </c>
      <c r="C41" s="14" t="s">
        <v>1488</v>
      </c>
      <c r="D41" s="14" t="s">
        <v>1402</v>
      </c>
      <c r="E41" s="14" t="s">
        <v>1489</v>
      </c>
      <c r="F41" s="14" t="s">
        <v>1490</v>
      </c>
      <c r="G41" s="14" t="s">
        <v>1471</v>
      </c>
      <c r="H41" s="14" t="s">
        <v>624</v>
      </c>
      <c r="I41" s="14">
        <v>2003033</v>
      </c>
      <c r="J41" s="14">
        <v>0</v>
      </c>
      <c r="K41" s="14">
        <v>0</v>
      </c>
    </row>
    <row r="42" spans="1:11" x14ac:dyDescent="0.25">
      <c r="A42" s="16" t="str">
        <f>VLOOKUP(E42,Table1[[#All],[Campo]],1,0)</f>
        <v>accmltd_chngs_fv_cr_instrmnt</v>
      </c>
      <c r="B42" s="14" t="s">
        <v>1491</v>
      </c>
      <c r="C42" s="14" t="s">
        <v>1492</v>
      </c>
      <c r="D42" s="14" t="s">
        <v>1402</v>
      </c>
      <c r="E42" s="14" t="s">
        <v>1493</v>
      </c>
      <c r="F42" s="14" t="s">
        <v>1490</v>
      </c>
      <c r="G42" s="14" t="s">
        <v>1471</v>
      </c>
      <c r="H42" s="14" t="s">
        <v>624</v>
      </c>
      <c r="I42" s="14">
        <v>2003033</v>
      </c>
      <c r="J42" s="14">
        <v>0</v>
      </c>
      <c r="K42" s="14">
        <v>0</v>
      </c>
    </row>
    <row r="43" spans="1:11" x14ac:dyDescent="0.25">
      <c r="A43" s="16" t="str">
        <f>VLOOKUP(E43,Table1[[#All],[Campo]],1,0)</f>
        <v>accntng_clssfctn</v>
      </c>
      <c r="B43" s="14" t="s">
        <v>1494</v>
      </c>
      <c r="C43" s="14" t="s">
        <v>1495</v>
      </c>
      <c r="D43" s="14" t="s">
        <v>1402</v>
      </c>
      <c r="E43" s="14" t="s">
        <v>1496</v>
      </c>
      <c r="F43" s="14" t="s">
        <v>1457</v>
      </c>
      <c r="G43" s="14" t="s">
        <v>1471</v>
      </c>
      <c r="H43" s="14" t="s">
        <v>624</v>
      </c>
      <c r="I43" s="14">
        <v>2003033</v>
      </c>
      <c r="J43" s="14">
        <v>0</v>
      </c>
      <c r="K43" s="14">
        <v>0</v>
      </c>
    </row>
    <row r="44" spans="1:11" x14ac:dyDescent="0.25">
      <c r="A44" s="16" t="e">
        <f>VLOOKUP(E44,Table1[[#All],[Campo]],1,0)</f>
        <v>#N/A</v>
      </c>
      <c r="B44" s="14" t="s">
        <v>1497</v>
      </c>
      <c r="C44" s="14" t="s">
        <v>1498</v>
      </c>
      <c r="D44" s="14" t="s">
        <v>1402</v>
      </c>
      <c r="E44" s="14" t="s">
        <v>1499</v>
      </c>
      <c r="F44" s="14" t="s">
        <v>1490</v>
      </c>
      <c r="G44" s="14" t="s">
        <v>1471</v>
      </c>
      <c r="H44" s="14" t="s">
        <v>624</v>
      </c>
      <c r="I44" s="14">
        <v>2003033</v>
      </c>
      <c r="J44" s="14">
        <v>0</v>
      </c>
      <c r="K44" s="14">
        <v>0</v>
      </c>
    </row>
    <row r="45" spans="1:11" x14ac:dyDescent="0.25">
      <c r="A45" s="16" t="e">
        <f>VLOOKUP(E45,Table1[[#All],[Campo]],1,0)</f>
        <v>#N/A</v>
      </c>
      <c r="B45" s="14" t="s">
        <v>1500</v>
      </c>
      <c r="C45" s="14" t="s">
        <v>1501</v>
      </c>
      <c r="D45" s="14" t="s">
        <v>1402</v>
      </c>
      <c r="E45" s="14" t="s">
        <v>1502</v>
      </c>
      <c r="F45" s="14" t="s">
        <v>1490</v>
      </c>
      <c r="G45" s="14" t="s">
        <v>1471</v>
      </c>
      <c r="H45" s="14" t="s">
        <v>624</v>
      </c>
      <c r="I45" s="14">
        <v>2003033</v>
      </c>
      <c r="J45" s="14">
        <v>0</v>
      </c>
      <c r="K45" s="14">
        <v>0</v>
      </c>
    </row>
    <row r="46" spans="1:11" x14ac:dyDescent="0.25">
      <c r="A46" s="16" t="e">
        <f>VLOOKUP(E46,Table1[[#All],[Campo]],1,0)</f>
        <v>#N/A</v>
      </c>
      <c r="B46" s="14" t="s">
        <v>1503</v>
      </c>
      <c r="C46" s="14" t="s">
        <v>1504</v>
      </c>
      <c r="D46" s="14" t="s">
        <v>1402</v>
      </c>
      <c r="E46" s="14" t="s">
        <v>1505</v>
      </c>
      <c r="F46" s="14" t="s">
        <v>1490</v>
      </c>
      <c r="G46" s="14" t="s">
        <v>1471</v>
      </c>
      <c r="H46" s="14" t="s">
        <v>624</v>
      </c>
      <c r="I46" s="14">
        <v>2003033</v>
      </c>
      <c r="J46" s="14">
        <v>0</v>
      </c>
      <c r="K46" s="14">
        <v>0</v>
      </c>
    </row>
    <row r="47" spans="1:11" x14ac:dyDescent="0.25">
      <c r="A47" s="16" t="str">
        <f>VLOOKUP(E47,Table1[[#All],[Campo]],1,0)</f>
        <v>accmltd_imprmnt_instrmnt</v>
      </c>
      <c r="B47" s="14" t="s">
        <v>1506</v>
      </c>
      <c r="C47" s="14" t="s">
        <v>1507</v>
      </c>
      <c r="D47" s="14" t="s">
        <v>1402</v>
      </c>
      <c r="E47" s="14" t="s">
        <v>1508</v>
      </c>
      <c r="F47" s="14" t="s">
        <v>1490</v>
      </c>
      <c r="G47" s="14" t="s">
        <v>1471</v>
      </c>
      <c r="H47" s="14" t="s">
        <v>624</v>
      </c>
      <c r="I47" s="14">
        <v>2003033</v>
      </c>
      <c r="J47" s="14">
        <v>0</v>
      </c>
      <c r="K47" s="14">
        <v>0</v>
      </c>
    </row>
    <row r="48" spans="1:11" x14ac:dyDescent="0.25">
      <c r="A48" s="16" t="e">
        <f>VLOOKUP(E48,Table1[[#All],[Campo]],1,0)</f>
        <v>#N/A</v>
      </c>
      <c r="B48" s="14" t="s">
        <v>1509</v>
      </c>
      <c r="C48" s="14" t="s">
        <v>1510</v>
      </c>
      <c r="D48" s="14" t="s">
        <v>1402</v>
      </c>
      <c r="E48" s="14" t="s">
        <v>1511</v>
      </c>
      <c r="F48" s="14" t="s">
        <v>1457</v>
      </c>
      <c r="G48" s="14" t="s">
        <v>1471</v>
      </c>
      <c r="H48" s="14" t="s">
        <v>1405</v>
      </c>
      <c r="I48" s="14">
        <v>2003033</v>
      </c>
      <c r="J48" s="14">
        <v>744</v>
      </c>
      <c r="K48" s="14">
        <v>3.7100000000000001E-2</v>
      </c>
    </row>
    <row r="49" spans="1:11" x14ac:dyDescent="0.25">
      <c r="A49" s="16" t="str">
        <f>VLOOKUP(E49,Table1[[#All],[Campo]],1,0)</f>
        <v>lcl_instmrnt_id</v>
      </c>
      <c r="B49" s="14" t="s">
        <v>1512</v>
      </c>
      <c r="C49" s="14" t="s">
        <v>1513</v>
      </c>
      <c r="D49" s="14" t="s">
        <v>1402</v>
      </c>
      <c r="E49" s="14" t="s">
        <v>1411</v>
      </c>
      <c r="F49" s="14" t="s">
        <v>1469</v>
      </c>
      <c r="G49" s="14" t="s">
        <v>1471</v>
      </c>
      <c r="H49" s="14" t="s">
        <v>624</v>
      </c>
      <c r="I49" s="14">
        <v>2003033</v>
      </c>
      <c r="J49" s="14">
        <v>0</v>
      </c>
      <c r="K49" s="14">
        <v>0</v>
      </c>
    </row>
    <row r="50" spans="1:11" x14ac:dyDescent="0.25">
      <c r="A50" s="16" t="str">
        <f>VLOOKUP(E50,Table1[[#All],[Campo]],1,0)</f>
        <v>sstnbl_indctr</v>
      </c>
      <c r="B50" s="14" t="s">
        <v>1514</v>
      </c>
      <c r="C50" s="14" t="s">
        <v>1515</v>
      </c>
      <c r="D50" s="14" t="s">
        <v>1402</v>
      </c>
      <c r="E50" s="14" t="s">
        <v>1414</v>
      </c>
      <c r="F50" s="14" t="s">
        <v>1457</v>
      </c>
      <c r="G50" s="14" t="s">
        <v>1471</v>
      </c>
      <c r="H50" s="14" t="s">
        <v>1405</v>
      </c>
      <c r="I50" s="14">
        <v>2003033</v>
      </c>
      <c r="J50" s="14">
        <v>2003033</v>
      </c>
      <c r="K50" s="14">
        <v>100</v>
      </c>
    </row>
    <row r="51" spans="1:11" x14ac:dyDescent="0.25">
      <c r="A51" s="16" t="str">
        <f>VLOOKUP(E51,Table1[[#All],[Campo]],1,0)</f>
        <v>sstnbl_ctgry</v>
      </c>
      <c r="B51" s="14" t="s">
        <v>1516</v>
      </c>
      <c r="C51" s="14" t="s">
        <v>1517</v>
      </c>
      <c r="D51" s="14" t="s">
        <v>1402</v>
      </c>
      <c r="E51" s="14" t="s">
        <v>1418</v>
      </c>
      <c r="F51" s="14" t="s">
        <v>1457</v>
      </c>
      <c r="G51" s="14" t="s">
        <v>1471</v>
      </c>
      <c r="H51" s="14" t="s">
        <v>1405</v>
      </c>
      <c r="I51" s="14">
        <v>2003033</v>
      </c>
      <c r="J51" s="14">
        <v>2003033</v>
      </c>
      <c r="K51" s="14">
        <v>100</v>
      </c>
    </row>
    <row r="52" spans="1:11" x14ac:dyDescent="0.25">
      <c r="A52" s="16" t="e">
        <f>VLOOKUP(E52,Table1[[#All],[Campo]],1,0)</f>
        <v>#N/A</v>
      </c>
      <c r="B52" s="14" t="s">
        <v>1518</v>
      </c>
      <c r="C52" s="14" t="s">
        <v>1519</v>
      </c>
      <c r="D52" s="14" t="s">
        <v>1402</v>
      </c>
      <c r="E52" s="14" t="s">
        <v>1520</v>
      </c>
      <c r="F52" s="14" t="s">
        <v>1490</v>
      </c>
      <c r="G52" s="14" t="s">
        <v>1471</v>
      </c>
      <c r="H52" s="14" t="s">
        <v>624</v>
      </c>
      <c r="I52" s="14">
        <v>2003033</v>
      </c>
      <c r="J52" s="14">
        <v>0</v>
      </c>
      <c r="K52" s="14">
        <v>0</v>
      </c>
    </row>
    <row r="53" spans="1:11" x14ac:dyDescent="0.25">
      <c r="A53" s="16" t="e">
        <f>VLOOKUP(E53,Table1[[#All],[Campo]],1,0)</f>
        <v>#N/A</v>
      </c>
      <c r="B53" s="14" t="s">
        <v>1521</v>
      </c>
      <c r="C53" s="14" t="s">
        <v>1522</v>
      </c>
      <c r="D53" s="14" t="s">
        <v>1402</v>
      </c>
      <c r="E53" s="14" t="s">
        <v>1421</v>
      </c>
      <c r="F53" s="14" t="s">
        <v>1457</v>
      </c>
      <c r="G53" s="14" t="s">
        <v>1471</v>
      </c>
      <c r="H53" s="14" t="s">
        <v>1405</v>
      </c>
      <c r="I53" s="14">
        <v>2003033</v>
      </c>
      <c r="J53" s="14">
        <v>2003033</v>
      </c>
      <c r="K53" s="14">
        <v>100</v>
      </c>
    </row>
    <row r="54" spans="1:11" x14ac:dyDescent="0.25">
      <c r="A54" s="16" t="str">
        <f>VLOOKUP(E54,Table1[[#All],[Campo]],1,0)</f>
        <v>grss_intrst_incm</v>
      </c>
      <c r="B54" s="14" t="s">
        <v>1523</v>
      </c>
      <c r="C54" s="14" t="s">
        <v>1524</v>
      </c>
      <c r="D54" s="14" t="s">
        <v>1402</v>
      </c>
      <c r="E54" s="14" t="s">
        <v>1525</v>
      </c>
      <c r="F54" s="14" t="s">
        <v>1490</v>
      </c>
      <c r="G54" s="14" t="s">
        <v>1471</v>
      </c>
      <c r="H54" s="14" t="s">
        <v>624</v>
      </c>
      <c r="I54" s="14">
        <v>2003033</v>
      </c>
      <c r="J54" s="14">
        <v>0</v>
      </c>
      <c r="K54" s="14">
        <v>0</v>
      </c>
    </row>
    <row r="55" spans="1:11" x14ac:dyDescent="0.25">
      <c r="A55" s="16" t="s">
        <v>1526</v>
      </c>
      <c r="B55" s="14" t="s">
        <v>1527</v>
      </c>
      <c r="C55" s="14" t="s">
        <v>1528</v>
      </c>
      <c r="D55" s="14" t="s">
        <v>1402</v>
      </c>
      <c r="E55" s="14" t="s">
        <v>1529</v>
      </c>
      <c r="F55" s="14" t="s">
        <v>1490</v>
      </c>
      <c r="G55" s="14" t="s">
        <v>1471</v>
      </c>
      <c r="H55" s="14" t="s">
        <v>624</v>
      </c>
      <c r="I55" s="14">
        <v>2003033</v>
      </c>
      <c r="J55" s="14">
        <v>0</v>
      </c>
      <c r="K55" s="14">
        <v>0</v>
      </c>
    </row>
    <row r="56" spans="1:11" x14ac:dyDescent="0.25">
      <c r="A56" s="16" t="e">
        <f>VLOOKUP(E56,Table1[[#All],[Campo]],1,0)</f>
        <v>#N/A</v>
      </c>
      <c r="B56" s="14" t="s">
        <v>1530</v>
      </c>
      <c r="C56" s="14" t="s">
        <v>1531</v>
      </c>
      <c r="D56" s="14" t="s">
        <v>1402</v>
      </c>
      <c r="E56" s="14" t="s">
        <v>1532</v>
      </c>
      <c r="F56" s="14" t="s">
        <v>1490</v>
      </c>
      <c r="G56" s="14" t="s">
        <v>1471</v>
      </c>
      <c r="H56" s="14" t="s">
        <v>624</v>
      </c>
      <c r="I56" s="14">
        <v>2003033</v>
      </c>
      <c r="J56" s="14">
        <v>0</v>
      </c>
      <c r="K56" s="14">
        <v>0</v>
      </c>
    </row>
    <row r="57" spans="1:11" x14ac:dyDescent="0.25">
      <c r="A57" s="16" t="e">
        <f>VLOOKUP(E57,Table1[[#All],[Campo]],1,0)</f>
        <v>#N/A</v>
      </c>
      <c r="B57" s="14" t="s">
        <v>1533</v>
      </c>
      <c r="C57" s="14" t="s">
        <v>1534</v>
      </c>
      <c r="D57" s="14" t="s">
        <v>1402</v>
      </c>
      <c r="E57" s="14" t="s">
        <v>1535</v>
      </c>
      <c r="F57" s="14" t="s">
        <v>1490</v>
      </c>
      <c r="G57" s="14" t="s">
        <v>1471</v>
      </c>
      <c r="H57" s="14" t="s">
        <v>624</v>
      </c>
      <c r="I57" s="14">
        <v>2003033</v>
      </c>
      <c r="J57" s="14">
        <v>0</v>
      </c>
      <c r="K57" s="14">
        <v>0</v>
      </c>
    </row>
    <row r="58" spans="1:11" x14ac:dyDescent="0.25">
      <c r="A58" s="16" t="e">
        <f>VLOOKUP(E58,Table1[[#All],[Campo]],1,0)</f>
        <v>#N/A</v>
      </c>
      <c r="B58" s="14" t="s">
        <v>1536</v>
      </c>
      <c r="C58" s="14" t="s">
        <v>1537</v>
      </c>
      <c r="D58" s="14" t="s">
        <v>1402</v>
      </c>
      <c r="E58" s="14" t="s">
        <v>1424</v>
      </c>
      <c r="F58" s="14" t="s">
        <v>1457</v>
      </c>
      <c r="G58" s="14" t="s">
        <v>1471</v>
      </c>
      <c r="H58" s="14" t="s">
        <v>1405</v>
      </c>
      <c r="I58" s="14">
        <v>2003033</v>
      </c>
      <c r="J58" s="14">
        <v>2003033</v>
      </c>
      <c r="K58" s="14">
        <v>100</v>
      </c>
    </row>
    <row r="59" spans="1:11" x14ac:dyDescent="0.25">
      <c r="A59" s="16" t="e">
        <f>VLOOKUP(E59,Table1[[#All],[Campo]],1,0)</f>
        <v>#N/A</v>
      </c>
      <c r="B59" s="14" t="s">
        <v>1538</v>
      </c>
      <c r="C59" s="14" t="s">
        <v>1539</v>
      </c>
      <c r="D59" s="14" t="s">
        <v>1402</v>
      </c>
      <c r="E59" s="14" t="s">
        <v>1540</v>
      </c>
      <c r="F59" s="14" t="s">
        <v>1457</v>
      </c>
      <c r="G59" s="14" t="s">
        <v>1471</v>
      </c>
      <c r="H59" s="14" t="s">
        <v>1405</v>
      </c>
      <c r="I59" s="14">
        <v>2003033</v>
      </c>
      <c r="J59" s="14">
        <v>2003033</v>
      </c>
      <c r="K59" s="14">
        <v>100</v>
      </c>
    </row>
    <row r="60" spans="1:11" x14ac:dyDescent="0.25">
      <c r="A60" s="16" t="s">
        <v>1541</v>
      </c>
      <c r="B60" s="14" t="s">
        <v>1542</v>
      </c>
      <c r="C60" s="14" t="s">
        <v>1543</v>
      </c>
      <c r="D60" s="14" t="s">
        <v>1402</v>
      </c>
      <c r="E60" s="14" t="s">
        <v>1544</v>
      </c>
      <c r="F60" s="14" t="s">
        <v>1490</v>
      </c>
      <c r="G60" s="14" t="s">
        <v>1471</v>
      </c>
      <c r="H60" s="14" t="s">
        <v>624</v>
      </c>
      <c r="I60" s="14">
        <v>2003033</v>
      </c>
      <c r="J60" s="14">
        <v>0</v>
      </c>
      <c r="K60" s="14">
        <v>0</v>
      </c>
    </row>
    <row r="61" spans="1:11" x14ac:dyDescent="0.25">
      <c r="A61" s="16" t="e">
        <f>VLOOKUP(E61,Table1[[#All],[Campo]],1,0)</f>
        <v>#N/A</v>
      </c>
      <c r="B61" s="14" t="s">
        <v>1545</v>
      </c>
      <c r="C61" s="14" t="s">
        <v>1546</v>
      </c>
      <c r="D61" s="14" t="s">
        <v>1402</v>
      </c>
      <c r="E61" s="14" t="s">
        <v>1547</v>
      </c>
      <c r="F61" s="14" t="s">
        <v>1490</v>
      </c>
      <c r="G61" s="14" t="s">
        <v>1471</v>
      </c>
      <c r="H61" s="14" t="s">
        <v>624</v>
      </c>
      <c r="I61" s="14">
        <v>2003033</v>
      </c>
      <c r="J61" s="14">
        <v>0</v>
      </c>
      <c r="K61" s="14">
        <v>0</v>
      </c>
    </row>
    <row r="62" spans="1:11" x14ac:dyDescent="0.25">
      <c r="A62" s="16" t="e">
        <f>VLOOKUP(E62,Table1[[#All],[Campo]],1,0)</f>
        <v>#N/A</v>
      </c>
      <c r="B62" s="14" t="s">
        <v>1548</v>
      </c>
      <c r="C62" s="14" t="s">
        <v>1549</v>
      </c>
      <c r="D62" s="14" t="s">
        <v>1402</v>
      </c>
      <c r="E62" s="14" t="s">
        <v>1427</v>
      </c>
      <c r="F62" s="14" t="s">
        <v>1457</v>
      </c>
      <c r="G62" s="14" t="s">
        <v>1471</v>
      </c>
      <c r="H62" s="14" t="s">
        <v>1405</v>
      </c>
      <c r="I62" s="14">
        <v>2003033</v>
      </c>
      <c r="J62" s="14">
        <v>2003033</v>
      </c>
      <c r="K62" s="14">
        <v>100</v>
      </c>
    </row>
    <row r="63" spans="1:11" x14ac:dyDescent="0.25">
      <c r="A63" s="16" t="e">
        <f>VLOOKUP(E63,Table1[[#All],[Campo]],1,0)</f>
        <v>#N/A</v>
      </c>
      <c r="B63" s="14" t="s">
        <v>1550</v>
      </c>
      <c r="C63" s="14" t="s">
        <v>1551</v>
      </c>
      <c r="D63" s="14" t="s">
        <v>1402</v>
      </c>
      <c r="E63" s="14" t="s">
        <v>1552</v>
      </c>
      <c r="F63" s="14" t="s">
        <v>1457</v>
      </c>
      <c r="G63" s="14" t="s">
        <v>1471</v>
      </c>
      <c r="H63" s="14" t="s">
        <v>1405</v>
      </c>
      <c r="I63" s="14">
        <v>2003033</v>
      </c>
      <c r="J63" s="14">
        <v>2003033</v>
      </c>
      <c r="K63" s="14">
        <v>100</v>
      </c>
    </row>
    <row r="64" spans="1:11" x14ac:dyDescent="0.25">
      <c r="A64" s="16" t="e">
        <f>VLOOKUP(E64,Table1[[#All],[Campo]],1,0)</f>
        <v>#N/A</v>
      </c>
      <c r="B64" s="14" t="s">
        <v>1553</v>
      </c>
      <c r="C64" s="14" t="s">
        <v>1554</v>
      </c>
      <c r="D64" s="14" t="s">
        <v>1402</v>
      </c>
      <c r="E64" s="14" t="s">
        <v>1555</v>
      </c>
      <c r="F64" s="14" t="s">
        <v>1457</v>
      </c>
      <c r="G64" s="14" t="s">
        <v>1471</v>
      </c>
      <c r="H64" s="14" t="s">
        <v>1405</v>
      </c>
      <c r="I64" s="14">
        <v>2003033</v>
      </c>
      <c r="J64" s="14">
        <v>2003033</v>
      </c>
      <c r="K64" s="14">
        <v>100</v>
      </c>
    </row>
    <row r="65" spans="1:11" x14ac:dyDescent="0.25">
      <c r="A65" s="16" t="e">
        <f>VLOOKUP(E65,Table1[[#All],[Campo]],1,0)</f>
        <v>#N/A</v>
      </c>
      <c r="B65" s="14" t="s">
        <v>1556</v>
      </c>
      <c r="C65" s="14" t="s">
        <v>1557</v>
      </c>
      <c r="D65" s="14" t="s">
        <v>1402</v>
      </c>
      <c r="E65" s="14" t="s">
        <v>1558</v>
      </c>
      <c r="F65" s="14" t="s">
        <v>1457</v>
      </c>
      <c r="G65" s="14" t="s">
        <v>1471</v>
      </c>
      <c r="H65" s="14" t="s">
        <v>1405</v>
      </c>
      <c r="I65" s="14">
        <v>2003033</v>
      </c>
      <c r="J65" s="14">
        <v>2003033</v>
      </c>
      <c r="K65" s="14">
        <v>100</v>
      </c>
    </row>
    <row r="66" spans="1:11" x14ac:dyDescent="0.25">
      <c r="A66" s="16" t="e">
        <f>VLOOKUP(E66,Table1[[#All],[Campo]],1,0)</f>
        <v>#N/A</v>
      </c>
      <c r="B66" s="14" t="s">
        <v>1559</v>
      </c>
      <c r="C66" s="14" t="s">
        <v>1560</v>
      </c>
      <c r="D66" s="14" t="s">
        <v>1402</v>
      </c>
      <c r="E66" s="14" t="s">
        <v>1561</v>
      </c>
      <c r="F66" s="14" t="s">
        <v>1490</v>
      </c>
      <c r="G66" s="14" t="s">
        <v>1471</v>
      </c>
      <c r="H66" s="14" t="s">
        <v>624</v>
      </c>
      <c r="I66" s="14">
        <v>2003033</v>
      </c>
      <c r="J66" s="14">
        <v>0</v>
      </c>
      <c r="K66" s="14">
        <v>0</v>
      </c>
    </row>
    <row r="67" spans="1:11" x14ac:dyDescent="0.25">
      <c r="A67" s="16" t="e">
        <f>VLOOKUP(E67,Table1[[#All],[Campo]],1,0)</f>
        <v>#N/A</v>
      </c>
      <c r="B67" s="14" t="s">
        <v>1562</v>
      </c>
      <c r="C67" s="14" t="s">
        <v>1563</v>
      </c>
      <c r="D67" s="14" t="s">
        <v>1402</v>
      </c>
      <c r="E67" s="14" t="s">
        <v>1564</v>
      </c>
      <c r="F67" s="14" t="s">
        <v>1490</v>
      </c>
      <c r="G67" s="14" t="s">
        <v>1471</v>
      </c>
      <c r="H67" s="14" t="s">
        <v>624</v>
      </c>
      <c r="I67" s="14">
        <v>2003033</v>
      </c>
      <c r="J67" s="14">
        <v>0</v>
      </c>
      <c r="K67" s="14">
        <v>0</v>
      </c>
    </row>
    <row r="68" spans="1:11" x14ac:dyDescent="0.25">
      <c r="A68" s="16" t="s">
        <v>1565</v>
      </c>
      <c r="B68" s="14" t="s">
        <v>1566</v>
      </c>
      <c r="C68" s="14" t="s">
        <v>1567</v>
      </c>
      <c r="D68" s="14" t="s">
        <v>1402</v>
      </c>
      <c r="E68" s="14" t="s">
        <v>1568</v>
      </c>
      <c r="F68" s="14" t="s">
        <v>1490</v>
      </c>
      <c r="G68" s="14" t="s">
        <v>1471</v>
      </c>
      <c r="H68" s="14" t="s">
        <v>624</v>
      </c>
      <c r="I68" s="14">
        <v>2003033</v>
      </c>
      <c r="J68" s="14">
        <v>0</v>
      </c>
      <c r="K68" s="14">
        <v>0</v>
      </c>
    </row>
    <row r="69" spans="1:11" x14ac:dyDescent="0.25">
      <c r="A69" s="16" t="s">
        <v>1569</v>
      </c>
      <c r="B69" s="14" t="s">
        <v>1570</v>
      </c>
      <c r="C69" s="14" t="s">
        <v>1571</v>
      </c>
      <c r="D69" s="14" t="s">
        <v>1402</v>
      </c>
      <c r="E69" s="14" t="s">
        <v>1572</v>
      </c>
      <c r="F69" s="14" t="s">
        <v>1490</v>
      </c>
      <c r="G69" s="14" t="s">
        <v>1471</v>
      </c>
      <c r="H69" s="14" t="s">
        <v>624</v>
      </c>
      <c r="I69" s="14">
        <v>2003033</v>
      </c>
      <c r="J69" s="14">
        <v>0</v>
      </c>
      <c r="K69" s="14">
        <v>0</v>
      </c>
    </row>
    <row r="70" spans="1:11" x14ac:dyDescent="0.25">
      <c r="A70" s="16" t="e">
        <f>VLOOKUP(E70,Table1[[#All],[Campo]],1,0)</f>
        <v>#N/A</v>
      </c>
      <c r="B70" s="14" t="s">
        <v>1573</v>
      </c>
      <c r="C70" s="14" t="s">
        <v>1574</v>
      </c>
      <c r="D70" s="14" t="s">
        <v>1402</v>
      </c>
      <c r="E70" s="14" t="s">
        <v>1575</v>
      </c>
      <c r="F70" s="14" t="s">
        <v>1490</v>
      </c>
      <c r="G70" s="14" t="s">
        <v>1471</v>
      </c>
      <c r="H70" s="14" t="s">
        <v>624</v>
      </c>
      <c r="I70" s="14">
        <v>2003033</v>
      </c>
      <c r="J70" s="14">
        <v>0</v>
      </c>
      <c r="K70" s="14">
        <v>0</v>
      </c>
    </row>
    <row r="71" spans="1:11" x14ac:dyDescent="0.25">
      <c r="A71" s="16" t="e">
        <f>VLOOKUP(E71,Table1[[#All],[Campo]],1,0)</f>
        <v>#N/A</v>
      </c>
      <c r="B71" s="14" t="s">
        <v>1576</v>
      </c>
      <c r="C71" s="14" t="s">
        <v>1577</v>
      </c>
      <c r="D71" s="14" t="s">
        <v>1402</v>
      </c>
      <c r="E71" s="14" t="s">
        <v>1578</v>
      </c>
      <c r="F71" s="14" t="s">
        <v>1490</v>
      </c>
      <c r="G71" s="14" t="s">
        <v>1471</v>
      </c>
      <c r="H71" s="14" t="s">
        <v>624</v>
      </c>
      <c r="I71" s="14">
        <v>2003033</v>
      </c>
      <c r="J71" s="14">
        <v>0</v>
      </c>
      <c r="K71" s="14">
        <v>0</v>
      </c>
    </row>
    <row r="72" spans="1:11" x14ac:dyDescent="0.25">
      <c r="A72" s="16" t="e">
        <f>VLOOKUP(E72,Table1[[#All],[Campo]],1,0)</f>
        <v>#N/A</v>
      </c>
      <c r="B72" s="14" t="s">
        <v>1579</v>
      </c>
      <c r="C72" s="14" t="s">
        <v>1580</v>
      </c>
      <c r="D72" s="14" t="s">
        <v>1402</v>
      </c>
      <c r="E72" s="14" t="s">
        <v>1581</v>
      </c>
      <c r="F72" s="14" t="s">
        <v>1490</v>
      </c>
      <c r="G72" s="14" t="s">
        <v>1471</v>
      </c>
      <c r="H72" s="14" t="s">
        <v>624</v>
      </c>
      <c r="I72" s="14">
        <v>2003033</v>
      </c>
      <c r="J72" s="14">
        <v>0</v>
      </c>
      <c r="K72" s="14">
        <v>0</v>
      </c>
    </row>
    <row r="73" spans="1:11" x14ac:dyDescent="0.25">
      <c r="A73" s="16" t="e">
        <f>VLOOKUP(E73,Table1[[#All],[Campo]],1,0)</f>
        <v>#N/A</v>
      </c>
      <c r="B73" s="14" t="s">
        <v>1582</v>
      </c>
      <c r="C73" s="14" t="s">
        <v>1583</v>
      </c>
      <c r="D73" s="14" t="s">
        <v>1402</v>
      </c>
      <c r="E73" s="14" t="s">
        <v>1584</v>
      </c>
      <c r="F73" s="14" t="s">
        <v>1490</v>
      </c>
      <c r="G73" s="14" t="s">
        <v>1471</v>
      </c>
      <c r="H73" s="14" t="s">
        <v>624</v>
      </c>
      <c r="I73" s="14">
        <v>2003033</v>
      </c>
      <c r="J73" s="14">
        <v>0</v>
      </c>
      <c r="K73" s="14">
        <v>0</v>
      </c>
    </row>
    <row r="74" spans="1:11" x14ac:dyDescent="0.25">
      <c r="A74" s="16" t="e">
        <f>VLOOKUP(E74,Table1[[#All],[Campo]],1,0)</f>
        <v>#N/A</v>
      </c>
      <c r="B74" s="14" t="s">
        <v>1585</v>
      </c>
      <c r="C74" s="14" t="s">
        <v>1586</v>
      </c>
      <c r="D74" s="14" t="s">
        <v>1402</v>
      </c>
      <c r="E74" s="14" t="s">
        <v>1587</v>
      </c>
      <c r="F74" s="14" t="s">
        <v>1490</v>
      </c>
      <c r="G74" s="14" t="s">
        <v>1471</v>
      </c>
      <c r="H74" s="14" t="s">
        <v>624</v>
      </c>
      <c r="I74" s="14">
        <v>2003033</v>
      </c>
      <c r="J74" s="14">
        <v>0</v>
      </c>
      <c r="K74" s="14">
        <v>0</v>
      </c>
    </row>
    <row r="75" spans="1:11" x14ac:dyDescent="0.25">
      <c r="A75" s="16" t="s">
        <v>1588</v>
      </c>
      <c r="B75" s="14" t="s">
        <v>1589</v>
      </c>
      <c r="C75" s="14" t="s">
        <v>1590</v>
      </c>
      <c r="D75" s="14" t="s">
        <v>1402</v>
      </c>
      <c r="E75" s="14" t="s">
        <v>1591</v>
      </c>
      <c r="F75" s="14" t="s">
        <v>1490</v>
      </c>
      <c r="G75" s="14" t="s">
        <v>1471</v>
      </c>
      <c r="H75" s="14" t="s">
        <v>624</v>
      </c>
      <c r="I75" s="14">
        <v>2003033</v>
      </c>
      <c r="J75" s="14">
        <v>0</v>
      </c>
      <c r="K75" s="14">
        <v>0</v>
      </c>
    </row>
    <row r="76" spans="1:11" x14ac:dyDescent="0.25">
      <c r="A76" s="16" t="s">
        <v>1592</v>
      </c>
      <c r="B76" s="14" t="s">
        <v>1593</v>
      </c>
      <c r="C76" s="14" t="s">
        <v>1594</v>
      </c>
      <c r="D76" s="14" t="s">
        <v>1402</v>
      </c>
      <c r="E76" s="14" t="s">
        <v>1595</v>
      </c>
      <c r="F76" s="14" t="s">
        <v>1490</v>
      </c>
      <c r="G76" s="14" t="s">
        <v>1471</v>
      </c>
      <c r="H76" s="14" t="s">
        <v>624</v>
      </c>
      <c r="I76" s="14">
        <v>2003033</v>
      </c>
      <c r="J76" s="14">
        <v>0</v>
      </c>
      <c r="K76" s="14">
        <v>0</v>
      </c>
    </row>
    <row r="77" spans="1:11" x14ac:dyDescent="0.25">
      <c r="A77" s="16" t="e">
        <f>VLOOKUP(E77,Table1[[#All],[Campo]],1,0)</f>
        <v>#N/A</v>
      </c>
      <c r="B77" s="14" t="s">
        <v>1596</v>
      </c>
      <c r="C77" s="14" t="s">
        <v>1597</v>
      </c>
      <c r="D77" s="14" t="s">
        <v>1402</v>
      </c>
      <c r="E77" s="14" t="s">
        <v>1598</v>
      </c>
      <c r="F77" s="14" t="s">
        <v>1490</v>
      </c>
      <c r="G77" s="14" t="s">
        <v>1471</v>
      </c>
      <c r="H77" s="14" t="s">
        <v>624</v>
      </c>
      <c r="I77" s="14">
        <v>2003033</v>
      </c>
      <c r="J77" s="14">
        <v>0</v>
      </c>
      <c r="K77" s="14">
        <v>0</v>
      </c>
    </row>
    <row r="78" spans="1:11" x14ac:dyDescent="0.25">
      <c r="A78" s="16" t="e">
        <f>VLOOKUP(E78,Table1[[#All],[Campo]],1,0)</f>
        <v>#N/A</v>
      </c>
      <c r="B78" s="14" t="s">
        <v>1599</v>
      </c>
      <c r="C78" s="14" t="s">
        <v>1600</v>
      </c>
      <c r="D78" s="14" t="s">
        <v>1402</v>
      </c>
      <c r="E78" s="14" t="s">
        <v>1430</v>
      </c>
      <c r="F78" s="14" t="s">
        <v>1457</v>
      </c>
      <c r="G78" s="14" t="s">
        <v>1471</v>
      </c>
      <c r="H78" s="14" t="s">
        <v>1405</v>
      </c>
      <c r="I78" s="14">
        <v>2003033</v>
      </c>
      <c r="J78" s="14">
        <v>2003033</v>
      </c>
      <c r="K78" s="14">
        <v>100</v>
      </c>
    </row>
    <row r="79" spans="1:11" x14ac:dyDescent="0.25">
      <c r="A79" s="16" t="s">
        <v>1601</v>
      </c>
      <c r="B79" s="14" t="s">
        <v>1602</v>
      </c>
      <c r="C79" s="14" t="s">
        <v>1603</v>
      </c>
      <c r="D79" s="14" t="s">
        <v>1402</v>
      </c>
      <c r="E79" s="14" t="s">
        <v>1604</v>
      </c>
      <c r="F79" s="14" t="s">
        <v>1490</v>
      </c>
      <c r="G79" s="14" t="s">
        <v>1471</v>
      </c>
      <c r="H79" s="14" t="s">
        <v>624</v>
      </c>
      <c r="I79" s="14">
        <v>2003033</v>
      </c>
      <c r="J79" s="14">
        <v>0</v>
      </c>
      <c r="K79" s="14">
        <v>0</v>
      </c>
    </row>
    <row r="80" spans="1:11" x14ac:dyDescent="0.25">
      <c r="A80" s="16" t="s">
        <v>1605</v>
      </c>
      <c r="B80" s="14" t="s">
        <v>1606</v>
      </c>
      <c r="C80" s="14" t="s">
        <v>1607</v>
      </c>
      <c r="D80" s="14" t="s">
        <v>1402</v>
      </c>
      <c r="E80" s="14" t="s">
        <v>1608</v>
      </c>
      <c r="F80" s="14" t="s">
        <v>1490</v>
      </c>
      <c r="G80" s="14" t="s">
        <v>1471</v>
      </c>
      <c r="H80" s="14" t="s">
        <v>624</v>
      </c>
      <c r="I80" s="14">
        <v>2003033</v>
      </c>
      <c r="J80" s="14">
        <v>0</v>
      </c>
      <c r="K80" s="14">
        <v>0</v>
      </c>
    </row>
    <row r="81" spans="1:11" x14ac:dyDescent="0.25">
      <c r="A81" s="16" t="s">
        <v>1431</v>
      </c>
      <c r="B81" s="14" t="s">
        <v>1609</v>
      </c>
      <c r="C81" s="14" t="s">
        <v>1610</v>
      </c>
      <c r="D81" s="14" t="s">
        <v>1402</v>
      </c>
      <c r="E81" s="14" t="s">
        <v>1434</v>
      </c>
      <c r="F81" s="14" t="s">
        <v>1457</v>
      </c>
      <c r="G81" s="14" t="s">
        <v>1471</v>
      </c>
      <c r="H81" s="14" t="s">
        <v>1405</v>
      </c>
      <c r="I81" s="14">
        <v>2003033</v>
      </c>
      <c r="J81" s="14">
        <v>2003033</v>
      </c>
      <c r="K81" s="14">
        <v>100</v>
      </c>
    </row>
    <row r="82" spans="1:11" x14ac:dyDescent="0.25">
      <c r="A82" s="16" t="str">
        <f>VLOOKUP(E82,Table1[[#All],[Campo]],1,0)</f>
        <v>idcmb</v>
      </c>
      <c r="B82" s="14" t="s">
        <v>1611</v>
      </c>
      <c r="C82" s="14" t="s">
        <v>1612</v>
      </c>
      <c r="D82" s="14" t="s">
        <v>1402</v>
      </c>
      <c r="E82" s="14" t="s">
        <v>1437</v>
      </c>
      <c r="F82" s="14" t="s">
        <v>1457</v>
      </c>
      <c r="G82" s="14" t="s">
        <v>1471</v>
      </c>
      <c r="H82" s="14" t="s">
        <v>1405</v>
      </c>
      <c r="I82" s="14">
        <v>2003033</v>
      </c>
      <c r="J82" s="14">
        <v>2003033</v>
      </c>
      <c r="K82" s="14">
        <v>100</v>
      </c>
    </row>
    <row r="83" spans="1:11" x14ac:dyDescent="0.25">
      <c r="A83" s="16" t="str">
        <f>VLOOKUP(E83,Table1[[#All],[Campo]],1,0)</f>
        <v>cod_soc</v>
      </c>
      <c r="B83" s="14" t="s">
        <v>1613</v>
      </c>
      <c r="C83" s="14" t="s">
        <v>1455</v>
      </c>
      <c r="D83" s="14" t="s">
        <v>1453</v>
      </c>
      <c r="E83" s="14" t="s">
        <v>1380</v>
      </c>
      <c r="F83" s="14" t="s">
        <v>1457</v>
      </c>
      <c r="G83" s="14" t="s">
        <v>1614</v>
      </c>
      <c r="H83" s="14" t="s">
        <v>624</v>
      </c>
      <c r="I83" s="14">
        <v>731165</v>
      </c>
      <c r="J83" s="14">
        <v>0</v>
      </c>
      <c r="K83" s="14">
        <v>0</v>
      </c>
    </row>
    <row r="84" spans="1:11" x14ac:dyDescent="0.25">
      <c r="A84" s="16" t="str">
        <f>VLOOKUP(E84,Table1[[#All],[Campo]],1,0)</f>
        <v>dt_rfrnc</v>
      </c>
      <c r="B84" s="14" t="s">
        <v>1615</v>
      </c>
      <c r="C84" s="14" t="s">
        <v>1466</v>
      </c>
      <c r="D84" s="14" t="s">
        <v>1453</v>
      </c>
      <c r="E84" s="14" t="s">
        <v>1385</v>
      </c>
      <c r="F84" s="14" t="s">
        <v>1461</v>
      </c>
      <c r="G84" s="14" t="s">
        <v>1614</v>
      </c>
      <c r="H84" s="14" t="s">
        <v>624</v>
      </c>
      <c r="I84" s="14">
        <v>731165</v>
      </c>
      <c r="J84" s="14">
        <v>0</v>
      </c>
      <c r="K84" s="14">
        <v>0</v>
      </c>
    </row>
    <row r="85" spans="1:11" x14ac:dyDescent="0.25">
      <c r="A85" s="16" t="str">
        <f>VLOOKUP(E85,Table1[[#All],[Campo]],1,0)</f>
        <v>instrmnt_id</v>
      </c>
      <c r="B85" s="14" t="s">
        <v>1616</v>
      </c>
      <c r="C85" s="14" t="s">
        <v>1468</v>
      </c>
      <c r="D85" s="14" t="s">
        <v>1453</v>
      </c>
      <c r="E85" s="14" t="s">
        <v>1394</v>
      </c>
      <c r="F85" s="14" t="s">
        <v>1469</v>
      </c>
      <c r="G85" s="14" t="s">
        <v>1614</v>
      </c>
      <c r="H85" s="14" t="s">
        <v>624</v>
      </c>
      <c r="I85" s="14">
        <v>731165</v>
      </c>
      <c r="J85" s="14">
        <v>0</v>
      </c>
      <c r="K85" s="14">
        <v>0</v>
      </c>
    </row>
    <row r="86" spans="1:11" x14ac:dyDescent="0.25">
      <c r="A86" s="16" t="str">
        <f>VLOOKUP(E86,Table1[[#All],[Campo]],1,0)</f>
        <v>cod_soc</v>
      </c>
      <c r="B86" s="14" t="s">
        <v>1617</v>
      </c>
      <c r="C86" s="14" t="s">
        <v>1455</v>
      </c>
      <c r="D86" s="14" t="s">
        <v>1618</v>
      </c>
      <c r="E86" s="14" t="s">
        <v>1380</v>
      </c>
      <c r="F86" s="14" t="s">
        <v>1457</v>
      </c>
      <c r="G86" s="14" t="s">
        <v>1619</v>
      </c>
      <c r="H86" s="14" t="s">
        <v>624</v>
      </c>
      <c r="I86" s="14">
        <v>456960</v>
      </c>
      <c r="J86" s="14">
        <v>0</v>
      </c>
      <c r="K86" s="14">
        <v>0</v>
      </c>
    </row>
    <row r="87" spans="1:11" x14ac:dyDescent="0.25">
      <c r="A87" s="16" t="str">
        <f>VLOOKUP(E87,Table1[[#All],[Campo]],1,0)</f>
        <v>dt_rfrnc</v>
      </c>
      <c r="B87" s="14" t="s">
        <v>1620</v>
      </c>
      <c r="C87" s="14" t="s">
        <v>1466</v>
      </c>
      <c r="D87" s="14" t="s">
        <v>1618</v>
      </c>
      <c r="E87" s="14" t="s">
        <v>1385</v>
      </c>
      <c r="F87" s="14" t="s">
        <v>1461</v>
      </c>
      <c r="G87" s="14" t="s">
        <v>1619</v>
      </c>
      <c r="H87" s="14" t="s">
        <v>624</v>
      </c>
      <c r="I87" s="14">
        <v>456960</v>
      </c>
      <c r="J87" s="14">
        <v>0</v>
      </c>
      <c r="K87" s="14">
        <v>0</v>
      </c>
    </row>
    <row r="88" spans="1:11" x14ac:dyDescent="0.25">
      <c r="A88" s="16" t="str">
        <f>VLOOKUP(E88,Table1[[#All],[Campo]],1,0)</f>
        <v>instrmnt_id</v>
      </c>
      <c r="B88" s="14" t="s">
        <v>1621</v>
      </c>
      <c r="C88" s="14" t="s">
        <v>1622</v>
      </c>
      <c r="D88" s="14" t="s">
        <v>1463</v>
      </c>
      <c r="E88" s="14" t="s">
        <v>1394</v>
      </c>
      <c r="F88" s="14" t="s">
        <v>1623</v>
      </c>
      <c r="G88" s="14" t="s">
        <v>1624</v>
      </c>
      <c r="H88" s="14" t="s">
        <v>624</v>
      </c>
      <c r="I88" s="14">
        <v>2490665</v>
      </c>
      <c r="J88" s="14">
        <v>0</v>
      </c>
      <c r="K88" s="14">
        <v>0</v>
      </c>
    </row>
    <row r="89" spans="1:11" x14ac:dyDescent="0.25">
      <c r="A89" s="16" t="str">
        <f>VLOOKUP(E89,Table1[[#All],[Campo]],1,0)</f>
        <v>typ_instrmnt</v>
      </c>
      <c r="B89" s="14" t="s">
        <v>1625</v>
      </c>
      <c r="C89" s="14" t="s">
        <v>1626</v>
      </c>
      <c r="D89" s="14" t="s">
        <v>1402</v>
      </c>
      <c r="E89" s="14" t="s">
        <v>1486</v>
      </c>
      <c r="F89" s="14" t="s">
        <v>1623</v>
      </c>
      <c r="G89" s="14" t="s">
        <v>1624</v>
      </c>
      <c r="H89" s="14" t="s">
        <v>624</v>
      </c>
      <c r="I89" s="14">
        <v>2001306</v>
      </c>
      <c r="J89" s="14">
        <v>0</v>
      </c>
      <c r="K89" s="14">
        <v>0</v>
      </c>
    </row>
    <row r="90" spans="1:11" x14ac:dyDescent="0.25">
      <c r="A90" s="16" t="str">
        <f>VLOOKUP(E90,Table1[[#All],[Campo]],1,0)</f>
        <v>instrmnt_id</v>
      </c>
      <c r="B90" s="14" t="s">
        <v>1627</v>
      </c>
      <c r="C90" s="14" t="s">
        <v>1628</v>
      </c>
      <c r="D90" s="14" t="s">
        <v>1453</v>
      </c>
      <c r="E90" s="14" t="s">
        <v>1394</v>
      </c>
      <c r="F90" s="14" t="s">
        <v>1623</v>
      </c>
      <c r="G90" s="14" t="s">
        <v>1624</v>
      </c>
      <c r="H90" s="14" t="s">
        <v>624</v>
      </c>
      <c r="I90" s="14">
        <v>731165</v>
      </c>
      <c r="J90" s="14">
        <v>0</v>
      </c>
      <c r="K90" s="14">
        <v>0</v>
      </c>
    </row>
    <row r="91" spans="1:11" x14ac:dyDescent="0.25">
      <c r="A91" s="16" t="str">
        <f>VLOOKUP(E91,Table1[[#All],[Campo]],1,0)</f>
        <v>dt_rfrnc</v>
      </c>
      <c r="B91" s="14" t="s">
        <v>1629</v>
      </c>
      <c r="C91" s="14" t="s">
        <v>1630</v>
      </c>
      <c r="D91" s="14" t="s">
        <v>1379</v>
      </c>
      <c r="E91" s="14" t="s">
        <v>1385</v>
      </c>
      <c r="F91" s="14" t="s">
        <v>1631</v>
      </c>
      <c r="G91" s="14" t="s">
        <v>1632</v>
      </c>
      <c r="H91" s="14" t="s">
        <v>624</v>
      </c>
      <c r="I91" s="14">
        <v>1096295</v>
      </c>
      <c r="J91" s="14">
        <v>0</v>
      </c>
      <c r="K91" s="14">
        <v>0</v>
      </c>
    </row>
    <row r="92" spans="1:11" x14ac:dyDescent="0.25">
      <c r="A92" s="16" t="str">
        <f>VLOOKUP(E92,Table1[[#All],[Campo]],1,0)</f>
        <v>dt_rfrnc</v>
      </c>
      <c r="B92" s="14" t="s">
        <v>1633</v>
      </c>
      <c r="C92" s="14" t="s">
        <v>1634</v>
      </c>
      <c r="D92" s="14" t="s">
        <v>1388</v>
      </c>
      <c r="E92" s="14" t="s">
        <v>1385</v>
      </c>
      <c r="F92" s="14" t="s">
        <v>1631</v>
      </c>
      <c r="G92" s="14" t="s">
        <v>1635</v>
      </c>
      <c r="H92" s="14" t="s">
        <v>624</v>
      </c>
      <c r="I92" s="14">
        <v>2490665</v>
      </c>
      <c r="J92" s="14">
        <v>0</v>
      </c>
      <c r="K92" s="14">
        <v>0</v>
      </c>
    </row>
    <row r="93" spans="1:11" x14ac:dyDescent="0.25">
      <c r="A93" s="16" t="str">
        <f>VLOOKUP(E93,Table1[[#All],[Campo]],1,0)</f>
        <v>dt_rfrnc</v>
      </c>
      <c r="B93" s="14" t="s">
        <v>1636</v>
      </c>
      <c r="C93" s="14" t="s">
        <v>1634</v>
      </c>
      <c r="D93" s="14" t="s">
        <v>1396</v>
      </c>
      <c r="E93" s="14" t="s">
        <v>1385</v>
      </c>
      <c r="F93" s="14" t="s">
        <v>1631</v>
      </c>
      <c r="G93" s="14" t="s">
        <v>1637</v>
      </c>
      <c r="H93" s="14" t="s">
        <v>624</v>
      </c>
      <c r="I93" s="14">
        <v>2002411</v>
      </c>
      <c r="J93" s="14">
        <v>0</v>
      </c>
      <c r="K93" s="14">
        <v>0</v>
      </c>
    </row>
    <row r="94" spans="1:11" x14ac:dyDescent="0.25">
      <c r="A94" s="16" t="str">
        <f>VLOOKUP(E94,Table1[[#All],[Campo]],1,0)</f>
        <v>imprmnt_stts</v>
      </c>
      <c r="B94" s="14" t="s">
        <v>1638</v>
      </c>
      <c r="C94" s="14" t="s">
        <v>1639</v>
      </c>
      <c r="D94" s="14" t="s">
        <v>1396</v>
      </c>
      <c r="E94" s="14" t="s">
        <v>1481</v>
      </c>
      <c r="F94" s="14" t="s">
        <v>1457</v>
      </c>
      <c r="G94" s="14" t="s">
        <v>1637</v>
      </c>
      <c r="H94" s="14" t="s">
        <v>624</v>
      </c>
      <c r="I94" s="14">
        <v>2002411</v>
      </c>
      <c r="J94" s="14">
        <v>0</v>
      </c>
      <c r="K94" s="14">
        <v>0</v>
      </c>
    </row>
    <row r="95" spans="1:11" x14ac:dyDescent="0.25">
      <c r="A95" s="16" t="e">
        <f>VLOOKUP(E95,Table1[[#All],[Campo]],1,0)</f>
        <v>#N/A</v>
      </c>
      <c r="B95" s="14" t="s">
        <v>1640</v>
      </c>
      <c r="C95" s="14" t="s">
        <v>1641</v>
      </c>
      <c r="D95" s="14" t="s">
        <v>1396</v>
      </c>
      <c r="E95" s="14" t="s">
        <v>1575</v>
      </c>
      <c r="F95" s="14" t="s">
        <v>1457</v>
      </c>
      <c r="G95" s="14" t="s">
        <v>1637</v>
      </c>
      <c r="H95" s="14" t="s">
        <v>624</v>
      </c>
      <c r="I95" s="14">
        <v>2002411</v>
      </c>
      <c r="J95" s="14">
        <v>0</v>
      </c>
      <c r="K95" s="14">
        <v>0</v>
      </c>
    </row>
    <row r="96" spans="1:11" x14ac:dyDescent="0.25">
      <c r="A96" s="16" t="str">
        <f>VLOOKUP(E96,Table1[[#All],[Campo]],1,0)</f>
        <v>dt_rfrnc</v>
      </c>
      <c r="B96" s="14" t="s">
        <v>1642</v>
      </c>
      <c r="C96" s="14" t="s">
        <v>1634</v>
      </c>
      <c r="D96" s="14" t="s">
        <v>1439</v>
      </c>
      <c r="E96" s="14" t="s">
        <v>1385</v>
      </c>
      <c r="F96" s="14" t="s">
        <v>1631</v>
      </c>
      <c r="G96" s="14" t="s">
        <v>1643</v>
      </c>
      <c r="H96" s="14" t="s">
        <v>624</v>
      </c>
      <c r="I96" s="14">
        <v>731165</v>
      </c>
      <c r="J96" s="14">
        <v>0</v>
      </c>
      <c r="K96" s="14">
        <v>0</v>
      </c>
    </row>
    <row r="97" spans="1:11" x14ac:dyDescent="0.25">
      <c r="A97" s="16" t="str">
        <f>VLOOKUP(E97,Table1[[#All],[Campo]],1,0)</f>
        <v>dt_rfrnc</v>
      </c>
      <c r="B97" s="14" t="s">
        <v>1644</v>
      </c>
      <c r="C97" s="14" t="s">
        <v>1634</v>
      </c>
      <c r="D97" s="14" t="s">
        <v>1444</v>
      </c>
      <c r="E97" s="14" t="s">
        <v>1385</v>
      </c>
      <c r="F97" s="14" t="s">
        <v>1631</v>
      </c>
      <c r="G97" s="14" t="s">
        <v>1645</v>
      </c>
      <c r="H97" s="14" t="s">
        <v>624</v>
      </c>
      <c r="I97" s="14">
        <v>456960</v>
      </c>
      <c r="J97" s="14">
        <v>0</v>
      </c>
      <c r="K97" s="14">
        <v>0</v>
      </c>
    </row>
    <row r="98" spans="1:11" x14ac:dyDescent="0.25">
      <c r="A98" s="16" t="str">
        <f>VLOOKUP(E98,Table1[[#All],[Campo]],1,0)</f>
        <v>dt_rfrnc</v>
      </c>
      <c r="B98" s="14" t="s">
        <v>1646</v>
      </c>
      <c r="C98" s="14" t="s">
        <v>1647</v>
      </c>
      <c r="D98" s="14" t="s">
        <v>1456</v>
      </c>
      <c r="E98" s="14" t="s">
        <v>1385</v>
      </c>
      <c r="F98" s="14" t="s">
        <v>1631</v>
      </c>
      <c r="G98" s="14" t="s">
        <v>1648</v>
      </c>
      <c r="H98" s="14" t="s">
        <v>624</v>
      </c>
      <c r="I98" s="14">
        <v>1096295</v>
      </c>
      <c r="J98" s="14">
        <v>0</v>
      </c>
      <c r="K98" s="14">
        <v>0</v>
      </c>
    </row>
    <row r="99" spans="1:11" x14ac:dyDescent="0.25">
      <c r="A99" s="16" t="str">
        <f>VLOOKUP(E99,Table1[[#All],[Campo]],1,0)</f>
        <v>dt_rfrnc</v>
      </c>
      <c r="B99" s="14" t="s">
        <v>1649</v>
      </c>
      <c r="C99" s="14" t="s">
        <v>1647</v>
      </c>
      <c r="D99" s="14" t="s">
        <v>1463</v>
      </c>
      <c r="E99" s="14" t="s">
        <v>1385</v>
      </c>
      <c r="F99" s="14" t="s">
        <v>1631</v>
      </c>
      <c r="G99" s="14" t="s">
        <v>1650</v>
      </c>
      <c r="H99" s="14" t="s">
        <v>624</v>
      </c>
      <c r="I99" s="14">
        <v>2490665</v>
      </c>
      <c r="J99" s="14">
        <v>0</v>
      </c>
      <c r="K99" s="14">
        <v>0</v>
      </c>
    </row>
    <row r="100" spans="1:11" x14ac:dyDescent="0.25">
      <c r="A100" s="16" t="str">
        <f>VLOOKUP(E100,Table1[[#All],[Campo]],1,0)</f>
        <v>dt_rfrnc</v>
      </c>
      <c r="B100" s="14" t="s">
        <v>1651</v>
      </c>
      <c r="C100" s="14" t="s">
        <v>1647</v>
      </c>
      <c r="D100" s="14" t="s">
        <v>1402</v>
      </c>
      <c r="E100" s="14" t="s">
        <v>1385</v>
      </c>
      <c r="F100" s="14" t="s">
        <v>1631</v>
      </c>
      <c r="G100" s="14" t="s">
        <v>1652</v>
      </c>
      <c r="H100" s="14" t="s">
        <v>624</v>
      </c>
      <c r="I100" s="14">
        <v>2002411</v>
      </c>
      <c r="J100" s="14">
        <v>0</v>
      </c>
      <c r="K100" s="14">
        <v>0</v>
      </c>
    </row>
    <row r="101" spans="1:11" x14ac:dyDescent="0.25">
      <c r="A101" s="16" t="str">
        <f>VLOOKUP(E101,Table1[[#All],[Campo]],1,0)</f>
        <v>grss_crryng_amnt_instrmnt</v>
      </c>
      <c r="B101" s="14" t="s">
        <v>1653</v>
      </c>
      <c r="C101" s="14" t="s">
        <v>1654</v>
      </c>
      <c r="D101" s="14" t="s">
        <v>1402</v>
      </c>
      <c r="E101" s="14" t="s">
        <v>1489</v>
      </c>
      <c r="F101" s="14" t="s">
        <v>1655</v>
      </c>
      <c r="G101" s="14" t="s">
        <v>1652</v>
      </c>
      <c r="H101" s="14" t="s">
        <v>1405</v>
      </c>
      <c r="I101" s="14">
        <v>2002411</v>
      </c>
      <c r="J101" s="14">
        <v>31379</v>
      </c>
      <c r="K101" s="14">
        <v>1.5670999999999999</v>
      </c>
    </row>
    <row r="102" spans="1:11" x14ac:dyDescent="0.25">
      <c r="A102" s="16" t="str">
        <f>VLOOKUP(E102,Table1[[#All],[Campo]],1,0)</f>
        <v>accmltd_chngs_fv_cr_instrmnt</v>
      </c>
      <c r="B102" s="14" t="s">
        <v>1656</v>
      </c>
      <c r="C102" s="14" t="s">
        <v>1657</v>
      </c>
      <c r="D102" s="14" t="s">
        <v>1402</v>
      </c>
      <c r="E102" s="14" t="s">
        <v>1493</v>
      </c>
      <c r="F102" s="14" t="s">
        <v>1655</v>
      </c>
      <c r="G102" s="14" t="s">
        <v>1652</v>
      </c>
      <c r="H102" s="14" t="s">
        <v>624</v>
      </c>
      <c r="I102" s="14">
        <v>2002411</v>
      </c>
      <c r="J102" s="14">
        <v>0</v>
      </c>
      <c r="K102" s="14">
        <v>0</v>
      </c>
    </row>
    <row r="103" spans="1:11" x14ac:dyDescent="0.25">
      <c r="A103" s="16" t="e">
        <f>VLOOKUP(E103,Table1[[#All],[Campo]],1,0)</f>
        <v>#N/A</v>
      </c>
      <c r="B103" s="14" t="s">
        <v>1658</v>
      </c>
      <c r="C103" s="14" t="s">
        <v>1659</v>
      </c>
      <c r="D103" s="14" t="s">
        <v>1402</v>
      </c>
      <c r="E103" s="14" t="s">
        <v>1499</v>
      </c>
      <c r="F103" s="14" t="s">
        <v>1655</v>
      </c>
      <c r="G103" s="14" t="s">
        <v>1652</v>
      </c>
      <c r="H103" s="14" t="s">
        <v>624</v>
      </c>
      <c r="I103" s="14">
        <v>2002411</v>
      </c>
      <c r="J103" s="14">
        <v>0</v>
      </c>
      <c r="K103" s="14">
        <v>0</v>
      </c>
    </row>
    <row r="104" spans="1:11" x14ac:dyDescent="0.25">
      <c r="A104" s="16" t="e">
        <f>VLOOKUP(E104,Table1[[#All],[Campo]],1,0)</f>
        <v>#N/A</v>
      </c>
      <c r="B104" s="14" t="s">
        <v>1660</v>
      </c>
      <c r="C104" s="14" t="s">
        <v>1661</v>
      </c>
      <c r="D104" s="14" t="s">
        <v>1402</v>
      </c>
      <c r="E104" s="14" t="s">
        <v>1502</v>
      </c>
      <c r="F104" s="14" t="s">
        <v>1655</v>
      </c>
      <c r="G104" s="14" t="s">
        <v>1652</v>
      </c>
      <c r="H104" s="14" t="s">
        <v>624</v>
      </c>
      <c r="I104" s="14">
        <v>2002411</v>
      </c>
      <c r="J104" s="14">
        <v>0</v>
      </c>
      <c r="K104" s="14">
        <v>0</v>
      </c>
    </row>
    <row r="105" spans="1:11" x14ac:dyDescent="0.25">
      <c r="A105" s="16" t="e">
        <f>VLOOKUP(E105,Table1[[#All],[Campo]],1,0)</f>
        <v>#N/A</v>
      </c>
      <c r="B105" s="14" t="s">
        <v>1662</v>
      </c>
      <c r="C105" s="14" t="s">
        <v>1663</v>
      </c>
      <c r="D105" s="14" t="s">
        <v>1402</v>
      </c>
      <c r="E105" s="14" t="s">
        <v>1505</v>
      </c>
      <c r="F105" s="14" t="s">
        <v>1655</v>
      </c>
      <c r="G105" s="14" t="s">
        <v>1652</v>
      </c>
      <c r="H105" s="14" t="s">
        <v>624</v>
      </c>
      <c r="I105" s="14">
        <v>2002411</v>
      </c>
      <c r="J105" s="14">
        <v>0</v>
      </c>
      <c r="K105" s="14">
        <v>0</v>
      </c>
    </row>
    <row r="106" spans="1:11" x14ac:dyDescent="0.25">
      <c r="A106" s="16" t="str">
        <f>VLOOKUP(E106,Table1[[#All],[Campo]],1,0)</f>
        <v>accmltd_imprmnt_instrmnt</v>
      </c>
      <c r="B106" s="14" t="s">
        <v>1664</v>
      </c>
      <c r="C106" s="14" t="s">
        <v>1665</v>
      </c>
      <c r="D106" s="14" t="s">
        <v>1402</v>
      </c>
      <c r="E106" s="14" t="s">
        <v>1508</v>
      </c>
      <c r="F106" s="14" t="s">
        <v>1655</v>
      </c>
      <c r="G106" s="14" t="s">
        <v>1652</v>
      </c>
      <c r="H106" s="14" t="s">
        <v>624</v>
      </c>
      <c r="I106" s="14">
        <v>2002411</v>
      </c>
      <c r="J106" s="14">
        <v>0</v>
      </c>
      <c r="K106" s="14">
        <v>0</v>
      </c>
    </row>
    <row r="107" spans="1:11" x14ac:dyDescent="0.25">
      <c r="A107" s="16" t="e">
        <f>VLOOKUP(E107,Table1[[#All],[Campo]],1,0)</f>
        <v>#N/A</v>
      </c>
      <c r="B107" s="14" t="s">
        <v>1666</v>
      </c>
      <c r="C107" s="14" t="s">
        <v>1667</v>
      </c>
      <c r="D107" s="14" t="s">
        <v>1402</v>
      </c>
      <c r="E107" s="14" t="s">
        <v>1520</v>
      </c>
      <c r="F107" s="14" t="s">
        <v>1655</v>
      </c>
      <c r="G107" s="14" t="s">
        <v>1652</v>
      </c>
      <c r="H107" s="14" t="s">
        <v>624</v>
      </c>
      <c r="I107" s="14">
        <v>2002411</v>
      </c>
      <c r="J107" s="14">
        <v>0</v>
      </c>
      <c r="K107" s="14">
        <v>0</v>
      </c>
    </row>
    <row r="108" spans="1:11" x14ac:dyDescent="0.25">
      <c r="A108" s="16" t="str">
        <f>VLOOKUP(E108,Table1[[#All],[Campo]],1,0)</f>
        <v>grss_intrst_incm</v>
      </c>
      <c r="B108" s="14" t="s">
        <v>1668</v>
      </c>
      <c r="C108" s="14" t="s">
        <v>1669</v>
      </c>
      <c r="D108" s="14" t="s">
        <v>1402</v>
      </c>
      <c r="E108" s="14" t="s">
        <v>1525</v>
      </c>
      <c r="F108" s="14" t="s">
        <v>1655</v>
      </c>
      <c r="G108" s="14" t="s">
        <v>1652</v>
      </c>
      <c r="H108" s="14" t="s">
        <v>624</v>
      </c>
      <c r="I108" s="14">
        <v>2002411</v>
      </c>
      <c r="J108" s="14">
        <v>0</v>
      </c>
      <c r="K108" s="14">
        <v>0</v>
      </c>
    </row>
    <row r="109" spans="1:11" x14ac:dyDescent="0.25">
      <c r="A109" s="16" t="s">
        <v>1526</v>
      </c>
      <c r="B109" s="14" t="s">
        <v>1670</v>
      </c>
      <c r="C109" s="14" t="s">
        <v>1671</v>
      </c>
      <c r="D109" s="14" t="s">
        <v>1402</v>
      </c>
      <c r="E109" s="14" t="s">
        <v>1529</v>
      </c>
      <c r="F109" s="14" t="s">
        <v>1655</v>
      </c>
      <c r="G109" s="14" t="s">
        <v>1652</v>
      </c>
      <c r="H109" s="14" t="s">
        <v>624</v>
      </c>
      <c r="I109" s="14">
        <v>2002411</v>
      </c>
      <c r="J109" s="14">
        <v>0</v>
      </c>
      <c r="K109" s="14">
        <v>0</v>
      </c>
    </row>
    <row r="110" spans="1:11" x14ac:dyDescent="0.25">
      <c r="A110" s="16" t="e">
        <f>VLOOKUP(E110,Table1[[#All],[Campo]],1,0)</f>
        <v>#N/A</v>
      </c>
      <c r="B110" s="14" t="s">
        <v>1672</v>
      </c>
      <c r="C110" s="14" t="s">
        <v>1673</v>
      </c>
      <c r="D110" s="14" t="s">
        <v>1402</v>
      </c>
      <c r="E110" s="14" t="s">
        <v>1532</v>
      </c>
      <c r="F110" s="14" t="s">
        <v>1655</v>
      </c>
      <c r="G110" s="14" t="s">
        <v>1652</v>
      </c>
      <c r="H110" s="14" t="s">
        <v>624</v>
      </c>
      <c r="I110" s="14">
        <v>2002411</v>
      </c>
      <c r="J110" s="14">
        <v>0</v>
      </c>
      <c r="K110" s="14">
        <v>0</v>
      </c>
    </row>
    <row r="111" spans="1:11" x14ac:dyDescent="0.25">
      <c r="A111" s="16" t="e">
        <f>VLOOKUP(E111,Table1[[#All],[Campo]],1,0)</f>
        <v>#N/A</v>
      </c>
      <c r="B111" s="14" t="s">
        <v>1674</v>
      </c>
      <c r="C111" s="14" t="s">
        <v>1675</v>
      </c>
      <c r="D111" s="14" t="s">
        <v>1402</v>
      </c>
      <c r="E111" s="14" t="s">
        <v>1535</v>
      </c>
      <c r="F111" s="14" t="s">
        <v>1655</v>
      </c>
      <c r="G111" s="14" t="s">
        <v>1652</v>
      </c>
      <c r="H111" s="14" t="s">
        <v>624</v>
      </c>
      <c r="I111" s="14">
        <v>2002411</v>
      </c>
      <c r="J111" s="14">
        <v>0</v>
      </c>
      <c r="K111" s="14">
        <v>0</v>
      </c>
    </row>
    <row r="112" spans="1:11" x14ac:dyDescent="0.25">
      <c r="A112" s="16" t="s">
        <v>1541</v>
      </c>
      <c r="B112" s="14" t="s">
        <v>1676</v>
      </c>
      <c r="C112" s="14" t="s">
        <v>1677</v>
      </c>
      <c r="D112" s="14" t="s">
        <v>1402</v>
      </c>
      <c r="E112" s="14" t="s">
        <v>1544</v>
      </c>
      <c r="F112" s="14" t="s">
        <v>1655</v>
      </c>
      <c r="G112" s="14" t="s">
        <v>1652</v>
      </c>
      <c r="H112" s="14" t="s">
        <v>624</v>
      </c>
      <c r="I112" s="14">
        <v>2002411</v>
      </c>
      <c r="J112" s="14">
        <v>0</v>
      </c>
      <c r="K112" s="14">
        <v>0</v>
      </c>
    </row>
    <row r="113" spans="1:11" x14ac:dyDescent="0.25">
      <c r="A113" s="16" t="e">
        <f>VLOOKUP(E113,Table1[[#All],[Campo]],1,0)</f>
        <v>#N/A</v>
      </c>
      <c r="B113" s="14" t="s">
        <v>1678</v>
      </c>
      <c r="C113" s="14" t="s">
        <v>1679</v>
      </c>
      <c r="D113" s="14" t="s">
        <v>1402</v>
      </c>
      <c r="E113" s="14" t="s">
        <v>1547</v>
      </c>
      <c r="F113" s="14" t="s">
        <v>1655</v>
      </c>
      <c r="G113" s="14" t="s">
        <v>1652</v>
      </c>
      <c r="H113" s="14" t="s">
        <v>624</v>
      </c>
      <c r="I113" s="14">
        <v>2002411</v>
      </c>
      <c r="J113" s="14">
        <v>0</v>
      </c>
      <c r="K113" s="14">
        <v>0</v>
      </c>
    </row>
    <row r="114" spans="1:11" x14ac:dyDescent="0.25">
      <c r="A114" s="16" t="e">
        <f>VLOOKUP(E114,Table1[[#All],[Campo]],1,0)</f>
        <v>#N/A</v>
      </c>
      <c r="B114" s="14" t="s">
        <v>1680</v>
      </c>
      <c r="C114" s="14" t="s">
        <v>1681</v>
      </c>
      <c r="D114" s="14" t="s">
        <v>1402</v>
      </c>
      <c r="E114" s="14" t="s">
        <v>1561</v>
      </c>
      <c r="F114" s="14" t="s">
        <v>1655</v>
      </c>
      <c r="G114" s="14" t="s">
        <v>1652</v>
      </c>
      <c r="H114" s="14" t="s">
        <v>624</v>
      </c>
      <c r="I114" s="14">
        <v>2002411</v>
      </c>
      <c r="J114" s="14">
        <v>0</v>
      </c>
      <c r="K114" s="14">
        <v>0</v>
      </c>
    </row>
    <row r="115" spans="1:11" x14ac:dyDescent="0.25">
      <c r="A115" s="16" t="e">
        <f>VLOOKUP(E115,Table1[[#All],[Campo]],1,0)</f>
        <v>#N/A</v>
      </c>
      <c r="B115" s="14" t="s">
        <v>1682</v>
      </c>
      <c r="C115" s="14" t="s">
        <v>1683</v>
      </c>
      <c r="D115" s="14" t="s">
        <v>1402</v>
      </c>
      <c r="E115" s="14" t="s">
        <v>1564</v>
      </c>
      <c r="F115" s="14" t="s">
        <v>1655</v>
      </c>
      <c r="G115" s="14" t="s">
        <v>1652</v>
      </c>
      <c r="H115" s="14" t="s">
        <v>624</v>
      </c>
      <c r="I115" s="14">
        <v>2002411</v>
      </c>
      <c r="J115" s="14">
        <v>0</v>
      </c>
      <c r="K115" s="14">
        <v>0</v>
      </c>
    </row>
    <row r="116" spans="1:11" x14ac:dyDescent="0.25">
      <c r="A116" s="16" t="s">
        <v>1565</v>
      </c>
      <c r="B116" s="14" t="s">
        <v>1684</v>
      </c>
      <c r="C116" s="14" t="s">
        <v>1685</v>
      </c>
      <c r="D116" s="14" t="s">
        <v>1402</v>
      </c>
      <c r="E116" s="14" t="s">
        <v>1568</v>
      </c>
      <c r="F116" s="14" t="s">
        <v>1655</v>
      </c>
      <c r="G116" s="14" t="s">
        <v>1652</v>
      </c>
      <c r="H116" s="14" t="s">
        <v>624</v>
      </c>
      <c r="I116" s="14">
        <v>2002411</v>
      </c>
      <c r="J116" s="14">
        <v>0</v>
      </c>
      <c r="K116" s="14">
        <v>0</v>
      </c>
    </row>
    <row r="117" spans="1:11" x14ac:dyDescent="0.25">
      <c r="A117" s="16" t="s">
        <v>1569</v>
      </c>
      <c r="B117" s="14" t="s">
        <v>1686</v>
      </c>
      <c r="C117" s="14" t="s">
        <v>1687</v>
      </c>
      <c r="D117" s="14" t="s">
        <v>1402</v>
      </c>
      <c r="E117" s="14" t="s">
        <v>1572</v>
      </c>
      <c r="F117" s="14" t="s">
        <v>1655</v>
      </c>
      <c r="G117" s="14" t="s">
        <v>1652</v>
      </c>
      <c r="H117" s="14" t="s">
        <v>624</v>
      </c>
      <c r="I117" s="14">
        <v>2002411</v>
      </c>
      <c r="J117" s="14">
        <v>0</v>
      </c>
      <c r="K117" s="14">
        <v>0</v>
      </c>
    </row>
    <row r="118" spans="1:11" x14ac:dyDescent="0.25">
      <c r="A118" s="16" t="e">
        <f>VLOOKUP(E118,Table1[[#All],[Campo]],1,0)</f>
        <v>#N/A</v>
      </c>
      <c r="B118" s="14" t="s">
        <v>1688</v>
      </c>
      <c r="C118" s="14" t="s">
        <v>1689</v>
      </c>
      <c r="D118" s="14" t="s">
        <v>1402</v>
      </c>
      <c r="E118" s="14" t="s">
        <v>1578</v>
      </c>
      <c r="F118" s="14" t="s">
        <v>1655</v>
      </c>
      <c r="G118" s="14" t="s">
        <v>1652</v>
      </c>
      <c r="H118" s="14" t="s">
        <v>624</v>
      </c>
      <c r="I118" s="14">
        <v>2002411</v>
      </c>
      <c r="J118" s="14">
        <v>0</v>
      </c>
      <c r="K118" s="14">
        <v>0</v>
      </c>
    </row>
    <row r="119" spans="1:11" x14ac:dyDescent="0.25">
      <c r="A119" s="16" t="e">
        <f>VLOOKUP(E119,Table1[[#All],[Campo]],1,0)</f>
        <v>#N/A</v>
      </c>
      <c r="B119" s="14" t="s">
        <v>1690</v>
      </c>
      <c r="C119" s="14" t="s">
        <v>1691</v>
      </c>
      <c r="D119" s="14" t="s">
        <v>1402</v>
      </c>
      <c r="E119" s="14" t="s">
        <v>1584</v>
      </c>
      <c r="F119" s="14" t="s">
        <v>1655</v>
      </c>
      <c r="G119" s="14" t="s">
        <v>1652</v>
      </c>
      <c r="H119" s="14" t="s">
        <v>624</v>
      </c>
      <c r="I119" s="14">
        <v>2002411</v>
      </c>
      <c r="J119" s="14">
        <v>0</v>
      </c>
      <c r="K119" s="14">
        <v>0</v>
      </c>
    </row>
    <row r="120" spans="1:11" x14ac:dyDescent="0.25">
      <c r="A120" s="16" t="e">
        <f>VLOOKUP(E120,Table1[[#All],[Campo]],1,0)</f>
        <v>#N/A</v>
      </c>
      <c r="B120" s="14" t="s">
        <v>1692</v>
      </c>
      <c r="C120" s="14" t="s">
        <v>1693</v>
      </c>
      <c r="D120" s="14" t="s">
        <v>1402</v>
      </c>
      <c r="E120" s="14" t="s">
        <v>1587</v>
      </c>
      <c r="F120" s="14" t="s">
        <v>1655</v>
      </c>
      <c r="G120" s="14" t="s">
        <v>1652</v>
      </c>
      <c r="H120" s="14" t="s">
        <v>624</v>
      </c>
      <c r="I120" s="14">
        <v>2002411</v>
      </c>
      <c r="J120" s="14">
        <v>0</v>
      </c>
      <c r="K120" s="14">
        <v>0</v>
      </c>
    </row>
    <row r="121" spans="1:11" x14ac:dyDescent="0.25">
      <c r="A121" s="16" t="s">
        <v>1588</v>
      </c>
      <c r="B121" s="14" t="s">
        <v>1694</v>
      </c>
      <c r="C121" s="14" t="s">
        <v>1695</v>
      </c>
      <c r="D121" s="14" t="s">
        <v>1402</v>
      </c>
      <c r="E121" s="14" t="s">
        <v>1591</v>
      </c>
      <c r="F121" s="14" t="s">
        <v>1655</v>
      </c>
      <c r="G121" s="14" t="s">
        <v>1652</v>
      </c>
      <c r="H121" s="14" t="s">
        <v>624</v>
      </c>
      <c r="I121" s="14">
        <v>2002411</v>
      </c>
      <c r="J121" s="14">
        <v>0</v>
      </c>
      <c r="K121" s="14">
        <v>0</v>
      </c>
    </row>
    <row r="122" spans="1:11" x14ac:dyDescent="0.25">
      <c r="A122" s="16" t="s">
        <v>1592</v>
      </c>
      <c r="B122" s="14" t="s">
        <v>1696</v>
      </c>
      <c r="C122" s="14" t="s">
        <v>1697</v>
      </c>
      <c r="D122" s="14" t="s">
        <v>1402</v>
      </c>
      <c r="E122" s="14" t="s">
        <v>1595</v>
      </c>
      <c r="F122" s="14" t="s">
        <v>1655</v>
      </c>
      <c r="G122" s="14" t="s">
        <v>1652</v>
      </c>
      <c r="H122" s="14" t="s">
        <v>624</v>
      </c>
      <c r="I122" s="14">
        <v>2002411</v>
      </c>
      <c r="J122" s="14">
        <v>0</v>
      </c>
      <c r="K122" s="14">
        <v>0</v>
      </c>
    </row>
    <row r="123" spans="1:11" x14ac:dyDescent="0.25">
      <c r="A123" s="16" t="e">
        <f>VLOOKUP(E123,Table1[[#All],[Campo]],1,0)</f>
        <v>#N/A</v>
      </c>
      <c r="B123" s="14" t="s">
        <v>1698</v>
      </c>
      <c r="C123" s="14" t="s">
        <v>1699</v>
      </c>
      <c r="D123" s="14" t="s">
        <v>1402</v>
      </c>
      <c r="E123" s="14" t="s">
        <v>1598</v>
      </c>
      <c r="F123" s="14" t="s">
        <v>1655</v>
      </c>
      <c r="G123" s="14" t="s">
        <v>1652</v>
      </c>
      <c r="H123" s="14" t="s">
        <v>624</v>
      </c>
      <c r="I123" s="14">
        <v>2002411</v>
      </c>
      <c r="J123" s="14">
        <v>0</v>
      </c>
      <c r="K123" s="14">
        <v>0</v>
      </c>
    </row>
    <row r="124" spans="1:11" x14ac:dyDescent="0.25">
      <c r="A124" s="16" t="s">
        <v>1601</v>
      </c>
      <c r="B124" s="14" t="s">
        <v>1700</v>
      </c>
      <c r="C124" s="14" t="s">
        <v>1701</v>
      </c>
      <c r="D124" s="14" t="s">
        <v>1402</v>
      </c>
      <c r="E124" s="14" t="s">
        <v>1604</v>
      </c>
      <c r="F124" s="14" t="s">
        <v>1655</v>
      </c>
      <c r="G124" s="14" t="s">
        <v>1652</v>
      </c>
      <c r="H124" s="14" t="s">
        <v>624</v>
      </c>
      <c r="I124" s="14">
        <v>2002411</v>
      </c>
      <c r="J124" s="14">
        <v>0</v>
      </c>
      <c r="K124" s="14">
        <v>0</v>
      </c>
    </row>
    <row r="125" spans="1:11" x14ac:dyDescent="0.25">
      <c r="A125" s="16" t="s">
        <v>1605</v>
      </c>
      <c r="B125" s="14" t="s">
        <v>1702</v>
      </c>
      <c r="C125" s="14" t="s">
        <v>1703</v>
      </c>
      <c r="D125" s="14" t="s">
        <v>1402</v>
      </c>
      <c r="E125" s="14" t="s">
        <v>1608</v>
      </c>
      <c r="F125" s="14" t="s">
        <v>1655</v>
      </c>
      <c r="G125" s="14" t="s">
        <v>1652</v>
      </c>
      <c r="H125" s="14" t="s">
        <v>624</v>
      </c>
      <c r="I125" s="14">
        <v>2002411</v>
      </c>
      <c r="J125" s="14">
        <v>0</v>
      </c>
      <c r="K125" s="14">
        <v>0</v>
      </c>
    </row>
    <row r="126" spans="1:11" x14ac:dyDescent="0.25">
      <c r="A126" s="16" t="str">
        <f>VLOOKUP(E126,Table1[[#All],[Campo]],1,0)</f>
        <v>dt_rfrnc</v>
      </c>
      <c r="B126" s="14" t="s">
        <v>1704</v>
      </c>
      <c r="C126" s="14" t="s">
        <v>1647</v>
      </c>
      <c r="D126" s="14" t="s">
        <v>1453</v>
      </c>
      <c r="E126" s="14" t="s">
        <v>1385</v>
      </c>
      <c r="F126" s="14" t="s">
        <v>1631</v>
      </c>
      <c r="G126" s="14" t="s">
        <v>1705</v>
      </c>
      <c r="H126" s="14" t="s">
        <v>624</v>
      </c>
      <c r="I126" s="14">
        <v>731165</v>
      </c>
      <c r="J126" s="14">
        <v>0</v>
      </c>
      <c r="K126" s="14">
        <v>0</v>
      </c>
    </row>
    <row r="127" spans="1:11" x14ac:dyDescent="0.25">
      <c r="A127" s="16" t="str">
        <f>VLOOKUP(E127,Table1[[#All],[Campo]],1,0)</f>
        <v>dt_rfrnc</v>
      </c>
      <c r="B127" s="14" t="s">
        <v>1706</v>
      </c>
      <c r="C127" s="14" t="s">
        <v>1647</v>
      </c>
      <c r="D127" s="14" t="s">
        <v>1618</v>
      </c>
      <c r="E127" s="14" t="s">
        <v>1385</v>
      </c>
      <c r="F127" s="14" t="s">
        <v>1631</v>
      </c>
      <c r="G127" s="14" t="s">
        <v>1707</v>
      </c>
      <c r="H127" s="14" t="s">
        <v>624</v>
      </c>
      <c r="I127" s="14">
        <v>456960</v>
      </c>
      <c r="J127" s="14">
        <v>0</v>
      </c>
      <c r="K127" s="14">
        <v>0</v>
      </c>
    </row>
    <row r="128" spans="1:11" x14ac:dyDescent="0.25">
      <c r="A128" s="16" t="str">
        <f>VLOOKUP(E128,Table1[[#All],[Campo]],1,0)</f>
        <v>subportfolio_id</v>
      </c>
      <c r="B128" s="14" t="s">
        <v>1708</v>
      </c>
      <c r="C128" s="14" t="s">
        <v>1709</v>
      </c>
      <c r="D128" s="14" t="s">
        <v>1710</v>
      </c>
      <c r="E128" s="14" t="s">
        <v>1474</v>
      </c>
      <c r="F128" s="14" t="s">
        <v>1711</v>
      </c>
      <c r="G128" s="14" t="s">
        <v>1712</v>
      </c>
      <c r="H128" s="14" t="s">
        <v>624</v>
      </c>
      <c r="I128" s="14">
        <v>0</v>
      </c>
      <c r="J128" s="14">
        <v>0</v>
      </c>
      <c r="K128" s="14">
        <v>0</v>
      </c>
    </row>
    <row r="129" spans="1:11" x14ac:dyDescent="0.25">
      <c r="A129" s="16" t="str">
        <f>VLOOKUP(E129,Table1[[#All],[Campo]],1,0)</f>
        <v>dflt_stts_instrmnt</v>
      </c>
      <c r="B129" s="14" t="s">
        <v>1713</v>
      </c>
      <c r="C129" s="14" t="s">
        <v>1714</v>
      </c>
      <c r="D129" s="14" t="s">
        <v>1715</v>
      </c>
      <c r="E129" s="14" t="s">
        <v>1403</v>
      </c>
      <c r="F129" s="14" t="s">
        <v>1711</v>
      </c>
      <c r="G129" s="14" t="s">
        <v>1712</v>
      </c>
      <c r="H129" s="14" t="s">
        <v>624</v>
      </c>
      <c r="I129" s="14">
        <v>0</v>
      </c>
      <c r="J129" s="14">
        <v>0</v>
      </c>
      <c r="K129" s="14">
        <v>0</v>
      </c>
    </row>
    <row r="130" spans="1:11" x14ac:dyDescent="0.25">
      <c r="A130" s="16" t="str">
        <f>VLOOKUP(E130,Table1[[#All],[Campo]],1,0)</f>
        <v>dflt_stts_instrmnt</v>
      </c>
      <c r="B130" s="14" t="s">
        <v>1716</v>
      </c>
      <c r="C130" s="14" t="s">
        <v>1717</v>
      </c>
      <c r="D130" s="14" t="s">
        <v>1718</v>
      </c>
      <c r="E130" s="14" t="s">
        <v>1403</v>
      </c>
      <c r="F130" s="14" t="s">
        <v>1711</v>
      </c>
      <c r="G130" s="14" t="s">
        <v>1712</v>
      </c>
      <c r="H130" s="14" t="s">
        <v>624</v>
      </c>
      <c r="I130" s="14">
        <v>0</v>
      </c>
      <c r="J130" s="14">
        <v>0</v>
      </c>
      <c r="K130" s="14">
        <v>0</v>
      </c>
    </row>
    <row r="131" spans="1:11" x14ac:dyDescent="0.25">
      <c r="A131" s="16" t="str">
        <f>VLOOKUP(E131,Table1[[#All],[Campo]],1,0)</f>
        <v>dflt_stts_instrmnt</v>
      </c>
      <c r="B131" s="14" t="s">
        <v>1719</v>
      </c>
      <c r="C131" s="14" t="s">
        <v>1720</v>
      </c>
      <c r="D131" s="14" t="s">
        <v>1710</v>
      </c>
      <c r="E131" s="14" t="s">
        <v>1403</v>
      </c>
      <c r="F131" s="14" t="s">
        <v>1711</v>
      </c>
      <c r="G131" s="14" t="s">
        <v>1712</v>
      </c>
      <c r="H131" s="14" t="s">
        <v>624</v>
      </c>
      <c r="I131" s="14">
        <v>0</v>
      </c>
      <c r="J131" s="14">
        <v>0</v>
      </c>
      <c r="K131" s="14">
        <v>0</v>
      </c>
    </row>
    <row r="132" spans="1:11" x14ac:dyDescent="0.25">
      <c r="A132" s="16" t="str">
        <f>VLOOKUP(E132,Table1[[#All],[Campo]],1,0)</f>
        <v>imprmnt_stts</v>
      </c>
      <c r="B132" s="14" t="s">
        <v>1721</v>
      </c>
      <c r="C132" s="14" t="s">
        <v>1722</v>
      </c>
      <c r="D132" s="14" t="s">
        <v>1710</v>
      </c>
      <c r="E132" s="14" t="s">
        <v>1481</v>
      </c>
      <c r="F132" s="14" t="s">
        <v>1711</v>
      </c>
      <c r="G132" s="14" t="s">
        <v>1712</v>
      </c>
      <c r="H132" s="14" t="s">
        <v>1405</v>
      </c>
      <c r="I132" s="14">
        <v>9703</v>
      </c>
      <c r="J132" s="14">
        <v>1</v>
      </c>
      <c r="K132" s="14">
        <v>1.03E-2</v>
      </c>
    </row>
    <row r="133" spans="1:11" x14ac:dyDescent="0.25">
      <c r="A133" s="16" t="str">
        <f>VLOOKUP(E133,Table1[[#All],[Campo]],1,0)</f>
        <v>imprmnt_stts</v>
      </c>
      <c r="B133" s="14" t="s">
        <v>1723</v>
      </c>
      <c r="C133" s="14" t="s">
        <v>1724</v>
      </c>
      <c r="D133" s="14" t="s">
        <v>1710</v>
      </c>
      <c r="E133" s="14" t="s">
        <v>1481</v>
      </c>
      <c r="F133" s="14" t="s">
        <v>1711</v>
      </c>
      <c r="G133" s="14" t="s">
        <v>1712</v>
      </c>
      <c r="H133" s="14" t="s">
        <v>1405</v>
      </c>
      <c r="I133" s="14">
        <v>92666</v>
      </c>
      <c r="J133" s="14">
        <v>3283</v>
      </c>
      <c r="K133" s="14">
        <v>3.5428000000000002</v>
      </c>
    </row>
    <row r="134" spans="1:11" x14ac:dyDescent="0.25">
      <c r="A134" s="16" t="str">
        <f>VLOOKUP(E134,Table1[[#All],[Campo]],1,0)</f>
        <v>imprmnt_stts</v>
      </c>
      <c r="B134" s="14" t="s">
        <v>1725</v>
      </c>
      <c r="C134" s="14" t="s">
        <v>1726</v>
      </c>
      <c r="D134" s="14" t="s">
        <v>1710</v>
      </c>
      <c r="E134" s="14" t="s">
        <v>1481</v>
      </c>
      <c r="F134" s="14" t="s">
        <v>1711</v>
      </c>
      <c r="G134" s="14" t="s">
        <v>1712</v>
      </c>
      <c r="H134" s="14" t="s">
        <v>1405</v>
      </c>
      <c r="I134" s="14">
        <v>1813562</v>
      </c>
      <c r="J134" s="14">
        <v>4684</v>
      </c>
      <c r="K134" s="14">
        <v>0.25829999999999997</v>
      </c>
    </row>
    <row r="135" spans="1:11" x14ac:dyDescent="0.25">
      <c r="A135" s="16" t="str">
        <f>VLOOKUP(E135,Table1[[#All],[Campo]],1,0)</f>
        <v>imprmnt_stts</v>
      </c>
      <c r="B135" s="14" t="s">
        <v>1727</v>
      </c>
      <c r="C135" s="14" t="s">
        <v>1728</v>
      </c>
      <c r="D135" s="14" t="s">
        <v>1710</v>
      </c>
      <c r="E135" s="14" t="s">
        <v>1481</v>
      </c>
      <c r="F135" s="14" t="s">
        <v>1711</v>
      </c>
      <c r="G135" s="14" t="s">
        <v>1712</v>
      </c>
      <c r="H135" s="14" t="s">
        <v>624</v>
      </c>
      <c r="I135" s="14">
        <v>1905178</v>
      </c>
      <c r="J135" s="14">
        <v>0</v>
      </c>
      <c r="K135" s="14">
        <v>0</v>
      </c>
    </row>
    <row r="136" spans="1:11" x14ac:dyDescent="0.25">
      <c r="A136" s="16" t="str">
        <f>VLOOKUP(E136,Table1[[#All],[Campo]],1,0)</f>
        <v>imprmnt_stts</v>
      </c>
      <c r="B136" s="14" t="s">
        <v>1729</v>
      </c>
      <c r="C136" s="14" t="s">
        <v>1730</v>
      </c>
      <c r="D136" s="14" t="s">
        <v>1715</v>
      </c>
      <c r="E136" s="14" t="s">
        <v>1481</v>
      </c>
      <c r="F136" s="14" t="s">
        <v>1711</v>
      </c>
      <c r="G136" s="14" t="s">
        <v>1712</v>
      </c>
      <c r="H136" s="14" t="s">
        <v>1405</v>
      </c>
      <c r="I136" s="14">
        <v>18441</v>
      </c>
      <c r="J136" s="14">
        <v>2850</v>
      </c>
      <c r="K136" s="14">
        <v>15.454700000000001</v>
      </c>
    </row>
    <row r="137" spans="1:11" x14ac:dyDescent="0.25">
      <c r="A137" s="16" t="str">
        <f>VLOOKUP(E137,Table1[[#All],[Campo]],1,0)</f>
        <v>imprmnt_stts</v>
      </c>
      <c r="B137" s="14" t="s">
        <v>1731</v>
      </c>
      <c r="C137" s="14" t="s">
        <v>1732</v>
      </c>
      <c r="D137" s="14" t="s">
        <v>1733</v>
      </c>
      <c r="E137" s="14" t="s">
        <v>1481</v>
      </c>
      <c r="F137" s="14" t="s">
        <v>1711</v>
      </c>
      <c r="G137" s="14" t="s">
        <v>1712</v>
      </c>
      <c r="H137" s="14" t="s">
        <v>624</v>
      </c>
      <c r="I137" s="14">
        <v>1724899</v>
      </c>
      <c r="J137" s="14">
        <v>0</v>
      </c>
      <c r="K137" s="14">
        <v>0</v>
      </c>
    </row>
    <row r="138" spans="1:11" x14ac:dyDescent="0.25">
      <c r="A138" s="16" t="str">
        <f>VLOOKUP(E138,Table1[[#All],[Campo]],1,0)</f>
        <v>imprmnt_stts</v>
      </c>
      <c r="B138" s="14" t="s">
        <v>1734</v>
      </c>
      <c r="C138" s="14" t="s">
        <v>1735</v>
      </c>
      <c r="D138" s="14" t="s">
        <v>1733</v>
      </c>
      <c r="E138" s="14" t="s">
        <v>1481</v>
      </c>
      <c r="F138" s="14" t="s">
        <v>1711</v>
      </c>
      <c r="G138" s="14" t="s">
        <v>1712</v>
      </c>
      <c r="H138" s="14" t="s">
        <v>624</v>
      </c>
      <c r="I138" s="14">
        <v>1472964</v>
      </c>
      <c r="J138" s="14">
        <v>0</v>
      </c>
      <c r="K138" s="14">
        <v>0</v>
      </c>
    </row>
    <row r="139" spans="1:11" x14ac:dyDescent="0.25">
      <c r="A139" s="16" t="str">
        <f>VLOOKUP(E139,Table1[[#All],[Campo]],1,0)</f>
        <v>imprmnt_stts</v>
      </c>
      <c r="B139" s="14" t="s">
        <v>1736</v>
      </c>
      <c r="C139" s="14" t="s">
        <v>1737</v>
      </c>
      <c r="D139" s="14" t="s">
        <v>1733</v>
      </c>
      <c r="E139" s="14" t="s">
        <v>1481</v>
      </c>
      <c r="F139" s="14" t="s">
        <v>1711</v>
      </c>
      <c r="G139" s="14" t="s">
        <v>1712</v>
      </c>
      <c r="H139" s="14" t="s">
        <v>624</v>
      </c>
      <c r="I139" s="14">
        <v>432214</v>
      </c>
      <c r="J139" s="14">
        <v>0</v>
      </c>
      <c r="K139" s="14">
        <v>0</v>
      </c>
    </row>
    <row r="140" spans="1:11" x14ac:dyDescent="0.25">
      <c r="A140" s="16" t="str">
        <f>VLOOKUP(E140,Table1[[#All],[Campo]],1,0)</f>
        <v>imprmnt_stts</v>
      </c>
      <c r="B140" s="14" t="s">
        <v>1738</v>
      </c>
      <c r="C140" s="14" t="s">
        <v>1739</v>
      </c>
      <c r="D140" s="14" t="s">
        <v>1733</v>
      </c>
      <c r="E140" s="14" t="s">
        <v>1481</v>
      </c>
      <c r="F140" s="14" t="s">
        <v>1711</v>
      </c>
      <c r="G140" s="14" t="s">
        <v>1712</v>
      </c>
      <c r="H140" s="14" t="s">
        <v>624</v>
      </c>
      <c r="I140" s="14">
        <v>97233</v>
      </c>
      <c r="J140" s="14">
        <v>0</v>
      </c>
      <c r="K140" s="14">
        <v>0</v>
      </c>
    </row>
    <row r="141" spans="1:11" x14ac:dyDescent="0.25">
      <c r="A141" s="16" t="str">
        <f>VLOOKUP(E141,Table1[[#All],[Campo]],1,0)</f>
        <v>prfrmng_stts</v>
      </c>
      <c r="B141" s="14" t="s">
        <v>1740</v>
      </c>
      <c r="C141" s="14" t="s">
        <v>1741</v>
      </c>
      <c r="D141" s="14" t="s">
        <v>1710</v>
      </c>
      <c r="E141" s="14" t="s">
        <v>1408</v>
      </c>
      <c r="F141" s="14" t="s">
        <v>1711</v>
      </c>
      <c r="G141" s="14" t="s">
        <v>1712</v>
      </c>
      <c r="H141" s="14" t="s">
        <v>1405</v>
      </c>
      <c r="I141" s="14">
        <v>92666</v>
      </c>
      <c r="J141" s="14">
        <v>3283</v>
      </c>
      <c r="K141" s="14">
        <v>3.5428000000000002</v>
      </c>
    </row>
    <row r="142" spans="1:11" x14ac:dyDescent="0.25">
      <c r="A142" s="16" t="str">
        <f>VLOOKUP(E142,Table1[[#All],[Campo]],1,0)</f>
        <v>prfrmng_stts</v>
      </c>
      <c r="B142" s="14" t="s">
        <v>1742</v>
      </c>
      <c r="C142" s="14" t="s">
        <v>1743</v>
      </c>
      <c r="D142" s="14" t="s">
        <v>1710</v>
      </c>
      <c r="E142" s="14" t="s">
        <v>1408</v>
      </c>
      <c r="F142" s="14" t="s">
        <v>1711</v>
      </c>
      <c r="G142" s="14" t="s">
        <v>1712</v>
      </c>
      <c r="H142" s="14" t="s">
        <v>624</v>
      </c>
      <c r="I142" s="14">
        <v>114216</v>
      </c>
      <c r="J142" s="14">
        <v>0</v>
      </c>
      <c r="K142" s="14">
        <v>0</v>
      </c>
    </row>
    <row r="143" spans="1:11" x14ac:dyDescent="0.25">
      <c r="A143" s="16" t="str">
        <f>VLOOKUP(E143,Table1[[#All],[Campo]],1,0)</f>
        <v>prfrmng_stts</v>
      </c>
      <c r="B143" s="14" t="s">
        <v>1744</v>
      </c>
      <c r="C143" s="14" t="s">
        <v>1745</v>
      </c>
      <c r="D143" s="14" t="s">
        <v>1710</v>
      </c>
      <c r="E143" s="14" t="s">
        <v>1408</v>
      </c>
      <c r="F143" s="14" t="s">
        <v>1711</v>
      </c>
      <c r="G143" s="14" t="s">
        <v>1712</v>
      </c>
      <c r="H143" s="14" t="s">
        <v>624</v>
      </c>
      <c r="I143" s="14">
        <v>1408741</v>
      </c>
      <c r="J143" s="14">
        <v>0</v>
      </c>
      <c r="K143" s="14">
        <v>0</v>
      </c>
    </row>
    <row r="144" spans="1:11" x14ac:dyDescent="0.25">
      <c r="A144" s="16" t="str">
        <f>VLOOKUP(E144,Table1[[#All],[Campo]],1,0)</f>
        <v>prfrmng_stts</v>
      </c>
      <c r="B144" s="14" t="s">
        <v>1746</v>
      </c>
      <c r="C144" s="14" t="s">
        <v>1747</v>
      </c>
      <c r="D144" s="14" t="s">
        <v>1718</v>
      </c>
      <c r="E144" s="14" t="s">
        <v>1408</v>
      </c>
      <c r="F144" s="14" t="s">
        <v>1711</v>
      </c>
      <c r="G144" s="14" t="s">
        <v>1712</v>
      </c>
      <c r="H144" s="14" t="s">
        <v>624</v>
      </c>
      <c r="I144" s="14">
        <v>0</v>
      </c>
      <c r="J144" s="14">
        <v>0</v>
      </c>
      <c r="K144" s="14">
        <v>0</v>
      </c>
    </row>
    <row r="145" spans="1:11" x14ac:dyDescent="0.25">
      <c r="A145" s="16" t="str">
        <f>VLOOKUP(E145,Table1[[#All],[Campo]],1,0)</f>
        <v>prfrmng_stts</v>
      </c>
      <c r="B145" s="14" t="s">
        <v>1748</v>
      </c>
      <c r="C145" s="14" t="s">
        <v>1749</v>
      </c>
      <c r="D145" s="14" t="s">
        <v>1733</v>
      </c>
      <c r="E145" s="14" t="s">
        <v>1408</v>
      </c>
      <c r="F145" s="14" t="s">
        <v>1711</v>
      </c>
      <c r="G145" s="14" t="s">
        <v>1712</v>
      </c>
      <c r="H145" s="14" t="s">
        <v>624</v>
      </c>
      <c r="I145" s="14">
        <v>1905178</v>
      </c>
      <c r="J145" s="14">
        <v>0</v>
      </c>
      <c r="K145" s="14">
        <v>0</v>
      </c>
    </row>
    <row r="146" spans="1:11" x14ac:dyDescent="0.25">
      <c r="A146" s="16" t="str">
        <f>VLOOKUP(E146,Table1[[#All],[Campo]],1,0)</f>
        <v>prfrmng_stts</v>
      </c>
      <c r="B146" s="14" t="s">
        <v>1750</v>
      </c>
      <c r="C146" s="14" t="s">
        <v>1751</v>
      </c>
      <c r="D146" s="14" t="s">
        <v>1733</v>
      </c>
      <c r="E146" s="14" t="s">
        <v>1408</v>
      </c>
      <c r="F146" s="14" t="s">
        <v>1711</v>
      </c>
      <c r="G146" s="14" t="s">
        <v>1712</v>
      </c>
      <c r="H146" s="14" t="s">
        <v>624</v>
      </c>
      <c r="I146" s="14">
        <v>97233</v>
      </c>
      <c r="J146" s="14">
        <v>0</v>
      </c>
      <c r="K146" s="14">
        <v>0</v>
      </c>
    </row>
    <row r="147" spans="1:11" x14ac:dyDescent="0.25">
      <c r="A147" s="16" t="str">
        <f>VLOOKUP(E147,Table1[[#All],[Campo]],1,0)</f>
        <v>prfrmng_stts</v>
      </c>
      <c r="B147" s="14" t="s">
        <v>1752</v>
      </c>
      <c r="C147" s="14" t="s">
        <v>1753</v>
      </c>
      <c r="D147" s="14" t="s">
        <v>1718</v>
      </c>
      <c r="E147" s="14" t="s">
        <v>1408</v>
      </c>
      <c r="F147" s="14" t="s">
        <v>1711</v>
      </c>
      <c r="G147" s="14" t="s">
        <v>1712</v>
      </c>
      <c r="H147" s="14" t="s">
        <v>624</v>
      </c>
      <c r="I147" s="14">
        <v>0</v>
      </c>
      <c r="J147" s="14">
        <v>0</v>
      </c>
      <c r="K147" s="14">
        <v>0</v>
      </c>
    </row>
    <row r="148" spans="1:11" x14ac:dyDescent="0.25">
      <c r="A148" s="16" t="str">
        <f>VLOOKUP(E148,Table1[[#All],[Campo]],1,0)</f>
        <v>prfrmng_stts</v>
      </c>
      <c r="B148" s="14" t="s">
        <v>1754</v>
      </c>
      <c r="C148" s="14" t="s">
        <v>1755</v>
      </c>
      <c r="D148" s="14" t="s">
        <v>1710</v>
      </c>
      <c r="E148" s="14" t="s">
        <v>1408</v>
      </c>
      <c r="F148" s="14" t="s">
        <v>1711</v>
      </c>
      <c r="G148" s="14" t="s">
        <v>1712</v>
      </c>
      <c r="H148" s="14" t="s">
        <v>624</v>
      </c>
      <c r="I148" s="14">
        <v>97233</v>
      </c>
      <c r="J148" s="14">
        <v>0</v>
      </c>
      <c r="K148" s="14">
        <v>0</v>
      </c>
    </row>
    <row r="149" spans="1:11" x14ac:dyDescent="0.25">
      <c r="A149" s="16" t="str">
        <f>VLOOKUP(E149,Table1[[#All],[Campo]],1,0)</f>
        <v>prfrmng_stts</v>
      </c>
      <c r="B149" s="14" t="s">
        <v>1756</v>
      </c>
      <c r="C149" s="14" t="s">
        <v>1757</v>
      </c>
      <c r="D149" s="14" t="s">
        <v>1715</v>
      </c>
      <c r="E149" s="14" t="s">
        <v>1408</v>
      </c>
      <c r="F149" s="14" t="s">
        <v>1711</v>
      </c>
      <c r="G149" s="14" t="s">
        <v>1712</v>
      </c>
      <c r="H149" s="14" t="s">
        <v>1405</v>
      </c>
      <c r="I149" s="14">
        <v>113163</v>
      </c>
      <c r="J149" s="14">
        <v>15043</v>
      </c>
      <c r="K149" s="14">
        <v>13.293200000000001</v>
      </c>
    </row>
    <row r="150" spans="1:11" x14ac:dyDescent="0.25">
      <c r="A150" s="16" t="str">
        <f>VLOOKUP(E150,Table1[[#All],[Campo]],1,0)</f>
        <v>grss_crryng_amnt_instrmnt</v>
      </c>
      <c r="B150" s="14" t="s">
        <v>1758</v>
      </c>
      <c r="C150" s="14" t="s">
        <v>1759</v>
      </c>
      <c r="D150" s="14" t="s">
        <v>1710</v>
      </c>
      <c r="E150" s="14" t="s">
        <v>1489</v>
      </c>
      <c r="F150" s="14" t="s">
        <v>1711</v>
      </c>
      <c r="G150" s="14" t="s">
        <v>1712</v>
      </c>
      <c r="H150" s="14" t="s">
        <v>624</v>
      </c>
      <c r="I150" s="14">
        <v>1724899</v>
      </c>
      <c r="J150" s="14">
        <v>0</v>
      </c>
      <c r="K150" s="14">
        <v>0</v>
      </c>
    </row>
    <row r="151" spans="1:11" x14ac:dyDescent="0.25">
      <c r="A151" s="16" t="str">
        <f>VLOOKUP(E151,Table1[[#All],[Campo]],1,0)</f>
        <v>grss_crryng_amnt_instrmnt</v>
      </c>
      <c r="B151" s="14" t="s">
        <v>1760</v>
      </c>
      <c r="C151" s="14" t="s">
        <v>1761</v>
      </c>
      <c r="D151" s="14" t="s">
        <v>1710</v>
      </c>
      <c r="E151" s="14" t="s">
        <v>1489</v>
      </c>
      <c r="F151" s="14" t="s">
        <v>1711</v>
      </c>
      <c r="G151" s="14" t="s">
        <v>1712</v>
      </c>
      <c r="H151" s="14" t="s">
        <v>624</v>
      </c>
      <c r="I151" s="14">
        <v>0</v>
      </c>
      <c r="J151" s="14">
        <v>0</v>
      </c>
      <c r="K151" s="14">
        <v>0</v>
      </c>
    </row>
    <row r="152" spans="1:11" x14ac:dyDescent="0.25">
      <c r="A152" s="16" t="str">
        <f>VLOOKUP(E152,Table1[[#All],[Campo]],1,0)</f>
        <v>grss_crryng_amnt_instrmnt</v>
      </c>
      <c r="B152" s="14" t="s">
        <v>1762</v>
      </c>
      <c r="C152" s="14" t="s">
        <v>1763</v>
      </c>
      <c r="D152" s="14" t="s">
        <v>1710</v>
      </c>
      <c r="E152" s="14" t="s">
        <v>1489</v>
      </c>
      <c r="F152" s="14" t="s">
        <v>1711</v>
      </c>
      <c r="G152" s="14" t="s">
        <v>1712</v>
      </c>
      <c r="H152" s="14" t="s">
        <v>624</v>
      </c>
      <c r="I152" s="14">
        <v>277512</v>
      </c>
      <c r="J152" s="14">
        <v>0</v>
      </c>
      <c r="K152" s="14">
        <v>0</v>
      </c>
    </row>
    <row r="153" spans="1:11" x14ac:dyDescent="0.25">
      <c r="A153" s="16" t="str">
        <f>VLOOKUP(E153,Table1[[#All],[Campo]],1,0)</f>
        <v>accmltd_chngs_fv_cr_instrmnt</v>
      </c>
      <c r="B153" s="14" t="s">
        <v>1764</v>
      </c>
      <c r="C153" s="14" t="s">
        <v>1765</v>
      </c>
      <c r="D153" s="14" t="s">
        <v>1710</v>
      </c>
      <c r="E153" s="14" t="s">
        <v>1493</v>
      </c>
      <c r="F153" s="14" t="s">
        <v>1711</v>
      </c>
      <c r="G153" s="14" t="s">
        <v>1712</v>
      </c>
      <c r="H153" s="14" t="s">
        <v>624</v>
      </c>
      <c r="I153" s="14">
        <v>305642</v>
      </c>
      <c r="J153" s="14">
        <v>0</v>
      </c>
      <c r="K153" s="14">
        <v>0</v>
      </c>
    </row>
    <row r="154" spans="1:11" x14ac:dyDescent="0.25">
      <c r="A154" s="16" t="str">
        <f>VLOOKUP(E154,Table1[[#All],[Campo]],1,0)</f>
        <v>accmltd_chngs_fv_cr_instrmnt</v>
      </c>
      <c r="B154" s="14" t="s">
        <v>1766</v>
      </c>
      <c r="C154" s="14" t="s">
        <v>1767</v>
      </c>
      <c r="D154" s="14" t="s">
        <v>1710</v>
      </c>
      <c r="E154" s="14" t="s">
        <v>1493</v>
      </c>
      <c r="F154" s="14" t="s">
        <v>1711</v>
      </c>
      <c r="G154" s="14" t="s">
        <v>1712</v>
      </c>
      <c r="H154" s="14" t="s">
        <v>624</v>
      </c>
      <c r="I154" s="14">
        <v>0</v>
      </c>
      <c r="J154" s="14">
        <v>0</v>
      </c>
      <c r="K154" s="14">
        <v>0</v>
      </c>
    </row>
    <row r="155" spans="1:11" x14ac:dyDescent="0.25">
      <c r="A155" s="16" t="str">
        <f>VLOOKUP(E155,Table1[[#All],[Campo]],1,0)</f>
        <v>accntng_clssfctn</v>
      </c>
      <c r="B155" s="14" t="s">
        <v>1768</v>
      </c>
      <c r="C155" s="14" t="s">
        <v>1769</v>
      </c>
      <c r="D155" s="14" t="s">
        <v>1710</v>
      </c>
      <c r="E155" s="14" t="s">
        <v>1496</v>
      </c>
      <c r="F155" s="14" t="s">
        <v>1711</v>
      </c>
      <c r="G155" s="14" t="s">
        <v>1712</v>
      </c>
      <c r="H155" s="14" t="s">
        <v>624</v>
      </c>
      <c r="I155" s="14">
        <v>1724797</v>
      </c>
      <c r="J155" s="14">
        <v>0</v>
      </c>
      <c r="K155" s="14">
        <v>0</v>
      </c>
    </row>
    <row r="156" spans="1:11" x14ac:dyDescent="0.25">
      <c r="A156" s="16" t="str">
        <f>VLOOKUP(E156,Table1[[#All],[Campo]],1,0)</f>
        <v>accntng_clssfctn</v>
      </c>
      <c r="B156" s="14" t="s">
        <v>1770</v>
      </c>
      <c r="C156" s="14" t="s">
        <v>1771</v>
      </c>
      <c r="D156" s="14" t="s">
        <v>1710</v>
      </c>
      <c r="E156" s="14" t="s">
        <v>1496</v>
      </c>
      <c r="F156" s="14" t="s">
        <v>1711</v>
      </c>
      <c r="G156" s="14" t="s">
        <v>1712</v>
      </c>
      <c r="H156" s="14" t="s">
        <v>624</v>
      </c>
      <c r="I156" s="14">
        <v>93</v>
      </c>
      <c r="J156" s="14">
        <v>0</v>
      </c>
      <c r="K156" s="14">
        <v>0</v>
      </c>
    </row>
    <row r="157" spans="1:11" x14ac:dyDescent="0.25">
      <c r="A157" s="16" t="str">
        <f>VLOOKUP(E157,Table1[[#All],[Campo]],1,0)</f>
        <v>accntng_clssfctn</v>
      </c>
      <c r="B157" s="14" t="s">
        <v>1772</v>
      </c>
      <c r="C157" s="14" t="s">
        <v>1773</v>
      </c>
      <c r="D157" s="14" t="s">
        <v>1710</v>
      </c>
      <c r="E157" s="14" t="s">
        <v>1496</v>
      </c>
      <c r="F157" s="14" t="s">
        <v>1711</v>
      </c>
      <c r="G157" s="14" t="s">
        <v>1712</v>
      </c>
      <c r="H157" s="14" t="s">
        <v>624</v>
      </c>
      <c r="I157" s="14">
        <v>0</v>
      </c>
      <c r="J157" s="14">
        <v>0</v>
      </c>
      <c r="K157" s="14">
        <v>0</v>
      </c>
    </row>
    <row r="158" spans="1:11" x14ac:dyDescent="0.25">
      <c r="A158" s="16" t="str">
        <f>VLOOKUP(E158,Table1[[#All],[Campo]],1,0)</f>
        <v>accntng_clssfctn</v>
      </c>
      <c r="B158" s="14" t="s">
        <v>1774</v>
      </c>
      <c r="C158" s="14" t="s">
        <v>1775</v>
      </c>
      <c r="D158" s="14" t="s">
        <v>1710</v>
      </c>
      <c r="E158" s="14" t="s">
        <v>1496</v>
      </c>
      <c r="F158" s="14" t="s">
        <v>1711</v>
      </c>
      <c r="G158" s="14" t="s">
        <v>1712</v>
      </c>
      <c r="H158" s="14" t="s">
        <v>624</v>
      </c>
      <c r="I158" s="14">
        <v>9</v>
      </c>
      <c r="J158" s="14">
        <v>0</v>
      </c>
      <c r="K158" s="14">
        <v>0</v>
      </c>
    </row>
    <row r="159" spans="1:11" x14ac:dyDescent="0.25">
      <c r="A159" s="16" t="e">
        <f>VLOOKUP(E159,Table1[[#All],[Campo]],1,0)</f>
        <v>#N/A</v>
      </c>
      <c r="B159" s="14" t="s">
        <v>1776</v>
      </c>
      <c r="C159" s="14" t="s">
        <v>1777</v>
      </c>
      <c r="D159" s="14" t="s">
        <v>1710</v>
      </c>
      <c r="E159" s="14" t="s">
        <v>1499</v>
      </c>
      <c r="F159" s="14" t="s">
        <v>1711</v>
      </c>
      <c r="G159" s="14" t="s">
        <v>1712</v>
      </c>
      <c r="H159" s="14" t="s">
        <v>1405</v>
      </c>
      <c r="I159" s="14">
        <v>2002318</v>
      </c>
      <c r="J159" s="14">
        <v>317</v>
      </c>
      <c r="K159" s="14">
        <v>1.5800000000000002E-2</v>
      </c>
    </row>
    <row r="160" spans="1:11" x14ac:dyDescent="0.25">
      <c r="A160" s="16" t="e">
        <f>VLOOKUP(E160,Table1[[#All],[Campo]],1,0)</f>
        <v>#N/A</v>
      </c>
      <c r="B160" s="14" t="s">
        <v>1778</v>
      </c>
      <c r="C160" s="14" t="s">
        <v>1779</v>
      </c>
      <c r="D160" s="14" t="s">
        <v>1710</v>
      </c>
      <c r="E160" s="14" t="s">
        <v>1499</v>
      </c>
      <c r="F160" s="14" t="s">
        <v>1711</v>
      </c>
      <c r="G160" s="14" t="s">
        <v>1712</v>
      </c>
      <c r="H160" s="14" t="s">
        <v>624</v>
      </c>
      <c r="I160" s="14">
        <v>1646037</v>
      </c>
      <c r="J160" s="14">
        <v>0</v>
      </c>
      <c r="K160" s="14">
        <v>0</v>
      </c>
    </row>
    <row r="161" spans="1:11" x14ac:dyDescent="0.25">
      <c r="A161" s="16" t="e">
        <f>VLOOKUP(E161,Table1[[#All],[Campo]],1,0)</f>
        <v>#N/A</v>
      </c>
      <c r="B161" s="14" t="s">
        <v>1780</v>
      </c>
      <c r="C161" s="14" t="s">
        <v>1781</v>
      </c>
      <c r="D161" s="14" t="s">
        <v>1710</v>
      </c>
      <c r="E161" s="14" t="s">
        <v>1499</v>
      </c>
      <c r="F161" s="14" t="s">
        <v>1711</v>
      </c>
      <c r="G161" s="14" t="s">
        <v>1712</v>
      </c>
      <c r="H161" s="14" t="s">
        <v>624</v>
      </c>
      <c r="I161" s="14">
        <v>253</v>
      </c>
      <c r="J161" s="14">
        <v>0</v>
      </c>
      <c r="K161" s="14">
        <v>0</v>
      </c>
    </row>
    <row r="162" spans="1:11" x14ac:dyDescent="0.25">
      <c r="A162" s="16" t="e">
        <f>VLOOKUP(E162,Table1[[#All],[Campo]],1,0)</f>
        <v>#N/A</v>
      </c>
      <c r="B162" s="14" t="s">
        <v>1782</v>
      </c>
      <c r="C162" s="14" t="s">
        <v>1783</v>
      </c>
      <c r="D162" s="14" t="s">
        <v>1710</v>
      </c>
      <c r="E162" s="14" t="s">
        <v>1499</v>
      </c>
      <c r="F162" s="14" t="s">
        <v>1711</v>
      </c>
      <c r="G162" s="14" t="s">
        <v>1712</v>
      </c>
      <c r="H162" s="14" t="s">
        <v>624</v>
      </c>
      <c r="I162" s="14">
        <v>3</v>
      </c>
      <c r="J162" s="14">
        <v>0</v>
      </c>
      <c r="K162" s="14">
        <v>0</v>
      </c>
    </row>
    <row r="163" spans="1:11" x14ac:dyDescent="0.25">
      <c r="A163" s="16" t="e">
        <f>VLOOKUP(E163,Table1[[#All],[Campo]],1,0)</f>
        <v>#N/A</v>
      </c>
      <c r="B163" s="14" t="s">
        <v>1784</v>
      </c>
      <c r="C163" s="14" t="s">
        <v>1785</v>
      </c>
      <c r="D163" s="14" t="s">
        <v>1710</v>
      </c>
      <c r="E163" s="14" t="s">
        <v>1502</v>
      </c>
      <c r="F163" s="14" t="s">
        <v>1711</v>
      </c>
      <c r="G163" s="14" t="s">
        <v>1712</v>
      </c>
      <c r="H163" s="14" t="s">
        <v>624</v>
      </c>
      <c r="I163" s="14">
        <v>0</v>
      </c>
      <c r="J163" s="14">
        <v>0</v>
      </c>
      <c r="K163" s="14">
        <v>0</v>
      </c>
    </row>
    <row r="164" spans="1:11" x14ac:dyDescent="0.25">
      <c r="A164" s="16" t="e">
        <f>VLOOKUP(E164,Table1[[#All],[Campo]],1,0)</f>
        <v>#N/A</v>
      </c>
      <c r="B164" s="14" t="s">
        <v>1786</v>
      </c>
      <c r="C164" s="14" t="s">
        <v>1787</v>
      </c>
      <c r="D164" s="14" t="s">
        <v>1710</v>
      </c>
      <c r="E164" s="14" t="s">
        <v>1502</v>
      </c>
      <c r="F164" s="14" t="s">
        <v>1711</v>
      </c>
      <c r="G164" s="14" t="s">
        <v>1712</v>
      </c>
      <c r="H164" s="14" t="s">
        <v>624</v>
      </c>
      <c r="I164" s="14">
        <v>3</v>
      </c>
      <c r="J164" s="14">
        <v>0</v>
      </c>
      <c r="K164" s="14">
        <v>0</v>
      </c>
    </row>
    <row r="165" spans="1:11" x14ac:dyDescent="0.25">
      <c r="A165" s="16" t="str">
        <f>VLOOKUP(E165,Table1[[#All],[Campo]],1,0)</f>
        <v>accmltd_imprmnt_instrmnt</v>
      </c>
      <c r="B165" s="14" t="s">
        <v>1788</v>
      </c>
      <c r="C165" s="14" t="s">
        <v>1789</v>
      </c>
      <c r="D165" s="14" t="s">
        <v>1710</v>
      </c>
      <c r="E165" s="14" t="s">
        <v>1508</v>
      </c>
      <c r="F165" s="14" t="s">
        <v>1711</v>
      </c>
      <c r="G165" s="14" t="s">
        <v>1712</v>
      </c>
      <c r="H165" s="14" t="s">
        <v>624</v>
      </c>
      <c r="I165" s="14">
        <v>0</v>
      </c>
      <c r="J165" s="14">
        <v>0</v>
      </c>
      <c r="K165" s="14">
        <v>0</v>
      </c>
    </row>
    <row r="166" spans="1:11" x14ac:dyDescent="0.25">
      <c r="A166" s="16" t="str">
        <f>VLOOKUP(E166,Table1[[#All],[Campo]],1,0)</f>
        <v>accmltd_imprmnt_instrmnt</v>
      </c>
      <c r="B166" s="14" t="s">
        <v>1790</v>
      </c>
      <c r="C166" s="14" t="s">
        <v>1791</v>
      </c>
      <c r="D166" s="14" t="s">
        <v>1710</v>
      </c>
      <c r="E166" s="14" t="s">
        <v>1508</v>
      </c>
      <c r="F166" s="14" t="s">
        <v>1711</v>
      </c>
      <c r="G166" s="14" t="s">
        <v>1712</v>
      </c>
      <c r="H166" s="14" t="s">
        <v>624</v>
      </c>
      <c r="I166" s="14">
        <v>277512</v>
      </c>
      <c r="J166" s="14">
        <v>0</v>
      </c>
      <c r="K166" s="14">
        <v>0</v>
      </c>
    </row>
    <row r="167" spans="1:11" x14ac:dyDescent="0.25">
      <c r="A167" s="16" t="str">
        <f>VLOOKUP(E167,Table1[[#All],[Campo]],1,0)</f>
        <v>accmltd_imprmnt_instrmnt</v>
      </c>
      <c r="B167" s="14" t="s">
        <v>1792</v>
      </c>
      <c r="C167" s="14" t="s">
        <v>1793</v>
      </c>
      <c r="D167" s="14" t="s">
        <v>1710</v>
      </c>
      <c r="E167" s="14" t="s">
        <v>1508</v>
      </c>
      <c r="F167" s="14" t="s">
        <v>1711</v>
      </c>
      <c r="G167" s="14" t="s">
        <v>1712</v>
      </c>
      <c r="H167" s="14" t="s">
        <v>624</v>
      </c>
      <c r="I167" s="14">
        <v>3</v>
      </c>
      <c r="J167" s="14">
        <v>0</v>
      </c>
      <c r="K167" s="14">
        <v>0</v>
      </c>
    </row>
    <row r="168" spans="1:11" x14ac:dyDescent="0.25">
      <c r="A168" s="16" t="str">
        <f>VLOOKUP(E168,Table1[[#All],[Campo]],1,0)</f>
        <v>sstnbl_indctr</v>
      </c>
      <c r="B168" s="14" t="s">
        <v>1794</v>
      </c>
      <c r="C168" s="14" t="s">
        <v>1795</v>
      </c>
      <c r="D168" s="14" t="s">
        <v>1710</v>
      </c>
      <c r="E168" s="14" t="s">
        <v>1414</v>
      </c>
      <c r="F168" s="14" t="s">
        <v>1711</v>
      </c>
      <c r="G168" s="14" t="s">
        <v>1712</v>
      </c>
      <c r="H168" s="14" t="s">
        <v>624</v>
      </c>
      <c r="I168" s="14">
        <v>0</v>
      </c>
      <c r="J168" s="14">
        <v>0</v>
      </c>
      <c r="K168" s="14">
        <v>0</v>
      </c>
    </row>
    <row r="169" spans="1:11" x14ac:dyDescent="0.25">
      <c r="A169" s="16" t="str">
        <f>VLOOKUP(E169,Table1[[#All],[Campo]],1,0)</f>
        <v>sstnbl_indctr</v>
      </c>
      <c r="B169" s="14" t="s">
        <v>1796</v>
      </c>
      <c r="C169" s="14" t="s">
        <v>1797</v>
      </c>
      <c r="D169" s="14" t="s">
        <v>1710</v>
      </c>
      <c r="E169" s="14" t="s">
        <v>1414</v>
      </c>
      <c r="F169" s="14" t="s">
        <v>1711</v>
      </c>
      <c r="G169" s="14" t="s">
        <v>1712</v>
      </c>
      <c r="H169" s="14" t="s">
        <v>624</v>
      </c>
      <c r="I169" s="14">
        <v>0</v>
      </c>
      <c r="J169" s="14">
        <v>0</v>
      </c>
      <c r="K169" s="14">
        <v>0</v>
      </c>
    </row>
    <row r="170" spans="1:11" x14ac:dyDescent="0.25">
      <c r="A170" s="16" t="str">
        <f>VLOOKUP(E170,Table1[[#All],[Campo]],1,0)</f>
        <v>sstnbl_ctgry</v>
      </c>
      <c r="B170" s="14" t="s">
        <v>1798</v>
      </c>
      <c r="C170" s="14" t="s">
        <v>1799</v>
      </c>
      <c r="D170" s="14" t="s">
        <v>1715</v>
      </c>
      <c r="E170" s="14" t="s">
        <v>1418</v>
      </c>
      <c r="F170" s="14" t="s">
        <v>1711</v>
      </c>
      <c r="G170" s="14" t="s">
        <v>1712</v>
      </c>
      <c r="H170" s="14" t="s">
        <v>624</v>
      </c>
      <c r="I170" s="14">
        <v>0</v>
      </c>
      <c r="J170" s="14">
        <v>0</v>
      </c>
      <c r="K170" s="14">
        <v>0</v>
      </c>
    </row>
    <row r="171" spans="1:11" x14ac:dyDescent="0.25">
      <c r="A171" s="16" t="str">
        <f>VLOOKUP(E171,Table1[[#All],[Campo]],1,0)</f>
        <v>sstnbl_ctgry</v>
      </c>
      <c r="B171" s="14" t="s">
        <v>1800</v>
      </c>
      <c r="C171" s="14" t="s">
        <v>1801</v>
      </c>
      <c r="D171" s="14" t="s">
        <v>1715</v>
      </c>
      <c r="E171" s="14" t="s">
        <v>1418</v>
      </c>
      <c r="F171" s="14" t="s">
        <v>1711</v>
      </c>
      <c r="G171" s="14" t="s">
        <v>1712</v>
      </c>
      <c r="H171" s="14" t="s">
        <v>624</v>
      </c>
      <c r="I171" s="14">
        <v>0</v>
      </c>
      <c r="J171" s="14">
        <v>0</v>
      </c>
      <c r="K171" s="14">
        <v>0</v>
      </c>
    </row>
    <row r="172" spans="1:11" x14ac:dyDescent="0.25">
      <c r="A172" s="16" t="str">
        <f>VLOOKUP(E172,Table1[[#All],[Campo]],1,0)</f>
        <v>sstnbl_ctgry</v>
      </c>
      <c r="B172" s="14" t="s">
        <v>1802</v>
      </c>
      <c r="C172" s="14" t="s">
        <v>1803</v>
      </c>
      <c r="D172" s="14" t="s">
        <v>1715</v>
      </c>
      <c r="E172" s="14" t="s">
        <v>1418</v>
      </c>
      <c r="F172" s="14" t="s">
        <v>1711</v>
      </c>
      <c r="G172" s="14" t="s">
        <v>1712</v>
      </c>
      <c r="H172" s="14" t="s">
        <v>624</v>
      </c>
      <c r="I172" s="14">
        <v>0</v>
      </c>
      <c r="J172" s="14">
        <v>0</v>
      </c>
      <c r="K172" s="14">
        <v>0</v>
      </c>
    </row>
    <row r="173" spans="1:11" x14ac:dyDescent="0.25">
      <c r="A173" s="16" t="str">
        <f>VLOOKUP(E173,Table1[[#All],[Campo]],1,0)</f>
        <v>sstnbl_ctgry</v>
      </c>
      <c r="B173" s="14" t="s">
        <v>1804</v>
      </c>
      <c r="C173" s="14" t="s">
        <v>1805</v>
      </c>
      <c r="D173" s="14" t="s">
        <v>1715</v>
      </c>
      <c r="E173" s="14" t="s">
        <v>1418</v>
      </c>
      <c r="F173" s="14" t="s">
        <v>1711</v>
      </c>
      <c r="G173" s="14" t="s">
        <v>1712</v>
      </c>
      <c r="H173" s="14" t="s">
        <v>624</v>
      </c>
      <c r="I173" s="14">
        <v>0</v>
      </c>
      <c r="J173" s="14">
        <v>0</v>
      </c>
      <c r="K173" s="14">
        <v>0</v>
      </c>
    </row>
    <row r="174" spans="1:11" x14ac:dyDescent="0.25">
      <c r="A174" s="16" t="str">
        <f>VLOOKUP(E174,Table1[[#All],[Campo]],1,0)</f>
        <v>sstnbl_ctgry</v>
      </c>
      <c r="B174" s="14" t="s">
        <v>1806</v>
      </c>
      <c r="C174" s="14" t="s">
        <v>1807</v>
      </c>
      <c r="D174" s="14" t="s">
        <v>1715</v>
      </c>
      <c r="E174" s="14" t="s">
        <v>1418</v>
      </c>
      <c r="F174" s="14" t="s">
        <v>1711</v>
      </c>
      <c r="G174" s="14" t="s">
        <v>1712</v>
      </c>
      <c r="H174" s="14" t="s">
        <v>624</v>
      </c>
      <c r="I174" s="14">
        <v>0</v>
      </c>
      <c r="J174" s="14">
        <v>0</v>
      </c>
      <c r="K174" s="14">
        <v>0</v>
      </c>
    </row>
    <row r="175" spans="1:11" x14ac:dyDescent="0.25">
      <c r="A175" s="16" t="str">
        <f>VLOOKUP(E175,Table1[[#All],[Campo]],1,0)</f>
        <v>sstnbl_ctgry</v>
      </c>
      <c r="B175" s="14" t="s">
        <v>1808</v>
      </c>
      <c r="C175" s="14" t="s">
        <v>1809</v>
      </c>
      <c r="D175" s="14" t="s">
        <v>1715</v>
      </c>
      <c r="E175" s="14" t="s">
        <v>1418</v>
      </c>
      <c r="F175" s="14" t="s">
        <v>1711</v>
      </c>
      <c r="G175" s="14" t="s">
        <v>1712</v>
      </c>
      <c r="H175" s="14" t="s">
        <v>624</v>
      </c>
      <c r="I175" s="14">
        <v>0</v>
      </c>
      <c r="J175" s="14">
        <v>0</v>
      </c>
      <c r="K175" s="14">
        <v>0</v>
      </c>
    </row>
    <row r="176" spans="1:11" x14ac:dyDescent="0.25">
      <c r="A176" s="16" t="str">
        <f>VLOOKUP(E176,Table1[[#All],[Campo]],1,0)</f>
        <v>sstnbl_ctgry</v>
      </c>
      <c r="B176" s="14" t="s">
        <v>1810</v>
      </c>
      <c r="C176" s="14" t="s">
        <v>1811</v>
      </c>
      <c r="D176" s="14" t="s">
        <v>1715</v>
      </c>
      <c r="E176" s="14" t="s">
        <v>1418</v>
      </c>
      <c r="F176" s="14" t="s">
        <v>1711</v>
      </c>
      <c r="G176" s="14" t="s">
        <v>1712</v>
      </c>
      <c r="H176" s="14" t="s">
        <v>624</v>
      </c>
      <c r="I176" s="14">
        <v>0</v>
      </c>
      <c r="J176" s="14">
        <v>0</v>
      </c>
      <c r="K176" s="14">
        <v>0</v>
      </c>
    </row>
    <row r="177" spans="1:11" x14ac:dyDescent="0.25">
      <c r="A177" s="16" t="str">
        <f>VLOOKUP(E177,Table1[[#All],[Campo]],1,0)</f>
        <v>sstnbl_ctgry</v>
      </c>
      <c r="B177" s="14" t="s">
        <v>1812</v>
      </c>
      <c r="C177" s="14" t="s">
        <v>1813</v>
      </c>
      <c r="D177" s="14" t="s">
        <v>1715</v>
      </c>
      <c r="E177" s="14" t="s">
        <v>1418</v>
      </c>
      <c r="F177" s="14" t="s">
        <v>1711</v>
      </c>
      <c r="G177" s="14" t="s">
        <v>1712</v>
      </c>
      <c r="H177" s="14" t="s">
        <v>624</v>
      </c>
      <c r="I177" s="14">
        <v>0</v>
      </c>
      <c r="J177" s="14">
        <v>0</v>
      </c>
      <c r="K177" s="14">
        <v>0</v>
      </c>
    </row>
    <row r="178" spans="1:11" x14ac:dyDescent="0.25">
      <c r="A178" s="16" t="str">
        <f>VLOOKUP(E178,Table1[[#All],[Campo]],1,0)</f>
        <v>sstnbl_ctgry</v>
      </c>
      <c r="B178" s="14" t="s">
        <v>1814</v>
      </c>
      <c r="C178" s="14" t="s">
        <v>1815</v>
      </c>
      <c r="D178" s="14" t="s">
        <v>1715</v>
      </c>
      <c r="E178" s="14" t="s">
        <v>1418</v>
      </c>
      <c r="F178" s="14" t="s">
        <v>1711</v>
      </c>
      <c r="G178" s="14" t="s">
        <v>1712</v>
      </c>
      <c r="H178" s="14" t="s">
        <v>624</v>
      </c>
      <c r="I178" s="14">
        <v>0</v>
      </c>
      <c r="J178" s="14">
        <v>0</v>
      </c>
      <c r="K178" s="14">
        <v>0</v>
      </c>
    </row>
    <row r="179" spans="1:11" x14ac:dyDescent="0.25">
      <c r="A179" s="16" t="str">
        <f>VLOOKUP(E179,Table1[[#All],[Campo]],1,0)</f>
        <v>sstnbl_ctgry</v>
      </c>
      <c r="B179" s="14" t="s">
        <v>1816</v>
      </c>
      <c r="C179" s="14" t="s">
        <v>1817</v>
      </c>
      <c r="D179" s="14" t="s">
        <v>1715</v>
      </c>
      <c r="E179" s="14" t="s">
        <v>1418</v>
      </c>
      <c r="F179" s="14" t="s">
        <v>1711</v>
      </c>
      <c r="G179" s="14" t="s">
        <v>1712</v>
      </c>
      <c r="H179" s="14" t="s">
        <v>624</v>
      </c>
      <c r="I179" s="14">
        <v>0</v>
      </c>
      <c r="J179" s="14">
        <v>0</v>
      </c>
      <c r="K179" s="14">
        <v>0</v>
      </c>
    </row>
    <row r="180" spans="1:11" x14ac:dyDescent="0.25">
      <c r="A180" s="16" t="str">
        <f>VLOOKUP(E180,Table1[[#All],[Campo]],1,0)</f>
        <v>sstnbl_ctgry</v>
      </c>
      <c r="B180" s="14" t="s">
        <v>1818</v>
      </c>
      <c r="C180" s="14" t="s">
        <v>1819</v>
      </c>
      <c r="D180" s="14" t="s">
        <v>1715</v>
      </c>
      <c r="E180" s="14" t="s">
        <v>1418</v>
      </c>
      <c r="F180" s="14" t="s">
        <v>1711</v>
      </c>
      <c r="G180" s="14" t="s">
        <v>1712</v>
      </c>
      <c r="H180" s="14" t="s">
        <v>624</v>
      </c>
      <c r="I180" s="14">
        <v>0</v>
      </c>
      <c r="J180" s="14">
        <v>0</v>
      </c>
      <c r="K180" s="14">
        <v>0</v>
      </c>
    </row>
    <row r="181" spans="1:11" x14ac:dyDescent="0.25">
      <c r="A181" s="16" t="str">
        <f>VLOOKUP(E181,Table1[[#All],[Campo]],1,0)</f>
        <v>sstnbl_ctgry</v>
      </c>
      <c r="B181" s="14" t="s">
        <v>1820</v>
      </c>
      <c r="C181" s="14" t="s">
        <v>1821</v>
      </c>
      <c r="D181" s="14" t="s">
        <v>1715</v>
      </c>
      <c r="E181" s="14" t="s">
        <v>1418</v>
      </c>
      <c r="F181" s="14" t="s">
        <v>1711</v>
      </c>
      <c r="G181" s="14" t="s">
        <v>1712</v>
      </c>
      <c r="H181" s="14" t="s">
        <v>624</v>
      </c>
      <c r="I181" s="14">
        <v>0</v>
      </c>
      <c r="J181" s="14">
        <v>0</v>
      </c>
      <c r="K181" s="14">
        <v>0</v>
      </c>
    </row>
    <row r="182" spans="1:11" x14ac:dyDescent="0.25">
      <c r="A182" s="16" t="str">
        <f>VLOOKUP(E182,Table1[[#All],[Campo]],1,0)</f>
        <v>sstnbl_ctgry</v>
      </c>
      <c r="B182" s="14" t="s">
        <v>1822</v>
      </c>
      <c r="C182" s="14" t="s">
        <v>1823</v>
      </c>
      <c r="D182" s="14" t="s">
        <v>1715</v>
      </c>
      <c r="E182" s="14" t="s">
        <v>1418</v>
      </c>
      <c r="F182" s="14" t="s">
        <v>1711</v>
      </c>
      <c r="G182" s="14" t="s">
        <v>1712</v>
      </c>
      <c r="H182" s="14" t="s">
        <v>624</v>
      </c>
      <c r="I182" s="14">
        <v>0</v>
      </c>
      <c r="J182" s="14">
        <v>0</v>
      </c>
      <c r="K182" s="14">
        <v>0</v>
      </c>
    </row>
    <row r="183" spans="1:11" x14ac:dyDescent="0.25">
      <c r="A183" s="16" t="str">
        <f>VLOOKUP(E183,Table1[[#All],[Campo]],1,0)</f>
        <v>sstnbl_ctgry</v>
      </c>
      <c r="B183" s="14" t="s">
        <v>1824</v>
      </c>
      <c r="C183" s="14" t="s">
        <v>1825</v>
      </c>
      <c r="D183" s="14" t="s">
        <v>1715</v>
      </c>
      <c r="E183" s="14" t="s">
        <v>1418</v>
      </c>
      <c r="F183" s="14" t="s">
        <v>1711</v>
      </c>
      <c r="G183" s="14" t="s">
        <v>1712</v>
      </c>
      <c r="H183" s="14" t="s">
        <v>624</v>
      </c>
      <c r="I183" s="14">
        <v>0</v>
      </c>
      <c r="J183" s="14">
        <v>0</v>
      </c>
      <c r="K183" s="14">
        <v>0</v>
      </c>
    </row>
    <row r="184" spans="1:11" x14ac:dyDescent="0.25">
      <c r="A184" s="16" t="str">
        <f>VLOOKUP(E184,Table1[[#All],[Campo]],1,0)</f>
        <v>grss_intrst_incm</v>
      </c>
      <c r="B184" s="14" t="s">
        <v>1826</v>
      </c>
      <c r="C184" s="14" t="s">
        <v>1827</v>
      </c>
      <c r="D184" s="14" t="s">
        <v>1710</v>
      </c>
      <c r="E184" s="14" t="s">
        <v>1525</v>
      </c>
      <c r="F184" s="14" t="s">
        <v>1711</v>
      </c>
      <c r="G184" s="14" t="s">
        <v>1712</v>
      </c>
      <c r="H184" s="14" t="s">
        <v>624</v>
      </c>
      <c r="I184" s="14">
        <v>0</v>
      </c>
      <c r="J184" s="14">
        <v>0</v>
      </c>
      <c r="K184" s="14">
        <v>0</v>
      </c>
    </row>
    <row r="185" spans="1:11" x14ac:dyDescent="0.25">
      <c r="A185" s="16" t="str">
        <f>VLOOKUP(E185,Table1[[#All],[Campo]],1,0)</f>
        <v>grss_intrst_incm</v>
      </c>
      <c r="B185" s="14" t="s">
        <v>1828</v>
      </c>
      <c r="C185" s="14" t="s">
        <v>1829</v>
      </c>
      <c r="D185" s="14" t="s">
        <v>1710</v>
      </c>
      <c r="E185" s="14" t="s">
        <v>1525</v>
      </c>
      <c r="F185" s="14" t="s">
        <v>1711</v>
      </c>
      <c r="G185" s="14" t="s">
        <v>1712</v>
      </c>
      <c r="H185" s="14" t="s">
        <v>624</v>
      </c>
      <c r="I185" s="14">
        <v>0</v>
      </c>
      <c r="J185" s="14">
        <v>0</v>
      </c>
      <c r="K185" s="14">
        <v>0</v>
      </c>
    </row>
    <row r="186" spans="1:11" x14ac:dyDescent="0.25">
      <c r="A186" s="16" t="s">
        <v>1526</v>
      </c>
      <c r="B186" s="14" t="s">
        <v>1830</v>
      </c>
      <c r="C186" s="14" t="s">
        <v>1831</v>
      </c>
      <c r="D186" s="14" t="s">
        <v>1710</v>
      </c>
      <c r="E186" s="14" t="s">
        <v>1529</v>
      </c>
      <c r="F186" s="14" t="s">
        <v>1711</v>
      </c>
      <c r="G186" s="14" t="s">
        <v>1712</v>
      </c>
      <c r="H186" s="14" t="s">
        <v>624</v>
      </c>
      <c r="I186" s="14">
        <v>0</v>
      </c>
      <c r="J186" s="14">
        <v>0</v>
      </c>
      <c r="K186" s="14">
        <v>0</v>
      </c>
    </row>
    <row r="187" spans="1:11" x14ac:dyDescent="0.25">
      <c r="A187" s="16" t="s">
        <v>1526</v>
      </c>
      <c r="B187" s="14" t="s">
        <v>1832</v>
      </c>
      <c r="C187" s="14" t="s">
        <v>1833</v>
      </c>
      <c r="D187" s="14" t="s">
        <v>1710</v>
      </c>
      <c r="E187" s="14" t="s">
        <v>1529</v>
      </c>
      <c r="F187" s="14" t="s">
        <v>1711</v>
      </c>
      <c r="G187" s="14" t="s">
        <v>1712</v>
      </c>
      <c r="H187" s="14" t="s">
        <v>624</v>
      </c>
      <c r="I187" s="14">
        <v>0</v>
      </c>
      <c r="J187" s="14">
        <v>0</v>
      </c>
      <c r="K187" s="14">
        <v>0</v>
      </c>
    </row>
    <row r="188" spans="1:11" x14ac:dyDescent="0.25">
      <c r="A188" s="16" t="e">
        <f>VLOOKUP(E188,Table1[[#All],[Campo]],1,0)</f>
        <v>#N/A</v>
      </c>
      <c r="B188" s="14" t="s">
        <v>1834</v>
      </c>
      <c r="C188" s="14" t="s">
        <v>1835</v>
      </c>
      <c r="D188" s="14" t="s">
        <v>1710</v>
      </c>
      <c r="E188" s="14" t="s">
        <v>1540</v>
      </c>
      <c r="F188" s="14" t="s">
        <v>1711</v>
      </c>
      <c r="G188" s="14" t="s">
        <v>1712</v>
      </c>
      <c r="H188" s="14" t="s">
        <v>624</v>
      </c>
      <c r="I188" s="14">
        <v>0</v>
      </c>
      <c r="J188" s="14">
        <v>0</v>
      </c>
      <c r="K188" s="14">
        <v>0</v>
      </c>
    </row>
    <row r="189" spans="1:11" x14ac:dyDescent="0.25">
      <c r="A189" s="16" t="e">
        <f>VLOOKUP(E189,Table1[[#All],[Campo]],1,0)</f>
        <v>#N/A</v>
      </c>
      <c r="B189" s="14" t="s">
        <v>1836</v>
      </c>
      <c r="C189" s="14" t="s">
        <v>1837</v>
      </c>
      <c r="D189" s="14" t="s">
        <v>1710</v>
      </c>
      <c r="E189" s="14" t="s">
        <v>1540</v>
      </c>
      <c r="F189" s="14" t="s">
        <v>1711</v>
      </c>
      <c r="G189" s="14" t="s">
        <v>1712</v>
      </c>
      <c r="H189" s="14" t="s">
        <v>624</v>
      </c>
      <c r="I189" s="14">
        <v>277518</v>
      </c>
      <c r="J189" s="14">
        <v>0</v>
      </c>
      <c r="K189" s="14">
        <v>0</v>
      </c>
    </row>
    <row r="190" spans="1:11" x14ac:dyDescent="0.25">
      <c r="A190" s="16" t="e">
        <f>VLOOKUP(E190,Table1[[#All],[Campo]],1,0)</f>
        <v>#N/A</v>
      </c>
      <c r="B190" s="14" t="s">
        <v>1838</v>
      </c>
      <c r="C190" s="14" t="s">
        <v>1839</v>
      </c>
      <c r="D190" s="14" t="s">
        <v>1710</v>
      </c>
      <c r="E190" s="14" t="s">
        <v>1540</v>
      </c>
      <c r="F190" s="14" t="s">
        <v>1711</v>
      </c>
      <c r="G190" s="14" t="s">
        <v>1712</v>
      </c>
      <c r="H190" s="14" t="s">
        <v>624</v>
      </c>
      <c r="I190" s="14">
        <v>1724892</v>
      </c>
      <c r="J190" s="14">
        <v>0</v>
      </c>
      <c r="K190" s="14">
        <v>0</v>
      </c>
    </row>
    <row r="191" spans="1:11" x14ac:dyDescent="0.25">
      <c r="A191" s="16" t="s">
        <v>1541</v>
      </c>
      <c r="B191" s="14" t="s">
        <v>1840</v>
      </c>
      <c r="C191" s="14" t="s">
        <v>1841</v>
      </c>
      <c r="D191" s="14" t="s">
        <v>1710</v>
      </c>
      <c r="E191" s="14" t="s">
        <v>1544</v>
      </c>
      <c r="F191" s="14" t="s">
        <v>1711</v>
      </c>
      <c r="G191" s="14" t="s">
        <v>1712</v>
      </c>
      <c r="H191" s="14" t="s">
        <v>624</v>
      </c>
      <c r="I191" s="14">
        <v>0</v>
      </c>
      <c r="J191" s="14">
        <v>0</v>
      </c>
      <c r="K191" s="14">
        <v>0</v>
      </c>
    </row>
    <row r="192" spans="1:11" x14ac:dyDescent="0.25">
      <c r="A192" s="16" t="s">
        <v>1541</v>
      </c>
      <c r="B192" s="14" t="s">
        <v>1842</v>
      </c>
      <c r="C192" s="14" t="s">
        <v>1843</v>
      </c>
      <c r="D192" s="14" t="s">
        <v>1710</v>
      </c>
      <c r="E192" s="14" t="s">
        <v>1544</v>
      </c>
      <c r="F192" s="14" t="s">
        <v>1711</v>
      </c>
      <c r="G192" s="14" t="s">
        <v>1712</v>
      </c>
      <c r="H192" s="14" t="s">
        <v>624</v>
      </c>
      <c r="I192" s="14">
        <v>0</v>
      </c>
      <c r="J192" s="14">
        <v>0</v>
      </c>
      <c r="K192" s="14">
        <v>0</v>
      </c>
    </row>
    <row r="193" spans="1:11" x14ac:dyDescent="0.25">
      <c r="A193" s="16" t="e">
        <f>VLOOKUP(E193,Table1[[#All],[Campo]],1,0)</f>
        <v>#N/A</v>
      </c>
      <c r="B193" s="14" t="s">
        <v>1844</v>
      </c>
      <c r="C193" s="14" t="s">
        <v>1845</v>
      </c>
      <c r="D193" s="14" t="s">
        <v>1710</v>
      </c>
      <c r="E193" s="14" t="s">
        <v>1547</v>
      </c>
      <c r="F193" s="14" t="s">
        <v>1711</v>
      </c>
      <c r="G193" s="14" t="s">
        <v>1712</v>
      </c>
      <c r="H193" s="14" t="s">
        <v>624</v>
      </c>
      <c r="I193" s="14">
        <v>0</v>
      </c>
      <c r="J193" s="14">
        <v>0</v>
      </c>
      <c r="K193" s="14">
        <v>0</v>
      </c>
    </row>
    <row r="194" spans="1:11" x14ac:dyDescent="0.25">
      <c r="A194" s="16" t="e">
        <f>VLOOKUP(E194,Table1[[#All],[Campo]],1,0)</f>
        <v>#N/A</v>
      </c>
      <c r="B194" s="14" t="s">
        <v>1846</v>
      </c>
      <c r="C194" s="14" t="s">
        <v>1847</v>
      </c>
      <c r="D194" s="14" t="s">
        <v>1710</v>
      </c>
      <c r="E194" s="14" t="s">
        <v>1547</v>
      </c>
      <c r="F194" s="14" t="s">
        <v>1711</v>
      </c>
      <c r="G194" s="14" t="s">
        <v>1712</v>
      </c>
      <c r="H194" s="14" t="s">
        <v>624</v>
      </c>
      <c r="I194" s="14">
        <v>0</v>
      </c>
      <c r="J194" s="14">
        <v>0</v>
      </c>
      <c r="K194" s="14">
        <v>0</v>
      </c>
    </row>
    <row r="195" spans="1:11" x14ac:dyDescent="0.25">
      <c r="A195" s="16" t="e">
        <f>VLOOKUP(E195,Table1[[#All],[Campo]],1,0)</f>
        <v>#N/A</v>
      </c>
      <c r="B195" s="14" t="s">
        <v>1848</v>
      </c>
      <c r="C195" s="14" t="s">
        <v>1849</v>
      </c>
      <c r="D195" s="14" t="s">
        <v>1710</v>
      </c>
      <c r="E195" s="14" t="s">
        <v>1552</v>
      </c>
      <c r="F195" s="14" t="s">
        <v>1711</v>
      </c>
      <c r="G195" s="14" t="s">
        <v>1712</v>
      </c>
      <c r="H195" s="14" t="s">
        <v>624</v>
      </c>
      <c r="I195" s="14">
        <v>0</v>
      </c>
      <c r="J195" s="14">
        <v>0</v>
      </c>
      <c r="K195" s="14">
        <v>0</v>
      </c>
    </row>
    <row r="196" spans="1:11" x14ac:dyDescent="0.25">
      <c r="A196" s="16" t="e">
        <f>VLOOKUP(E196,Table1[[#All],[Campo]],1,0)</f>
        <v>#N/A</v>
      </c>
      <c r="B196" s="14" t="s">
        <v>1850</v>
      </c>
      <c r="C196" s="14" t="s">
        <v>1851</v>
      </c>
      <c r="D196" s="14" t="s">
        <v>1710</v>
      </c>
      <c r="E196" s="14" t="s">
        <v>1552</v>
      </c>
      <c r="F196" s="14" t="s">
        <v>1711</v>
      </c>
      <c r="G196" s="14" t="s">
        <v>1712</v>
      </c>
      <c r="H196" s="14" t="s">
        <v>624</v>
      </c>
      <c r="I196" s="14">
        <v>0</v>
      </c>
      <c r="J196" s="14">
        <v>0</v>
      </c>
      <c r="K196" s="14">
        <v>0</v>
      </c>
    </row>
    <row r="197" spans="1:11" x14ac:dyDescent="0.25">
      <c r="A197" s="16" t="e">
        <f>VLOOKUP(E197,Table1[[#All],[Campo]],1,0)</f>
        <v>#N/A</v>
      </c>
      <c r="B197" s="14" t="s">
        <v>1852</v>
      </c>
      <c r="C197" s="14" t="s">
        <v>1853</v>
      </c>
      <c r="D197" s="14" t="s">
        <v>1710</v>
      </c>
      <c r="E197" s="14" t="s">
        <v>1555</v>
      </c>
      <c r="F197" s="14" t="s">
        <v>1711</v>
      </c>
      <c r="G197" s="14" t="s">
        <v>1712</v>
      </c>
      <c r="H197" s="14" t="s">
        <v>624</v>
      </c>
      <c r="I197" s="14">
        <v>0</v>
      </c>
      <c r="J197" s="14">
        <v>0</v>
      </c>
      <c r="K197" s="14">
        <v>0</v>
      </c>
    </row>
    <row r="198" spans="1:11" x14ac:dyDescent="0.25">
      <c r="A198" s="16" t="e">
        <f>VLOOKUP(E198,Table1[[#All],[Campo]],1,0)</f>
        <v>#N/A</v>
      </c>
      <c r="B198" s="14" t="s">
        <v>1854</v>
      </c>
      <c r="C198" s="14" t="s">
        <v>1855</v>
      </c>
      <c r="D198" s="14" t="s">
        <v>1710</v>
      </c>
      <c r="E198" s="14" t="s">
        <v>1555</v>
      </c>
      <c r="F198" s="14" t="s">
        <v>1711</v>
      </c>
      <c r="G198" s="14" t="s">
        <v>1712</v>
      </c>
      <c r="H198" s="14" t="s">
        <v>624</v>
      </c>
      <c r="I198" s="14">
        <v>0</v>
      </c>
      <c r="J198" s="14">
        <v>0</v>
      </c>
      <c r="K198" s="14">
        <v>0</v>
      </c>
    </row>
    <row r="199" spans="1:11" x14ac:dyDescent="0.25">
      <c r="A199" s="16" t="e">
        <f>VLOOKUP(E199,Table1[[#All],[Campo]],1,0)</f>
        <v>#N/A</v>
      </c>
      <c r="B199" s="14" t="s">
        <v>1856</v>
      </c>
      <c r="C199" s="14" t="s">
        <v>1857</v>
      </c>
      <c r="D199" s="14" t="s">
        <v>1710</v>
      </c>
      <c r="E199" s="14" t="s">
        <v>1558</v>
      </c>
      <c r="F199" s="14" t="s">
        <v>1711</v>
      </c>
      <c r="G199" s="14" t="s">
        <v>1712</v>
      </c>
      <c r="H199" s="14" t="s">
        <v>624</v>
      </c>
      <c r="I199" s="14">
        <v>0</v>
      </c>
      <c r="J199" s="14">
        <v>0</v>
      </c>
      <c r="K199" s="14">
        <v>0</v>
      </c>
    </row>
    <row r="200" spans="1:11" x14ac:dyDescent="0.25">
      <c r="A200" s="16" t="e">
        <f>VLOOKUP(E200,Table1[[#All],[Campo]],1,0)</f>
        <v>#N/A</v>
      </c>
      <c r="B200" s="14" t="s">
        <v>1858</v>
      </c>
      <c r="C200" s="14" t="s">
        <v>1859</v>
      </c>
      <c r="D200" s="14" t="s">
        <v>1710</v>
      </c>
      <c r="E200" s="14" t="s">
        <v>1558</v>
      </c>
      <c r="F200" s="14" t="s">
        <v>1711</v>
      </c>
      <c r="G200" s="14" t="s">
        <v>1712</v>
      </c>
      <c r="H200" s="14" t="s">
        <v>624</v>
      </c>
      <c r="I200" s="14">
        <v>0</v>
      </c>
      <c r="J200" s="14">
        <v>0</v>
      </c>
      <c r="K200" s="14">
        <v>0</v>
      </c>
    </row>
    <row r="201" spans="1:11" x14ac:dyDescent="0.25">
      <c r="A201" s="16" t="e">
        <f>VLOOKUP(E201,Table1[[#All],[Campo]],1,0)</f>
        <v>#N/A</v>
      </c>
      <c r="B201" s="14" t="s">
        <v>1860</v>
      </c>
      <c r="C201" s="14" t="s">
        <v>1861</v>
      </c>
      <c r="D201" s="14" t="s">
        <v>1710</v>
      </c>
      <c r="E201" s="14" t="s">
        <v>1558</v>
      </c>
      <c r="F201" s="14" t="s">
        <v>1711</v>
      </c>
      <c r="G201" s="14" t="s">
        <v>1712</v>
      </c>
      <c r="H201" s="14" t="s">
        <v>624</v>
      </c>
      <c r="I201" s="14">
        <v>0</v>
      </c>
      <c r="J201" s="14">
        <v>0</v>
      </c>
      <c r="K201" s="14">
        <v>0</v>
      </c>
    </row>
    <row r="202" spans="1:11" x14ac:dyDescent="0.25">
      <c r="A202" s="16" t="e">
        <f>VLOOKUP(E202,Table1[[#All],[Campo]],1,0)</f>
        <v>#N/A</v>
      </c>
      <c r="B202" s="14" t="s">
        <v>1862</v>
      </c>
      <c r="C202" s="14" t="s">
        <v>1863</v>
      </c>
      <c r="D202" s="14" t="s">
        <v>1710</v>
      </c>
      <c r="E202" s="14" t="s">
        <v>1561</v>
      </c>
      <c r="F202" s="14" t="s">
        <v>1711</v>
      </c>
      <c r="G202" s="14" t="s">
        <v>1712</v>
      </c>
      <c r="H202" s="14" t="s">
        <v>624</v>
      </c>
      <c r="I202" s="14">
        <v>0</v>
      </c>
      <c r="J202" s="14">
        <v>0</v>
      </c>
      <c r="K202" s="14">
        <v>0</v>
      </c>
    </row>
    <row r="203" spans="1:11" x14ac:dyDescent="0.25">
      <c r="A203" s="16" t="e">
        <f>VLOOKUP(E203,Table1[[#All],[Campo]],1,0)</f>
        <v>#N/A</v>
      </c>
      <c r="B203" s="14" t="s">
        <v>1864</v>
      </c>
      <c r="C203" s="14" t="s">
        <v>1865</v>
      </c>
      <c r="D203" s="14" t="s">
        <v>1710</v>
      </c>
      <c r="E203" s="14" t="s">
        <v>1564</v>
      </c>
      <c r="F203" s="14" t="s">
        <v>1711</v>
      </c>
      <c r="G203" s="14" t="s">
        <v>1712</v>
      </c>
      <c r="H203" s="14" t="s">
        <v>624</v>
      </c>
      <c r="I203" s="14">
        <v>0</v>
      </c>
      <c r="J203" s="14">
        <v>0</v>
      </c>
      <c r="K203" s="14">
        <v>0</v>
      </c>
    </row>
    <row r="204" spans="1:11" x14ac:dyDescent="0.25">
      <c r="A204" s="16" t="s">
        <v>1565</v>
      </c>
      <c r="B204" s="14" t="s">
        <v>1866</v>
      </c>
      <c r="C204" s="14" t="s">
        <v>1867</v>
      </c>
      <c r="D204" s="14" t="s">
        <v>1710</v>
      </c>
      <c r="E204" s="14" t="s">
        <v>1568</v>
      </c>
      <c r="F204" s="14" t="s">
        <v>1711</v>
      </c>
      <c r="G204" s="14" t="s">
        <v>1712</v>
      </c>
      <c r="H204" s="14" t="s">
        <v>624</v>
      </c>
      <c r="I204" s="14">
        <v>0</v>
      </c>
      <c r="J204" s="14">
        <v>0</v>
      </c>
      <c r="K204" s="14">
        <v>0</v>
      </c>
    </row>
    <row r="205" spans="1:11" x14ac:dyDescent="0.25">
      <c r="A205" s="16" t="s">
        <v>1565</v>
      </c>
      <c r="B205" s="14" t="s">
        <v>1868</v>
      </c>
      <c r="C205" s="14" t="s">
        <v>1869</v>
      </c>
      <c r="D205" s="14" t="s">
        <v>1710</v>
      </c>
      <c r="E205" s="14" t="s">
        <v>1568</v>
      </c>
      <c r="F205" s="14" t="s">
        <v>1711</v>
      </c>
      <c r="G205" s="14" t="s">
        <v>1712</v>
      </c>
      <c r="H205" s="14" t="s">
        <v>624</v>
      </c>
      <c r="I205" s="14">
        <v>0</v>
      </c>
      <c r="J205" s="14">
        <v>0</v>
      </c>
      <c r="K205" s="14">
        <v>0</v>
      </c>
    </row>
    <row r="206" spans="1:11" x14ac:dyDescent="0.25">
      <c r="A206" s="16" t="s">
        <v>1565</v>
      </c>
      <c r="B206" s="14" t="s">
        <v>1870</v>
      </c>
      <c r="C206" s="14" t="s">
        <v>1871</v>
      </c>
      <c r="D206" s="14" t="s">
        <v>1710</v>
      </c>
      <c r="E206" s="14" t="s">
        <v>1568</v>
      </c>
      <c r="F206" s="14" t="s">
        <v>1711</v>
      </c>
      <c r="G206" s="14" t="s">
        <v>1712</v>
      </c>
      <c r="H206" s="14" t="s">
        <v>624</v>
      </c>
      <c r="I206" s="14">
        <v>0</v>
      </c>
      <c r="J206" s="14">
        <v>0</v>
      </c>
      <c r="K206" s="14">
        <v>0</v>
      </c>
    </row>
    <row r="207" spans="1:11" x14ac:dyDescent="0.25">
      <c r="A207" s="16" t="s">
        <v>1569</v>
      </c>
      <c r="B207" s="14" t="s">
        <v>1872</v>
      </c>
      <c r="C207" s="14" t="s">
        <v>1873</v>
      </c>
      <c r="D207" s="14" t="s">
        <v>1710</v>
      </c>
      <c r="E207" s="14" t="s">
        <v>1572</v>
      </c>
      <c r="F207" s="14" t="s">
        <v>1711</v>
      </c>
      <c r="G207" s="14" t="s">
        <v>1712</v>
      </c>
      <c r="H207" s="14" t="s">
        <v>624</v>
      </c>
      <c r="I207" s="14">
        <v>0</v>
      </c>
      <c r="J207" s="14">
        <v>0</v>
      </c>
      <c r="K207" s="14">
        <v>0</v>
      </c>
    </row>
    <row r="208" spans="1:11" x14ac:dyDescent="0.25">
      <c r="A208" s="16" t="s">
        <v>1569</v>
      </c>
      <c r="B208" s="14" t="s">
        <v>1874</v>
      </c>
      <c r="C208" s="14" t="s">
        <v>1875</v>
      </c>
      <c r="D208" s="14" t="s">
        <v>1710</v>
      </c>
      <c r="E208" s="14" t="s">
        <v>1572</v>
      </c>
      <c r="F208" s="14" t="s">
        <v>1711</v>
      </c>
      <c r="G208" s="14" t="s">
        <v>1712</v>
      </c>
      <c r="H208" s="14" t="s">
        <v>624</v>
      </c>
      <c r="I208" s="14">
        <v>0</v>
      </c>
      <c r="J208" s="14">
        <v>0</v>
      </c>
      <c r="K208" s="14">
        <v>0</v>
      </c>
    </row>
    <row r="209" spans="1:11" x14ac:dyDescent="0.25">
      <c r="A209" s="16" t="s">
        <v>1569</v>
      </c>
      <c r="B209" s="14" t="s">
        <v>1876</v>
      </c>
      <c r="C209" s="14" t="s">
        <v>1877</v>
      </c>
      <c r="D209" s="14" t="s">
        <v>1710</v>
      </c>
      <c r="E209" s="14" t="s">
        <v>1572</v>
      </c>
      <c r="F209" s="14" t="s">
        <v>1711</v>
      </c>
      <c r="G209" s="14" t="s">
        <v>1712</v>
      </c>
      <c r="H209" s="14" t="s">
        <v>624</v>
      </c>
      <c r="I209" s="14">
        <v>0</v>
      </c>
      <c r="J209" s="14">
        <v>0</v>
      </c>
      <c r="K209" s="14">
        <v>0</v>
      </c>
    </row>
    <row r="210" spans="1:11" x14ac:dyDescent="0.25">
      <c r="A210" s="16" t="e">
        <f>VLOOKUP(E210,Table1[[#All],[Campo]],1,0)</f>
        <v>#N/A</v>
      </c>
      <c r="B210" s="14" t="s">
        <v>1878</v>
      </c>
      <c r="C210" s="14" t="s">
        <v>1879</v>
      </c>
      <c r="D210" s="14" t="s">
        <v>1710</v>
      </c>
      <c r="E210" s="14" t="s">
        <v>1578</v>
      </c>
      <c r="F210" s="14" t="s">
        <v>1711</v>
      </c>
      <c r="G210" s="14" t="s">
        <v>1712</v>
      </c>
      <c r="H210" s="14" t="s">
        <v>624</v>
      </c>
      <c r="I210" s="14">
        <v>0</v>
      </c>
      <c r="J210" s="14">
        <v>0</v>
      </c>
      <c r="K210" s="14">
        <v>0</v>
      </c>
    </row>
    <row r="211" spans="1:11" x14ac:dyDescent="0.25">
      <c r="A211" s="16" t="e">
        <f>VLOOKUP(E211,Table1[[#All],[Campo]],1,0)</f>
        <v>#N/A</v>
      </c>
      <c r="B211" s="14" t="s">
        <v>1880</v>
      </c>
      <c r="C211" s="14" t="s">
        <v>1881</v>
      </c>
      <c r="D211" s="14" t="s">
        <v>1710</v>
      </c>
      <c r="E211" s="14" t="s">
        <v>1578</v>
      </c>
      <c r="F211" s="14" t="s">
        <v>1711</v>
      </c>
      <c r="G211" s="14" t="s">
        <v>1712</v>
      </c>
      <c r="H211" s="14" t="s">
        <v>624</v>
      </c>
      <c r="I211" s="14">
        <v>0</v>
      </c>
      <c r="J211" s="14">
        <v>0</v>
      </c>
      <c r="K211" s="14">
        <v>0</v>
      </c>
    </row>
    <row r="212" spans="1:11" x14ac:dyDescent="0.25">
      <c r="A212" s="16" t="e">
        <f>VLOOKUP(E212,Table1[[#All],[Campo]],1,0)</f>
        <v>#N/A</v>
      </c>
      <c r="B212" s="14" t="s">
        <v>1882</v>
      </c>
      <c r="C212" s="14" t="s">
        <v>1883</v>
      </c>
      <c r="D212" s="14" t="s">
        <v>1710</v>
      </c>
      <c r="E212" s="14" t="s">
        <v>1581</v>
      </c>
      <c r="F212" s="14" t="s">
        <v>1711</v>
      </c>
      <c r="G212" s="14" t="s">
        <v>1712</v>
      </c>
      <c r="H212" s="14" t="s">
        <v>624</v>
      </c>
      <c r="I212" s="14">
        <v>0</v>
      </c>
      <c r="J212" s="14">
        <v>0</v>
      </c>
      <c r="K212" s="14">
        <v>0</v>
      </c>
    </row>
    <row r="213" spans="1:11" x14ac:dyDescent="0.25">
      <c r="A213" s="16" t="str">
        <f>VLOOKUP(E213,Table1[[#All],[Campo]],1,0)</f>
        <v>cod_soc</v>
      </c>
      <c r="B213" s="14" t="s">
        <v>1884</v>
      </c>
      <c r="C213" s="14" t="s">
        <v>1885</v>
      </c>
      <c r="D213" s="14" t="s">
        <v>1456</v>
      </c>
      <c r="E213" s="14" t="s">
        <v>1380</v>
      </c>
      <c r="F213" s="14" t="s">
        <v>1886</v>
      </c>
      <c r="G213" s="14" t="s">
        <v>1887</v>
      </c>
      <c r="H213" s="14" t="s">
        <v>624</v>
      </c>
      <c r="I213" s="14">
        <v>1096295</v>
      </c>
      <c r="J213" s="14">
        <v>0</v>
      </c>
      <c r="K213" s="14">
        <v>0</v>
      </c>
    </row>
    <row r="214" spans="1:11" x14ac:dyDescent="0.25">
      <c r="A214" s="16" t="str">
        <f>VLOOKUP(E214,Table1[[#All],[Campo]],1,0)</f>
        <v>dt_rfrnc</v>
      </c>
      <c r="B214" s="14" t="s">
        <v>1888</v>
      </c>
      <c r="C214" s="14" t="s">
        <v>1889</v>
      </c>
      <c r="D214" s="14" t="s">
        <v>1456</v>
      </c>
      <c r="E214" s="14" t="s">
        <v>1385</v>
      </c>
      <c r="F214" s="14" t="s">
        <v>1886</v>
      </c>
      <c r="G214" s="14" t="s">
        <v>1887</v>
      </c>
      <c r="H214" s="14" t="s">
        <v>624</v>
      </c>
      <c r="I214" s="14">
        <v>1096295</v>
      </c>
      <c r="J214" s="14">
        <v>0</v>
      </c>
      <c r="K214" s="14">
        <v>0</v>
      </c>
    </row>
    <row r="215" spans="1:11" x14ac:dyDescent="0.25">
      <c r="A215" s="16" t="str">
        <f>VLOOKUP(E215,Table1[[#All],[Campo]],1,0)</f>
        <v>cod_soc</v>
      </c>
      <c r="B215" s="14" t="s">
        <v>1890</v>
      </c>
      <c r="C215" s="14" t="s">
        <v>1891</v>
      </c>
      <c r="D215" s="14" t="s">
        <v>1463</v>
      </c>
      <c r="E215" s="14" t="s">
        <v>1380</v>
      </c>
      <c r="F215" s="14" t="s">
        <v>1886</v>
      </c>
      <c r="G215" s="14" t="s">
        <v>1892</v>
      </c>
      <c r="H215" s="14" t="s">
        <v>624</v>
      </c>
      <c r="I215" s="14">
        <v>2490665</v>
      </c>
      <c r="J215" s="14">
        <v>0</v>
      </c>
      <c r="K215" s="14">
        <v>0</v>
      </c>
    </row>
    <row r="216" spans="1:11" x14ac:dyDescent="0.25">
      <c r="A216" s="16" t="str">
        <f>VLOOKUP(E216,Table1[[#All],[Campo]],1,0)</f>
        <v>dt_rfrnc</v>
      </c>
      <c r="B216" s="14" t="s">
        <v>1893</v>
      </c>
      <c r="C216" s="14" t="s">
        <v>1894</v>
      </c>
      <c r="D216" s="14" t="s">
        <v>1463</v>
      </c>
      <c r="E216" s="14" t="s">
        <v>1385</v>
      </c>
      <c r="F216" s="14" t="s">
        <v>1886</v>
      </c>
      <c r="G216" s="14" t="s">
        <v>1892</v>
      </c>
      <c r="H216" s="14" t="s">
        <v>624</v>
      </c>
      <c r="I216" s="14">
        <v>2490665</v>
      </c>
      <c r="J216" s="14">
        <v>0</v>
      </c>
      <c r="K216" s="14">
        <v>0</v>
      </c>
    </row>
    <row r="217" spans="1:11" x14ac:dyDescent="0.25">
      <c r="A217" s="16" t="str">
        <f>VLOOKUP(E217,Table1[[#All],[Campo]],1,0)</f>
        <v>cod_soc</v>
      </c>
      <c r="B217" s="14" t="s">
        <v>1895</v>
      </c>
      <c r="C217" s="14" t="s">
        <v>1896</v>
      </c>
      <c r="D217" s="14" t="s">
        <v>1402</v>
      </c>
      <c r="E217" s="14" t="s">
        <v>1380</v>
      </c>
      <c r="F217" s="14" t="s">
        <v>1886</v>
      </c>
      <c r="G217" s="14" t="s">
        <v>1897</v>
      </c>
      <c r="H217" s="14" t="s">
        <v>624</v>
      </c>
      <c r="I217" s="14">
        <v>2003033</v>
      </c>
      <c r="J217" s="14">
        <v>0</v>
      </c>
      <c r="K217" s="14">
        <v>0</v>
      </c>
    </row>
    <row r="218" spans="1:11" x14ac:dyDescent="0.25">
      <c r="A218" s="16" t="str">
        <f>VLOOKUP(E218,Table1[[#All],[Campo]],1,0)</f>
        <v>dt_rfrnc</v>
      </c>
      <c r="B218" s="14" t="s">
        <v>1898</v>
      </c>
      <c r="C218" s="14" t="s">
        <v>1899</v>
      </c>
      <c r="D218" s="14" t="s">
        <v>1402</v>
      </c>
      <c r="E218" s="14" t="s">
        <v>1385</v>
      </c>
      <c r="F218" s="14" t="s">
        <v>1886</v>
      </c>
      <c r="G218" s="14" t="s">
        <v>1897</v>
      </c>
      <c r="H218" s="14" t="s">
        <v>624</v>
      </c>
      <c r="I218" s="14">
        <v>2003033</v>
      </c>
      <c r="J218" s="14">
        <v>0</v>
      </c>
      <c r="K218" s="14">
        <v>0</v>
      </c>
    </row>
    <row r="219" spans="1:11" x14ac:dyDescent="0.25">
      <c r="A219" s="16" t="str">
        <f>VLOOKUP(E219,Table1[[#All],[Campo]],1,0)</f>
        <v>cod_soc</v>
      </c>
      <c r="B219" s="14" t="s">
        <v>1900</v>
      </c>
      <c r="C219" s="14" t="s">
        <v>1901</v>
      </c>
      <c r="D219" s="14" t="s">
        <v>1453</v>
      </c>
      <c r="E219" s="14" t="s">
        <v>1380</v>
      </c>
      <c r="F219" s="14" t="s">
        <v>1886</v>
      </c>
      <c r="G219" s="14" t="s">
        <v>1902</v>
      </c>
      <c r="H219" s="14" t="s">
        <v>624</v>
      </c>
      <c r="I219" s="14">
        <v>731165</v>
      </c>
      <c r="J219" s="14">
        <v>0</v>
      </c>
      <c r="K219" s="14">
        <v>0</v>
      </c>
    </row>
    <row r="220" spans="1:11" x14ac:dyDescent="0.25">
      <c r="A220" s="16" t="str">
        <f>VLOOKUP(E220,Table1[[#All],[Campo]],1,0)</f>
        <v>dt_rfrnc</v>
      </c>
      <c r="B220" s="14" t="s">
        <v>1903</v>
      </c>
      <c r="C220" s="14" t="s">
        <v>1904</v>
      </c>
      <c r="D220" s="14" t="s">
        <v>1453</v>
      </c>
      <c r="E220" s="14" t="s">
        <v>1385</v>
      </c>
      <c r="F220" s="14" t="s">
        <v>1886</v>
      </c>
      <c r="G220" s="14" t="s">
        <v>1902</v>
      </c>
      <c r="H220" s="14" t="s">
        <v>624</v>
      </c>
      <c r="I220" s="14">
        <v>731165</v>
      </c>
      <c r="J220" s="14">
        <v>0</v>
      </c>
      <c r="K220" s="14">
        <v>0</v>
      </c>
    </row>
    <row r="221" spans="1:11" x14ac:dyDescent="0.25">
      <c r="A221" s="16" t="str">
        <f>VLOOKUP(E221,Table1[[#All],[Campo]],1,0)</f>
        <v>cod_soc</v>
      </c>
      <c r="B221" s="14" t="s">
        <v>1905</v>
      </c>
      <c r="C221" s="14" t="s">
        <v>1906</v>
      </c>
      <c r="D221" s="14" t="s">
        <v>1618</v>
      </c>
      <c r="E221" s="14" t="s">
        <v>1380</v>
      </c>
      <c r="F221" s="14" t="s">
        <v>1886</v>
      </c>
      <c r="G221" s="14" t="s">
        <v>1907</v>
      </c>
      <c r="H221" s="14" t="s">
        <v>624</v>
      </c>
      <c r="I221" s="14">
        <v>456960</v>
      </c>
      <c r="J221" s="14">
        <v>0</v>
      </c>
      <c r="K221" s="14">
        <v>0</v>
      </c>
    </row>
    <row r="222" spans="1:11" x14ac:dyDescent="0.25">
      <c r="A222" s="16" t="str">
        <f>VLOOKUP(E222,Table1[[#All],[Campo]],1,0)</f>
        <v>dt_rfrnc</v>
      </c>
      <c r="B222" s="14" t="s">
        <v>1908</v>
      </c>
      <c r="C222" s="14" t="s">
        <v>1909</v>
      </c>
      <c r="D222" s="14" t="s">
        <v>1618</v>
      </c>
      <c r="E222" s="14" t="s">
        <v>1385</v>
      </c>
      <c r="F222" s="14" t="s">
        <v>1886</v>
      </c>
      <c r="G222" s="14" t="s">
        <v>1907</v>
      </c>
      <c r="H222" s="14" t="s">
        <v>624</v>
      </c>
      <c r="I222" s="14">
        <v>456960</v>
      </c>
      <c r="J222" s="14">
        <v>0</v>
      </c>
      <c r="K222" s="14">
        <v>0</v>
      </c>
    </row>
  </sheetData>
  <autoFilter ref="A1:K222" xr:uid="{00000000-0009-0000-0000-000007000000}"/>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dimension ref="A2:J24"/>
  <sheetViews>
    <sheetView zoomScale="85" zoomScaleNormal="85" workbookViewId="0">
      <selection activeCell="A3" sqref="A3"/>
    </sheetView>
  </sheetViews>
  <sheetFormatPr defaultRowHeight="13.8" x14ac:dyDescent="0.25"/>
  <cols>
    <col min="1" max="1" width="44.09765625" bestFit="1" customWidth="1"/>
    <col min="2" max="2" width="58.09765625" customWidth="1"/>
    <col min="3" max="3" width="100.69921875" customWidth="1"/>
  </cols>
  <sheetData>
    <row r="2" spans="2:10" x14ac:dyDescent="0.25">
      <c r="D2" t="s">
        <v>1910</v>
      </c>
    </row>
    <row r="3" spans="2:10" ht="17.399999999999999" x14ac:dyDescent="0.45">
      <c r="B3" s="17" t="s">
        <v>1911</v>
      </c>
      <c r="D3" t="s">
        <v>1238</v>
      </c>
    </row>
    <row r="4" spans="2:10" ht="17.399999999999999" x14ac:dyDescent="0.45">
      <c r="B4" s="53" t="s">
        <v>1912</v>
      </c>
      <c r="C4" s="53" t="s">
        <v>1913</v>
      </c>
      <c r="D4" s="52" t="s">
        <v>1259</v>
      </c>
      <c r="E4" s="52" t="s">
        <v>1260</v>
      </c>
      <c r="F4" s="52" t="s">
        <v>1251</v>
      </c>
      <c r="H4" s="31" t="s">
        <v>1259</v>
      </c>
      <c r="I4" s="31" t="s">
        <v>1260</v>
      </c>
      <c r="J4" s="31" t="s">
        <v>1251</v>
      </c>
    </row>
    <row r="5" spans="2:10" ht="34.799999999999997" x14ac:dyDescent="0.45">
      <c r="B5" s="2" t="s">
        <v>1249</v>
      </c>
      <c r="C5" s="4" t="s">
        <v>1914</v>
      </c>
      <c r="D5">
        <v>8</v>
      </c>
      <c r="E5">
        <v>8</v>
      </c>
      <c r="F5">
        <v>8</v>
      </c>
      <c r="H5" s="31">
        <v>1</v>
      </c>
      <c r="I5" s="31">
        <v>3</v>
      </c>
      <c r="J5" s="31">
        <v>8</v>
      </c>
    </row>
    <row r="6" spans="2:10" ht="34.799999999999997" x14ac:dyDescent="0.45">
      <c r="B6" s="2" t="s">
        <v>1252</v>
      </c>
      <c r="C6" s="4" t="s">
        <v>1915</v>
      </c>
      <c r="D6">
        <v>2</v>
      </c>
      <c r="E6">
        <v>4</v>
      </c>
      <c r="F6">
        <v>8</v>
      </c>
      <c r="H6" s="31">
        <v>1</v>
      </c>
      <c r="I6" s="31">
        <v>3</v>
      </c>
      <c r="J6" s="31">
        <v>4</v>
      </c>
    </row>
    <row r="7" spans="2:10" ht="17.399999999999999" x14ac:dyDescent="0.45">
      <c r="B7" s="2" t="s">
        <v>1253</v>
      </c>
      <c r="C7" s="4" t="s">
        <v>1916</v>
      </c>
      <c r="D7">
        <v>2</v>
      </c>
      <c r="E7">
        <v>4</v>
      </c>
      <c r="F7">
        <v>8</v>
      </c>
      <c r="H7" s="31">
        <v>1</v>
      </c>
      <c r="I7" s="31">
        <v>1</v>
      </c>
      <c r="J7" s="31">
        <v>2</v>
      </c>
    </row>
    <row r="8" spans="2:10" ht="17.399999999999999" x14ac:dyDescent="0.45">
      <c r="B8" s="28" t="s">
        <v>1254</v>
      </c>
      <c r="C8" s="4" t="s">
        <v>1917</v>
      </c>
      <c r="D8">
        <v>2</v>
      </c>
      <c r="E8">
        <v>4</v>
      </c>
      <c r="F8">
        <v>8</v>
      </c>
      <c r="H8" s="31">
        <v>2</v>
      </c>
      <c r="I8" s="31">
        <v>4</v>
      </c>
      <c r="J8" s="31">
        <v>4</v>
      </c>
    </row>
    <row r="9" spans="2:10" ht="17.399999999999999" x14ac:dyDescent="0.45">
      <c r="B9" s="29" t="s">
        <v>1257</v>
      </c>
      <c r="C9" s="4" t="s">
        <v>1918</v>
      </c>
      <c r="D9">
        <v>1</v>
      </c>
      <c r="E9">
        <v>1</v>
      </c>
      <c r="F9">
        <v>1</v>
      </c>
      <c r="H9" s="31"/>
      <c r="I9" s="31"/>
      <c r="J9" s="31"/>
    </row>
    <row r="10" spans="2:10" ht="52.2" x14ac:dyDescent="0.45">
      <c r="B10" s="2" t="s">
        <v>1255</v>
      </c>
      <c r="C10" s="4" t="s">
        <v>1919</v>
      </c>
      <c r="D10">
        <v>0.1</v>
      </c>
      <c r="E10">
        <v>0.1</v>
      </c>
      <c r="F10">
        <v>0.1</v>
      </c>
      <c r="H10" s="31">
        <v>0.1</v>
      </c>
      <c r="I10" s="31">
        <v>0.5</v>
      </c>
      <c r="J10" s="31">
        <v>0.5</v>
      </c>
    </row>
    <row r="11" spans="2:10" ht="17.399999999999999" x14ac:dyDescent="0.45">
      <c r="B11" s="29" t="s">
        <v>1256</v>
      </c>
      <c r="C11" s="4" t="s">
        <v>1920</v>
      </c>
      <c r="D11">
        <v>1</v>
      </c>
      <c r="E11">
        <v>2</v>
      </c>
      <c r="F11">
        <v>2</v>
      </c>
      <c r="H11" s="31"/>
      <c r="I11" s="31"/>
      <c r="J11" s="31"/>
    </row>
    <row r="12" spans="2:10" ht="17.399999999999999" x14ac:dyDescent="0.45">
      <c r="B12" s="29" t="s">
        <v>1296</v>
      </c>
      <c r="C12" s="4" t="s">
        <v>1921</v>
      </c>
      <c r="D12">
        <v>0.5</v>
      </c>
      <c r="E12">
        <v>0.5</v>
      </c>
      <c r="F12">
        <v>0.5</v>
      </c>
      <c r="H12" s="31">
        <v>0.5</v>
      </c>
      <c r="I12" s="31">
        <v>0.5</v>
      </c>
      <c r="J12" s="31">
        <v>0.5</v>
      </c>
    </row>
    <row r="13" spans="2:10" ht="34.799999999999997" x14ac:dyDescent="0.45">
      <c r="B13" s="34" t="s">
        <v>1263</v>
      </c>
      <c r="C13" s="4" t="s">
        <v>1922</v>
      </c>
      <c r="D13">
        <v>0.5</v>
      </c>
      <c r="E13">
        <v>0.5</v>
      </c>
      <c r="F13">
        <v>0.5</v>
      </c>
      <c r="H13" s="31">
        <v>0.5</v>
      </c>
      <c r="I13" s="31">
        <v>0.5</v>
      </c>
      <c r="J13" s="31">
        <v>0.5</v>
      </c>
    </row>
    <row r="14" spans="2:10" ht="17.399999999999999" x14ac:dyDescent="0.45">
      <c r="B14" s="35"/>
      <c r="C14" s="27"/>
    </row>
    <row r="15" spans="2:10" x14ac:dyDescent="0.25">
      <c r="B15" s="12" t="s">
        <v>13</v>
      </c>
    </row>
    <row r="16" spans="2:10" ht="17.399999999999999" x14ac:dyDescent="0.25">
      <c r="B16" s="18" t="s">
        <v>614</v>
      </c>
      <c r="C16">
        <f>_xlfn.NUMBERVALUE(LEFT(B16,1))</f>
        <v>1</v>
      </c>
      <c r="D16" s="96">
        <v>1</v>
      </c>
      <c r="E16" s="96">
        <v>1</v>
      </c>
    </row>
    <row r="17" spans="1:5" ht="17.399999999999999" x14ac:dyDescent="0.25">
      <c r="A17" t="s">
        <v>1923</v>
      </c>
      <c r="B17" s="18" t="s">
        <v>615</v>
      </c>
      <c r="C17">
        <v>4</v>
      </c>
      <c r="D17" s="96">
        <v>0.25</v>
      </c>
      <c r="E17" s="96">
        <v>0</v>
      </c>
    </row>
    <row r="18" spans="1:5" ht="17.399999999999999" x14ac:dyDescent="0.25">
      <c r="B18" s="24" t="s">
        <v>28</v>
      </c>
      <c r="C18">
        <v>8</v>
      </c>
      <c r="D18" s="96">
        <v>0</v>
      </c>
      <c r="E18" s="96">
        <v>0</v>
      </c>
    </row>
    <row r="19" spans="1:5" ht="17.399999999999999" x14ac:dyDescent="0.45">
      <c r="B19" s="1" t="s">
        <v>1927</v>
      </c>
      <c r="C19">
        <f t="shared" ref="C19:C24" si="0">_xlfn.NUMBERVALUE(LEFT(B19,1))</f>
        <v>2</v>
      </c>
      <c r="D19" s="96">
        <v>0.5</v>
      </c>
      <c r="E19" s="96">
        <v>0.25</v>
      </c>
    </row>
    <row r="20" spans="1:5" ht="17.399999999999999" x14ac:dyDescent="0.45">
      <c r="B20" s="1" t="s">
        <v>1928</v>
      </c>
      <c r="C20">
        <v>3</v>
      </c>
      <c r="D20" s="96">
        <v>0.5</v>
      </c>
      <c r="E20" s="96">
        <v>0</v>
      </c>
    </row>
    <row r="21" spans="1:5" ht="17.399999999999999" x14ac:dyDescent="0.45">
      <c r="A21" t="s">
        <v>1924</v>
      </c>
      <c r="B21" s="25" t="s">
        <v>616</v>
      </c>
      <c r="C21">
        <v>5</v>
      </c>
      <c r="D21" s="96">
        <v>0.25</v>
      </c>
      <c r="E21" s="96">
        <v>0.25</v>
      </c>
    </row>
    <row r="22" spans="1:5" ht="17.399999999999999" x14ac:dyDescent="0.45">
      <c r="A22" t="s">
        <v>1925</v>
      </c>
      <c r="B22" s="19" t="s">
        <v>617</v>
      </c>
      <c r="C22">
        <v>6</v>
      </c>
      <c r="D22" s="96">
        <v>0.25</v>
      </c>
      <c r="E22" s="96">
        <v>0</v>
      </c>
    </row>
    <row r="23" spans="1:5" ht="17.399999999999999" x14ac:dyDescent="0.45">
      <c r="A23" t="s">
        <v>1925</v>
      </c>
      <c r="B23" s="19" t="s">
        <v>619</v>
      </c>
      <c r="C23">
        <v>7</v>
      </c>
      <c r="D23" s="96">
        <v>0.25</v>
      </c>
      <c r="E23" s="96">
        <v>0</v>
      </c>
    </row>
    <row r="24" spans="1:5" ht="17.399999999999999" x14ac:dyDescent="0.45">
      <c r="A24" t="s">
        <v>1926</v>
      </c>
      <c r="B24" s="1" t="s">
        <v>613</v>
      </c>
      <c r="C24">
        <f t="shared" si="0"/>
        <v>0</v>
      </c>
      <c r="D24" s="96">
        <v>0</v>
      </c>
      <c r="E24" s="96">
        <v>0</v>
      </c>
    </row>
  </sheetData>
  <conditionalFormatting sqref="B16:B24">
    <cfRule type="cellIs" dxfId="15"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sheetPr>
  <dimension ref="A1:CO241"/>
  <sheetViews>
    <sheetView showGridLines="0" tabSelected="1" zoomScale="85" zoomScaleNormal="85" workbookViewId="0">
      <pane xSplit="49" ySplit="16" topLeftCell="BD77" activePane="bottomRight" state="frozen"/>
      <selection pane="topRight" activeCell="AX1" sqref="AX1"/>
      <selection pane="bottomLeft" activeCell="A17" sqref="A17"/>
      <selection pane="bottomRight" activeCell="BL149" sqref="BL149"/>
    </sheetView>
  </sheetViews>
  <sheetFormatPr defaultColWidth="0" defaultRowHeight="13.8" outlineLevelRow="1" x14ac:dyDescent="0.25"/>
  <cols>
    <col min="1" max="1" width="2.69921875" customWidth="1"/>
    <col min="2" max="2" width="9.59765625" customWidth="1"/>
    <col min="3" max="3" width="19.796875" customWidth="1"/>
    <col min="4" max="4" width="14.8984375" hidden="1" customWidth="1"/>
    <col min="5" max="5" width="39.59765625" customWidth="1"/>
    <col min="6" max="6" width="23.19921875" bestFit="1" customWidth="1"/>
    <col min="7" max="7" width="9.09765625" customWidth="1"/>
    <col min="8" max="8" width="30.69921875" customWidth="1"/>
    <col min="9" max="9" width="27.796875" hidden="1" customWidth="1"/>
    <col min="10" max="10" width="21" customWidth="1"/>
    <col min="11" max="11" width="21" hidden="1" customWidth="1"/>
    <col min="12" max="12" width="21" style="179" hidden="1" customWidth="1"/>
    <col min="13" max="13" width="19" style="179" hidden="1" customWidth="1"/>
    <col min="14" max="14" width="19" style="179" customWidth="1"/>
    <col min="15" max="17" width="17.8984375" style="250" hidden="1" customWidth="1"/>
    <col min="18" max="18" width="80.69921875" style="267" hidden="1" customWidth="1"/>
    <col min="19" max="19" width="6.3984375" hidden="1" customWidth="1"/>
    <col min="20" max="21" width="8.796875" hidden="1" customWidth="1"/>
    <col min="22" max="22" width="8.796875" customWidth="1"/>
    <col min="23" max="49" width="5.69921875" hidden="1" customWidth="1"/>
    <col min="50" max="87" width="5.69921875" customWidth="1"/>
    <col min="88" max="88" width="8.796875" customWidth="1"/>
    <col min="89" max="93" width="0" hidden="1" customWidth="1"/>
    <col min="94" max="16384" width="8.796875" hidden="1"/>
  </cols>
  <sheetData>
    <row r="1" spans="1:87" ht="16.2" customHeight="1" x14ac:dyDescent="0.25">
      <c r="O1"/>
      <c r="P1"/>
      <c r="Q1"/>
      <c r="R1" s="260"/>
    </row>
    <row r="2" spans="1:87" x14ac:dyDescent="0.25">
      <c r="A2" s="7"/>
      <c r="B2" s="7"/>
      <c r="C2" s="7"/>
      <c r="D2" s="7"/>
      <c r="E2" s="7"/>
      <c r="F2" s="7"/>
      <c r="G2" s="7"/>
      <c r="H2" s="7"/>
      <c r="I2" s="7"/>
      <c r="J2" s="7"/>
      <c r="K2" s="7"/>
      <c r="L2" s="245"/>
      <c r="M2" s="245"/>
      <c r="N2" s="245"/>
      <c r="O2" s="7"/>
      <c r="P2" s="7"/>
      <c r="Q2" s="7"/>
      <c r="R2" s="261"/>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row>
    <row r="3" spans="1:87" x14ac:dyDescent="0.25">
      <c r="A3" s="10"/>
      <c r="B3" s="10"/>
      <c r="C3" s="10"/>
      <c r="D3" s="10"/>
      <c r="E3" s="10"/>
      <c r="F3" s="10"/>
      <c r="G3" s="10"/>
      <c r="H3" s="9"/>
      <c r="I3" s="9"/>
      <c r="J3" s="9"/>
      <c r="K3" s="9"/>
      <c r="L3" s="246"/>
      <c r="M3" s="246"/>
      <c r="N3" s="246"/>
      <c r="O3" s="9"/>
      <c r="P3" s="9"/>
      <c r="Q3" s="9"/>
      <c r="R3" s="262"/>
      <c r="S3" s="9"/>
      <c r="T3" s="9"/>
      <c r="U3" s="9"/>
      <c r="V3" s="9"/>
      <c r="W3" s="9"/>
      <c r="X3" s="9"/>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row>
    <row r="4" spans="1:87" x14ac:dyDescent="0.25">
      <c r="A4" s="7"/>
      <c r="B4" s="7"/>
      <c r="C4" s="7"/>
      <c r="D4" s="7"/>
      <c r="E4" s="7"/>
      <c r="F4" s="7"/>
      <c r="G4" s="7"/>
      <c r="H4" s="7"/>
      <c r="I4" s="7"/>
      <c r="J4" s="7"/>
      <c r="K4" s="7"/>
      <c r="L4" s="245"/>
      <c r="M4" s="245"/>
      <c r="N4" s="245"/>
      <c r="O4" s="7"/>
      <c r="P4" s="7"/>
      <c r="Q4" s="7"/>
      <c r="R4" s="261"/>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row>
    <row r="5" spans="1:87" ht="3" customHeight="1" x14ac:dyDescent="0.25">
      <c r="A5" s="5"/>
      <c r="B5" s="5"/>
      <c r="C5" s="5"/>
      <c r="D5" s="5"/>
      <c r="E5" s="5"/>
      <c r="F5" s="5"/>
      <c r="G5" s="5"/>
      <c r="H5" s="5"/>
      <c r="I5" s="5"/>
      <c r="J5" s="5"/>
      <c r="K5" s="5"/>
      <c r="L5" s="247"/>
      <c r="M5" s="247"/>
      <c r="N5" s="247"/>
      <c r="O5" s="5"/>
      <c r="P5" s="5"/>
      <c r="Q5" s="5"/>
      <c r="R5" s="263"/>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x14ac:dyDescent="0.25">
      <c r="O6"/>
      <c r="P6"/>
      <c r="Q6"/>
      <c r="R6" s="260"/>
      <c r="X6" t="s">
        <v>2008</v>
      </c>
      <c r="Y6">
        <f>Y7-Y8</f>
        <v>-2</v>
      </c>
      <c r="Z6">
        <f>Z7-Z8</f>
        <v>-2.5</v>
      </c>
      <c r="AA6">
        <f>AA7-AA8</f>
        <v>-2.5</v>
      </c>
      <c r="AB6">
        <f>AB7-AB8</f>
        <v>-2</v>
      </c>
      <c r="AC6">
        <f>AC7-AC8</f>
        <v>-2</v>
      </c>
      <c r="AY6">
        <f t="shared" ref="AY6:BN6" si="0">AY7-AY8</f>
        <v>0</v>
      </c>
      <c r="AZ6">
        <f t="shared" si="0"/>
        <v>0</v>
      </c>
      <c r="BA6">
        <f t="shared" si="0"/>
        <v>0</v>
      </c>
      <c r="BB6">
        <f t="shared" si="0"/>
        <v>0</v>
      </c>
      <c r="BC6">
        <f t="shared" si="0"/>
        <v>0.10000000000000009</v>
      </c>
      <c r="BD6">
        <f t="shared" si="0"/>
        <v>0</v>
      </c>
      <c r="BE6">
        <f t="shared" si="0"/>
        <v>0</v>
      </c>
      <c r="BF6">
        <f t="shared" si="0"/>
        <v>0</v>
      </c>
      <c r="BG6">
        <f t="shared" si="0"/>
        <v>0</v>
      </c>
      <c r="BH6">
        <f t="shared" si="0"/>
        <v>-0.89999999999999991</v>
      </c>
      <c r="BI6">
        <f t="shared" si="0"/>
        <v>-1</v>
      </c>
      <c r="BJ6">
        <f t="shared" si="0"/>
        <v>0</v>
      </c>
      <c r="BK6">
        <f t="shared" si="0"/>
        <v>0</v>
      </c>
      <c r="BL6">
        <f t="shared" si="0"/>
        <v>0</v>
      </c>
      <c r="BM6">
        <f t="shared" si="0"/>
        <v>0</v>
      </c>
      <c r="BN6">
        <f t="shared" si="0"/>
        <v>0.5</v>
      </c>
      <c r="BV6">
        <f t="shared" ref="BV6:CI6" si="1">BV7-BV8</f>
        <v>1</v>
      </c>
      <c r="BW6">
        <f t="shared" si="1"/>
        <v>1</v>
      </c>
      <c r="BX6">
        <f t="shared" si="1"/>
        <v>-0.5</v>
      </c>
      <c r="BY6">
        <f t="shared" si="1"/>
        <v>0</v>
      </c>
      <c r="BZ6">
        <f t="shared" si="1"/>
        <v>0</v>
      </c>
      <c r="CA6">
        <f t="shared" si="1"/>
        <v>0</v>
      </c>
      <c r="CB6">
        <f t="shared" si="1"/>
        <v>0</v>
      </c>
      <c r="CC6">
        <f t="shared" si="1"/>
        <v>0</v>
      </c>
      <c r="CD6">
        <f t="shared" si="1"/>
        <v>0</v>
      </c>
      <c r="CE6">
        <f t="shared" si="1"/>
        <v>0</v>
      </c>
      <c r="CF6">
        <f t="shared" si="1"/>
        <v>0</v>
      </c>
      <c r="CG6">
        <f t="shared" si="1"/>
        <v>0</v>
      </c>
      <c r="CH6">
        <f t="shared" si="1"/>
        <v>0</v>
      </c>
      <c r="CI6">
        <f t="shared" si="1"/>
        <v>-2</v>
      </c>
    </row>
    <row r="7" spans="1:87" x14ac:dyDescent="0.25">
      <c r="O7"/>
      <c r="P7"/>
      <c r="Q7"/>
      <c r="R7" s="260"/>
      <c r="Y7" s="253">
        <f>SUM(Y17:Y242)</f>
        <v>0</v>
      </c>
      <c r="Z7" s="253">
        <f>SUM(Z17:Z242)</f>
        <v>0.5</v>
      </c>
      <c r="AA7" s="253">
        <f>SUM(AA17:AA242)</f>
        <v>0.5</v>
      </c>
      <c r="AB7" s="253">
        <f>SUM(AB17:AB242)</f>
        <v>1</v>
      </c>
      <c r="AC7" s="253">
        <f>SUM(AC17:AC242)</f>
        <v>0</v>
      </c>
      <c r="AD7" s="253">
        <f>SUM(AD17:AD242)</f>
        <v>0</v>
      </c>
      <c r="AE7" s="253"/>
      <c r="AF7" s="253"/>
      <c r="AG7" s="253"/>
      <c r="AH7" s="253"/>
      <c r="AI7" s="253"/>
      <c r="AJ7" s="253"/>
      <c r="AK7" s="253"/>
      <c r="AL7" s="253"/>
      <c r="AM7" s="253"/>
      <c r="AN7" s="253"/>
      <c r="AO7" s="253"/>
      <c r="AP7" s="253"/>
      <c r="AQ7" s="253"/>
      <c r="AR7" s="253"/>
      <c r="AS7" s="253"/>
      <c r="AT7" s="253"/>
      <c r="AU7" s="253"/>
      <c r="AV7" s="253"/>
      <c r="AW7" s="253"/>
      <c r="AX7" s="253"/>
      <c r="AY7" s="253">
        <f>SUM(AY17:AY242)</f>
        <v>3</v>
      </c>
      <c r="AZ7" s="253">
        <f>SUM(AZ17:AZ242)</f>
        <v>3.0000000000000004</v>
      </c>
      <c r="BA7" s="253">
        <f>SUM(BA17:BA242)</f>
        <v>3</v>
      </c>
      <c r="BB7" s="253">
        <f>SUM(BB17:BB242)</f>
        <v>3</v>
      </c>
      <c r="BC7" s="253">
        <f>SUM(BC17:BC242)</f>
        <v>3.1</v>
      </c>
      <c r="BD7" s="253">
        <f>SUM(BD17:BD242)</f>
        <v>3</v>
      </c>
      <c r="BE7" s="253">
        <f>SUM(BE17:BE242)</f>
        <v>3</v>
      </c>
      <c r="BF7" s="253">
        <f>SUM(BF17:BF242)</f>
        <v>3</v>
      </c>
      <c r="BG7" s="253">
        <f>SUM(BG17:BG242)</f>
        <v>3</v>
      </c>
      <c r="BH7" s="253">
        <f>SUM(BH17:BH242)</f>
        <v>2.1</v>
      </c>
      <c r="BI7" s="253">
        <f>SUM(BI17:BI242)</f>
        <v>2</v>
      </c>
      <c r="BJ7" s="253">
        <f>SUM(BJ17:BJ242)</f>
        <v>3</v>
      </c>
      <c r="BK7" s="253">
        <f>SUM(BK17:BK242)</f>
        <v>3</v>
      </c>
      <c r="BL7" s="253">
        <f>SUM(BL17:BL242)</f>
        <v>3</v>
      </c>
      <c r="BM7" s="253">
        <f>SUM(BM17:BM242)</f>
        <v>3</v>
      </c>
      <c r="BN7" s="253">
        <f>SUM(BN17:BN242)</f>
        <v>3.5</v>
      </c>
      <c r="BO7" s="253">
        <f>SUM(BO17:BO242)</f>
        <v>0</v>
      </c>
      <c r="BP7" s="253">
        <f>SUM(BP17:BP242)</f>
        <v>0</v>
      </c>
      <c r="BQ7" s="253">
        <f>SUM(BQ17:BQ242)</f>
        <v>0</v>
      </c>
      <c r="BR7" s="253">
        <f>SUM(BR17:BR242)</f>
        <v>0</v>
      </c>
      <c r="BS7" s="253">
        <f>SUM(BS17:BS242)</f>
        <v>0</v>
      </c>
      <c r="BT7" s="253">
        <f>SUM(BT17:BT242)</f>
        <v>0</v>
      </c>
      <c r="BU7" s="253">
        <f>SUM(BU17:BU242)</f>
        <v>0</v>
      </c>
      <c r="BV7" s="253">
        <f>SUM(BV17:BV242)</f>
        <v>4</v>
      </c>
      <c r="BW7" s="253">
        <f>SUM(BW17:BW242)</f>
        <v>4</v>
      </c>
      <c r="BX7" s="253">
        <f>SUM(BX17:BX242)</f>
        <v>2.5</v>
      </c>
      <c r="BY7" s="253">
        <f>SUM(BY17:BY242)</f>
        <v>3</v>
      </c>
      <c r="BZ7" s="253">
        <f>SUM(BZ17:BZ242)</f>
        <v>3</v>
      </c>
      <c r="CA7" s="253">
        <f>SUM(CA17:CA242)</f>
        <v>3</v>
      </c>
      <c r="CB7" s="253">
        <f>SUM(CB17:CB242)</f>
        <v>3</v>
      </c>
      <c r="CC7" s="253">
        <f>SUM(CC17:CC242)</f>
        <v>3</v>
      </c>
      <c r="CD7" s="253">
        <f>SUM(CD17:CD242)</f>
        <v>3</v>
      </c>
      <c r="CE7" s="253">
        <f>SUM(CE17:CE242)</f>
        <v>3</v>
      </c>
      <c r="CF7" s="253">
        <f>SUM(CF17:CF242)</f>
        <v>3</v>
      </c>
      <c r="CG7" s="253">
        <f>SUM(CG17:CG242)</f>
        <v>3</v>
      </c>
      <c r="CH7" s="253">
        <f>SUM(CH17:CH242)</f>
        <v>3</v>
      </c>
      <c r="CI7" s="253">
        <f>SUM(CI17:CI242)</f>
        <v>1</v>
      </c>
    </row>
    <row r="8" spans="1:87" x14ac:dyDescent="0.25">
      <c r="O8"/>
      <c r="P8"/>
      <c r="Q8"/>
      <c r="R8" s="260"/>
      <c r="Y8" s="253">
        <v>2</v>
      </c>
      <c r="Z8" s="253">
        <v>3</v>
      </c>
      <c r="AA8" s="253">
        <v>3</v>
      </c>
      <c r="AB8" s="253">
        <v>3</v>
      </c>
      <c r="AC8" s="253">
        <v>2</v>
      </c>
      <c r="AD8" s="253"/>
      <c r="AE8" s="253"/>
      <c r="AF8" s="253"/>
      <c r="AG8" s="253"/>
      <c r="AH8" s="253"/>
      <c r="AI8" s="253"/>
      <c r="AJ8" s="253"/>
      <c r="AK8" s="253"/>
      <c r="AL8" s="253"/>
      <c r="AM8" s="253"/>
      <c r="AN8" s="253"/>
      <c r="AO8" s="253"/>
      <c r="AP8" s="253"/>
      <c r="AQ8" s="253"/>
      <c r="AR8" s="253"/>
      <c r="AS8" s="253"/>
      <c r="AT8" s="253"/>
      <c r="AU8" s="253"/>
      <c r="AV8" s="253"/>
      <c r="AW8" s="253"/>
      <c r="AX8" s="253"/>
      <c r="AY8" s="253">
        <v>3</v>
      </c>
      <c r="AZ8" s="253">
        <v>3</v>
      </c>
      <c r="BA8" s="253">
        <v>3</v>
      </c>
      <c r="BB8" s="253">
        <v>3</v>
      </c>
      <c r="BC8" s="253">
        <v>3</v>
      </c>
      <c r="BD8" s="253">
        <v>3</v>
      </c>
      <c r="BE8" s="253">
        <v>3</v>
      </c>
      <c r="BF8" s="253">
        <v>3</v>
      </c>
      <c r="BG8" s="253">
        <v>3</v>
      </c>
      <c r="BH8" s="253">
        <v>3</v>
      </c>
      <c r="BI8" s="253">
        <v>3</v>
      </c>
      <c r="BJ8" s="253">
        <v>3</v>
      </c>
      <c r="BK8" s="253">
        <v>3</v>
      </c>
      <c r="BL8" s="253">
        <v>3</v>
      </c>
      <c r="BM8" s="253">
        <v>3</v>
      </c>
      <c r="BN8" s="253">
        <v>3</v>
      </c>
      <c r="BO8" s="253">
        <v>3</v>
      </c>
      <c r="BP8" s="253">
        <v>3</v>
      </c>
      <c r="BQ8" s="253">
        <v>3</v>
      </c>
      <c r="BR8" s="253">
        <v>3</v>
      </c>
      <c r="BS8" s="253">
        <v>3</v>
      </c>
      <c r="BT8" s="253">
        <v>3</v>
      </c>
      <c r="BU8" s="253">
        <v>3</v>
      </c>
      <c r="BV8" s="253">
        <v>3</v>
      </c>
      <c r="BW8" s="253">
        <v>3</v>
      </c>
      <c r="BX8" s="253">
        <v>3</v>
      </c>
      <c r="BY8" s="253">
        <v>3</v>
      </c>
      <c r="BZ8" s="253">
        <v>3</v>
      </c>
      <c r="CA8" s="253">
        <v>3</v>
      </c>
      <c r="CB8" s="253">
        <v>3</v>
      </c>
      <c r="CC8" s="253">
        <v>3</v>
      </c>
      <c r="CD8" s="253">
        <v>3</v>
      </c>
      <c r="CE8" s="253">
        <v>3</v>
      </c>
      <c r="CF8" s="253">
        <v>3</v>
      </c>
      <c r="CG8" s="253">
        <v>3</v>
      </c>
      <c r="CH8" s="253">
        <v>3</v>
      </c>
      <c r="CI8" s="253">
        <v>3</v>
      </c>
    </row>
    <row r="9" spans="1:87" x14ac:dyDescent="0.25">
      <c r="O9"/>
      <c r="P9"/>
      <c r="Q9"/>
      <c r="R9" s="260"/>
    </row>
    <row r="10" spans="1:87" x14ac:dyDescent="0.25">
      <c r="O10"/>
      <c r="P10"/>
      <c r="Q10"/>
      <c r="R10" s="260"/>
    </row>
    <row r="11" spans="1:87" x14ac:dyDescent="0.25">
      <c r="A11" s="268"/>
      <c r="B11" s="269"/>
      <c r="C11" s="268" t="s">
        <v>573</v>
      </c>
      <c r="D11" s="268"/>
      <c r="E11" s="268"/>
      <c r="F11" s="268"/>
      <c r="G11" s="268"/>
      <c r="H11" s="268"/>
      <c r="I11" s="268"/>
      <c r="J11" s="268"/>
      <c r="K11" s="268"/>
      <c r="L11" s="270"/>
      <c r="M11" s="270"/>
      <c r="N11" s="270"/>
      <c r="O11" s="268"/>
      <c r="P11" s="268"/>
      <c r="Q11" s="268"/>
      <c r="R11" s="271"/>
      <c r="S11" s="268"/>
      <c r="T11" s="268"/>
      <c r="U11" s="268"/>
      <c r="V11" s="268"/>
      <c r="W11" s="268"/>
      <c r="X11" s="268"/>
      <c r="Y11" s="268"/>
      <c r="Z11" s="268"/>
      <c r="AA11" s="268"/>
      <c r="AB11" s="268"/>
      <c r="AC11" s="268"/>
      <c r="AD11" s="268"/>
      <c r="AE11" s="268"/>
      <c r="AF11" s="268"/>
      <c r="AG11" s="268"/>
      <c r="AH11" s="268"/>
      <c r="AI11" s="268"/>
      <c r="AJ11" s="268"/>
      <c r="AK11" s="268"/>
      <c r="AL11" s="268"/>
      <c r="AM11" s="268"/>
      <c r="AN11" s="268"/>
      <c r="AO11" s="268"/>
      <c r="AP11" s="268"/>
      <c r="AQ11" s="268"/>
      <c r="AR11" s="268"/>
      <c r="AS11" s="268"/>
      <c r="AT11" s="268"/>
      <c r="AU11" s="268"/>
      <c r="AV11" s="268"/>
      <c r="AW11" s="268"/>
      <c r="AX11" s="268"/>
      <c r="AY11" s="268"/>
      <c r="AZ11" s="268"/>
      <c r="BA11" s="268"/>
      <c r="BB11" s="268"/>
      <c r="BC11" s="268"/>
      <c r="BD11" s="268"/>
      <c r="BE11" s="268"/>
      <c r="BF11" s="268"/>
      <c r="BG11" s="268"/>
      <c r="BH11" s="268"/>
      <c r="BI11" s="268"/>
      <c r="BJ11" s="268"/>
      <c r="BK11" s="268"/>
      <c r="BL11" s="268"/>
      <c r="BM11" s="268"/>
      <c r="BN11" s="268"/>
      <c r="BO11" s="268"/>
      <c r="BP11" s="268"/>
      <c r="BQ11" s="268"/>
      <c r="BR11" s="268"/>
      <c r="BS11" s="268"/>
      <c r="BT11" s="268"/>
      <c r="BU11" s="268"/>
      <c r="BV11" s="268"/>
      <c r="BW11" s="268"/>
      <c r="BX11" s="268"/>
      <c r="BY11" s="268"/>
      <c r="BZ11" s="268"/>
      <c r="CA11" s="268"/>
      <c r="CB11" s="268"/>
      <c r="CC11" s="268"/>
      <c r="CD11" s="268"/>
      <c r="CE11" s="268"/>
      <c r="CF11" s="268"/>
      <c r="CG11" s="268"/>
      <c r="CH11" s="268"/>
      <c r="CI11" s="268"/>
    </row>
    <row r="12" spans="1:87" x14ac:dyDescent="0.25">
      <c r="A12" s="268"/>
      <c r="B12" s="272"/>
      <c r="C12" s="268" t="s">
        <v>1945</v>
      </c>
      <c r="D12" s="268"/>
      <c r="E12" s="268"/>
      <c r="F12" s="268"/>
      <c r="G12" s="268"/>
      <c r="H12" s="268"/>
      <c r="I12" s="268"/>
      <c r="J12" s="270"/>
      <c r="K12" s="268"/>
      <c r="L12" s="270"/>
      <c r="M12" s="270"/>
      <c r="N12" s="270"/>
      <c r="O12" s="268"/>
      <c r="P12" s="268"/>
      <c r="Q12" s="268"/>
      <c r="R12" s="271"/>
      <c r="S12" s="268"/>
      <c r="T12" s="268"/>
      <c r="U12" s="268"/>
      <c r="V12" s="268"/>
      <c r="W12" s="268"/>
      <c r="X12" s="268"/>
      <c r="Y12" s="268"/>
      <c r="Z12" s="268"/>
      <c r="AA12" s="268"/>
      <c r="AB12" s="268"/>
      <c r="AC12" s="268"/>
      <c r="AD12" s="268"/>
      <c r="AE12" s="268"/>
      <c r="AF12" s="268"/>
      <c r="AG12" s="268"/>
      <c r="AH12" s="268"/>
      <c r="AI12" s="268"/>
      <c r="AJ12" s="268"/>
      <c r="AK12" s="268"/>
      <c r="AL12" s="268"/>
      <c r="AM12" s="268"/>
      <c r="AN12" s="268"/>
      <c r="AO12" s="268"/>
      <c r="AP12" s="268"/>
      <c r="AQ12" s="268"/>
      <c r="AR12" s="268"/>
      <c r="AS12" s="268"/>
      <c r="AT12" s="268"/>
      <c r="AU12" s="268"/>
      <c r="AV12" s="268"/>
      <c r="AW12" s="268"/>
      <c r="AX12" s="268"/>
      <c r="AY12" s="268"/>
      <c r="AZ12" s="268"/>
      <c r="BA12" s="268"/>
      <c r="BB12" s="268"/>
      <c r="BC12" s="268"/>
      <c r="BD12" s="268"/>
      <c r="BE12" s="268"/>
      <c r="BF12" s="268"/>
      <c r="BG12" s="268"/>
      <c r="BH12" s="268"/>
      <c r="BI12" s="268"/>
      <c r="BJ12" s="268"/>
      <c r="BK12" s="268"/>
      <c r="BL12" s="268"/>
      <c r="BM12" s="268"/>
      <c r="BN12" s="268"/>
      <c r="BO12" s="268"/>
      <c r="BP12" s="268"/>
      <c r="BQ12" s="268"/>
      <c r="BR12" s="268"/>
      <c r="BS12" s="268"/>
      <c r="BT12" s="268"/>
      <c r="BU12" s="268"/>
      <c r="BV12" s="268"/>
      <c r="BW12" s="268"/>
      <c r="BX12" s="268"/>
      <c r="BY12" s="268"/>
      <c r="BZ12" s="268"/>
      <c r="CA12" s="268"/>
      <c r="CB12" s="268"/>
      <c r="CC12" s="268"/>
      <c r="CD12" s="268"/>
      <c r="CE12" s="268"/>
      <c r="CF12" s="268"/>
      <c r="CG12" s="268"/>
      <c r="CH12" s="268"/>
      <c r="CI12" s="268"/>
    </row>
    <row r="13" spans="1:87" x14ac:dyDescent="0.25">
      <c r="A13" s="268"/>
      <c r="B13" s="273"/>
      <c r="C13" s="268" t="s">
        <v>1946</v>
      </c>
      <c r="D13" s="268"/>
      <c r="E13" s="268"/>
      <c r="F13" s="268"/>
      <c r="G13" s="268"/>
      <c r="H13" s="268"/>
      <c r="I13" s="268"/>
      <c r="J13" s="268"/>
      <c r="K13" s="268"/>
      <c r="L13" s="270"/>
      <c r="M13" s="270"/>
      <c r="N13" s="270"/>
      <c r="O13" s="268"/>
      <c r="P13" s="268"/>
      <c r="Q13" s="268"/>
      <c r="R13" s="271"/>
      <c r="S13" s="268"/>
      <c r="T13" s="268"/>
      <c r="U13" s="268"/>
      <c r="V13" s="268"/>
      <c r="W13" s="268"/>
      <c r="X13" s="268"/>
      <c r="Y13" s="274"/>
      <c r="Z13" s="274"/>
      <c r="AA13" s="274"/>
      <c r="AB13" s="274"/>
      <c r="AC13" s="274"/>
      <c r="AD13" s="274"/>
      <c r="AE13" s="274"/>
      <c r="AF13" s="274"/>
      <c r="AG13" s="274"/>
      <c r="AH13" s="274"/>
      <c r="AI13" s="274"/>
      <c r="AJ13" s="274"/>
      <c r="AK13" s="274"/>
      <c r="AL13" s="274"/>
      <c r="AM13" s="274"/>
      <c r="AN13" s="274"/>
      <c r="AO13" s="274"/>
      <c r="AP13" s="274"/>
      <c r="AQ13" s="274"/>
      <c r="AR13" s="274"/>
      <c r="AS13" s="274"/>
      <c r="AT13" s="274"/>
      <c r="AU13" s="274"/>
      <c r="AV13" s="274"/>
      <c r="AW13" s="274"/>
      <c r="AX13" s="274"/>
      <c r="AY13" s="274"/>
      <c r="AZ13" s="274"/>
      <c r="BA13" s="274"/>
      <c r="BB13" s="274"/>
      <c r="BC13" s="274"/>
      <c r="BD13" s="274"/>
      <c r="BE13" s="274"/>
      <c r="BF13" s="274"/>
      <c r="BG13" s="274"/>
      <c r="BH13" s="274"/>
      <c r="BI13" s="274"/>
      <c r="BJ13" s="274"/>
      <c r="BK13" s="274"/>
      <c r="BL13" s="274"/>
      <c r="BM13" s="274"/>
      <c r="BN13" s="274"/>
      <c r="BO13" s="274"/>
      <c r="BP13" s="274"/>
      <c r="BQ13" s="274"/>
      <c r="BR13" s="274"/>
      <c r="BS13" s="274"/>
      <c r="BT13" s="274"/>
      <c r="BU13" s="274"/>
      <c r="BV13" s="274"/>
      <c r="BW13" s="274"/>
      <c r="BX13" s="274"/>
      <c r="BY13" s="274"/>
      <c r="BZ13" s="274"/>
      <c r="CA13" s="274"/>
      <c r="CB13" s="274"/>
      <c r="CC13" s="274"/>
      <c r="CD13" s="274"/>
      <c r="CE13" s="274"/>
      <c r="CF13" s="274"/>
      <c r="CG13" s="274"/>
      <c r="CH13" s="274"/>
      <c r="CI13" s="274"/>
    </row>
    <row r="14" spans="1:87" ht="17.399999999999999" x14ac:dyDescent="0.25">
      <c r="A14" s="268"/>
      <c r="B14" s="275"/>
      <c r="C14" s="268" t="s">
        <v>574</v>
      </c>
      <c r="D14" s="268"/>
      <c r="E14" s="268"/>
      <c r="F14" s="268"/>
      <c r="G14" s="268"/>
      <c r="H14" s="268"/>
      <c r="I14" s="268"/>
      <c r="J14" s="268"/>
      <c r="K14" s="268"/>
      <c r="L14" s="270"/>
      <c r="M14" s="270"/>
      <c r="N14" s="270"/>
      <c r="O14" s="268"/>
      <c r="P14" s="268"/>
      <c r="Q14" s="268"/>
      <c r="R14" s="271"/>
      <c r="S14" s="268"/>
      <c r="T14" s="268"/>
      <c r="U14" s="268"/>
      <c r="V14" s="268"/>
      <c r="W14" s="276" t="s">
        <v>5</v>
      </c>
      <c r="X14" s="276"/>
      <c r="Y14" s="276"/>
      <c r="Z14" s="276"/>
      <c r="AA14" s="276"/>
      <c r="AB14" s="276"/>
      <c r="AC14" s="276"/>
      <c r="AD14" s="276" t="s">
        <v>6</v>
      </c>
      <c r="AE14" s="276"/>
      <c r="AF14" s="276"/>
      <c r="AG14" s="276"/>
      <c r="AH14" s="276"/>
      <c r="AI14" s="276"/>
      <c r="AJ14" s="276"/>
      <c r="AK14" s="276"/>
      <c r="AL14" s="276"/>
      <c r="AM14" s="276"/>
      <c r="AN14" s="276"/>
      <c r="AO14" s="276"/>
      <c r="AP14" s="276"/>
      <c r="AQ14" s="276"/>
      <c r="AR14" s="276"/>
      <c r="AS14" s="276"/>
      <c r="AT14" s="276"/>
      <c r="AU14" s="276"/>
      <c r="AV14" s="276"/>
      <c r="AW14" s="276"/>
      <c r="AX14" s="276"/>
      <c r="AY14" s="276" t="s">
        <v>7</v>
      </c>
      <c r="AZ14" s="276"/>
      <c r="BA14" s="276"/>
      <c r="BB14" s="276"/>
      <c r="BC14" s="276"/>
      <c r="BD14" s="276"/>
      <c r="BE14" s="276"/>
      <c r="BF14" s="276"/>
      <c r="BG14" s="276"/>
      <c r="BH14" s="276"/>
      <c r="BI14" s="276"/>
      <c r="BJ14" s="276"/>
      <c r="BK14" s="276"/>
      <c r="BL14" s="276"/>
      <c r="BM14" s="276"/>
      <c r="BN14" s="276"/>
      <c r="BO14" s="276"/>
      <c r="BP14" s="276"/>
      <c r="BQ14" s="276"/>
      <c r="BR14" s="276"/>
      <c r="BS14" s="276"/>
      <c r="BT14" s="276"/>
      <c r="BU14" s="276" t="s">
        <v>446</v>
      </c>
      <c r="BV14" s="276"/>
      <c r="BW14" s="276"/>
      <c r="BX14" s="276"/>
      <c r="BY14" s="276"/>
      <c r="BZ14" s="276"/>
      <c r="CA14" s="276"/>
      <c r="CB14" s="276"/>
      <c r="CC14" s="276"/>
      <c r="CD14" s="276"/>
      <c r="CE14" s="276"/>
      <c r="CF14" s="276"/>
      <c r="CG14" s="276"/>
      <c r="CH14" s="276"/>
      <c r="CI14" s="276"/>
    </row>
    <row r="15" spans="1:87" ht="16.2" x14ac:dyDescent="0.25">
      <c r="A15" s="268"/>
      <c r="B15" s="268"/>
      <c r="C15" s="268"/>
      <c r="D15" s="268"/>
      <c r="E15" s="268"/>
      <c r="F15" s="268"/>
      <c r="G15" s="268"/>
      <c r="H15" s="268"/>
      <c r="I15" s="268"/>
      <c r="J15" s="268"/>
      <c r="K15" s="268"/>
      <c r="L15" s="270" t="s">
        <v>2052</v>
      </c>
      <c r="M15" s="270" t="s">
        <v>2052</v>
      </c>
      <c r="N15" s="270"/>
      <c r="O15" s="268"/>
      <c r="P15" s="268"/>
      <c r="Q15" s="268"/>
      <c r="R15" s="271"/>
      <c r="S15" s="268"/>
      <c r="T15" s="268"/>
      <c r="U15" s="268"/>
      <c r="V15" s="268"/>
      <c r="W15" s="77">
        <v>45595</v>
      </c>
      <c r="X15" s="77">
        <v>45589</v>
      </c>
      <c r="Y15" s="77">
        <v>45590</v>
      </c>
      <c r="Z15" s="77">
        <v>45593</v>
      </c>
      <c r="AA15" s="77">
        <v>45594</v>
      </c>
      <c r="AB15" s="77">
        <v>45595</v>
      </c>
      <c r="AC15" s="77">
        <v>45596</v>
      </c>
      <c r="AD15" s="77">
        <v>45597</v>
      </c>
      <c r="AE15" s="77">
        <v>45600</v>
      </c>
      <c r="AF15" s="77">
        <v>45601</v>
      </c>
      <c r="AG15" s="77">
        <v>45602</v>
      </c>
      <c r="AH15" s="77">
        <v>45603</v>
      </c>
      <c r="AI15" s="77">
        <v>45604</v>
      </c>
      <c r="AJ15" s="77">
        <v>45607</v>
      </c>
      <c r="AK15" s="77">
        <v>45608</v>
      </c>
      <c r="AL15" s="77">
        <v>45609</v>
      </c>
      <c r="AM15" s="77">
        <v>45610</v>
      </c>
      <c r="AN15" s="77">
        <v>45611</v>
      </c>
      <c r="AO15" s="77">
        <v>45614</v>
      </c>
      <c r="AP15" s="77">
        <v>45615</v>
      </c>
      <c r="AQ15" s="77">
        <v>45616</v>
      </c>
      <c r="AR15" s="77">
        <v>45617</v>
      </c>
      <c r="AS15" s="77">
        <v>45618</v>
      </c>
      <c r="AT15" s="77">
        <v>45621</v>
      </c>
      <c r="AU15" s="77">
        <v>45622</v>
      </c>
      <c r="AV15" s="77">
        <v>45623</v>
      </c>
      <c r="AW15" s="77">
        <v>45624</v>
      </c>
      <c r="AX15" s="77">
        <v>45625</v>
      </c>
      <c r="AY15" s="77">
        <v>45628</v>
      </c>
      <c r="AZ15" s="77">
        <v>45629</v>
      </c>
      <c r="BA15" s="77">
        <v>45630</v>
      </c>
      <c r="BB15" s="77">
        <v>45631</v>
      </c>
      <c r="BC15" s="77">
        <v>45632</v>
      </c>
      <c r="BD15" s="77">
        <v>45635</v>
      </c>
      <c r="BE15" s="77">
        <v>45636</v>
      </c>
      <c r="BF15" s="77">
        <v>45637</v>
      </c>
      <c r="BG15" s="77">
        <v>45638</v>
      </c>
      <c r="BH15" s="77">
        <v>45639</v>
      </c>
      <c r="BI15" s="77">
        <v>45642</v>
      </c>
      <c r="BJ15" s="77">
        <v>45643</v>
      </c>
      <c r="BK15" s="77">
        <v>45644</v>
      </c>
      <c r="BL15" s="77">
        <v>45645</v>
      </c>
      <c r="BM15" s="77">
        <v>45646</v>
      </c>
      <c r="BN15" s="77">
        <v>45649</v>
      </c>
      <c r="BO15" s="77">
        <v>45650</v>
      </c>
      <c r="BP15" s="77">
        <v>45651</v>
      </c>
      <c r="BQ15" s="77">
        <v>45652</v>
      </c>
      <c r="BR15" s="77">
        <v>45653</v>
      </c>
      <c r="BS15" s="77">
        <v>45656</v>
      </c>
      <c r="BT15" s="77">
        <v>45657</v>
      </c>
      <c r="BU15" s="77">
        <v>45649</v>
      </c>
      <c r="BV15" s="77">
        <v>45650</v>
      </c>
      <c r="BW15" s="77">
        <v>45651</v>
      </c>
      <c r="BX15" s="77">
        <v>45652</v>
      </c>
      <c r="BY15" s="77">
        <v>45653</v>
      </c>
      <c r="BZ15" s="77">
        <v>45649</v>
      </c>
      <c r="CA15" s="77">
        <v>45650</v>
      </c>
      <c r="CB15" s="77">
        <v>45651</v>
      </c>
      <c r="CC15" s="77">
        <v>45652</v>
      </c>
      <c r="CD15" s="77">
        <v>45653</v>
      </c>
      <c r="CE15" s="77">
        <v>45649</v>
      </c>
      <c r="CF15" s="77">
        <v>45650</v>
      </c>
      <c r="CG15" s="77">
        <v>45651</v>
      </c>
      <c r="CH15" s="77">
        <v>45652</v>
      </c>
      <c r="CI15" s="77">
        <v>45653</v>
      </c>
    </row>
    <row r="16" spans="1:87" s="244" customFormat="1" ht="17.399999999999999" x14ac:dyDescent="0.25">
      <c r="A16" s="277"/>
      <c r="B16" s="212" t="s">
        <v>8</v>
      </c>
      <c r="C16" s="213" t="s">
        <v>9</v>
      </c>
      <c r="D16" s="213" t="s">
        <v>10</v>
      </c>
      <c r="E16" s="213" t="s">
        <v>11</v>
      </c>
      <c r="F16" s="213" t="s">
        <v>1978</v>
      </c>
      <c r="G16" s="213" t="s">
        <v>12</v>
      </c>
      <c r="H16" s="213" t="s">
        <v>645</v>
      </c>
      <c r="I16" s="327" t="s">
        <v>1947</v>
      </c>
      <c r="J16" s="327" t="s">
        <v>2054</v>
      </c>
      <c r="K16" s="215" t="s">
        <v>2055</v>
      </c>
      <c r="L16" s="327" t="s">
        <v>2006</v>
      </c>
      <c r="M16" s="327" t="s">
        <v>2007</v>
      </c>
      <c r="N16" s="327" t="s">
        <v>2053</v>
      </c>
      <c r="O16" s="213" t="s">
        <v>2004</v>
      </c>
      <c r="P16" s="213" t="s">
        <v>2005</v>
      </c>
      <c r="Q16" s="213" t="s">
        <v>2009</v>
      </c>
      <c r="R16" s="328" t="s">
        <v>22</v>
      </c>
      <c r="S16" s="218" t="s">
        <v>1242</v>
      </c>
      <c r="T16" s="218" t="s">
        <v>1948</v>
      </c>
      <c r="U16" s="218" t="s">
        <v>1949</v>
      </c>
      <c r="V16" s="216" t="s">
        <v>1950</v>
      </c>
      <c r="W16" s="329">
        <v>23</v>
      </c>
      <c r="X16" s="329">
        <v>45589</v>
      </c>
      <c r="Y16" s="329">
        <v>45590</v>
      </c>
      <c r="Z16" s="329">
        <v>45593</v>
      </c>
      <c r="AA16" s="329">
        <v>45594</v>
      </c>
      <c r="AB16" s="329">
        <v>45595</v>
      </c>
      <c r="AC16" s="329">
        <v>45596</v>
      </c>
      <c r="AD16" s="329">
        <v>45597</v>
      </c>
      <c r="AE16" s="329">
        <v>45600</v>
      </c>
      <c r="AF16" s="329">
        <v>45601</v>
      </c>
      <c r="AG16" s="329">
        <v>45602</v>
      </c>
      <c r="AH16" s="329">
        <v>45603</v>
      </c>
      <c r="AI16" s="329">
        <v>45604</v>
      </c>
      <c r="AJ16" s="329">
        <v>45607</v>
      </c>
      <c r="AK16" s="329">
        <v>45608</v>
      </c>
      <c r="AL16" s="329">
        <v>45609</v>
      </c>
      <c r="AM16" s="329">
        <v>45610</v>
      </c>
      <c r="AN16" s="329">
        <v>45611</v>
      </c>
      <c r="AO16" s="329">
        <v>45614</v>
      </c>
      <c r="AP16" s="329">
        <v>45615</v>
      </c>
      <c r="AQ16" s="329">
        <v>45616</v>
      </c>
      <c r="AR16" s="329">
        <v>45617</v>
      </c>
      <c r="AS16" s="329">
        <v>45618</v>
      </c>
      <c r="AT16" s="329">
        <v>45621</v>
      </c>
      <c r="AU16" s="329">
        <v>45622</v>
      </c>
      <c r="AV16" s="329">
        <v>45623</v>
      </c>
      <c r="AW16" s="329">
        <v>45624</v>
      </c>
      <c r="AX16" s="329">
        <v>45625</v>
      </c>
      <c r="AY16" s="329">
        <v>45628</v>
      </c>
      <c r="AZ16" s="329">
        <v>45629</v>
      </c>
      <c r="BA16" s="329">
        <v>45630</v>
      </c>
      <c r="BB16" s="329">
        <v>45631</v>
      </c>
      <c r="BC16" s="329">
        <v>45632</v>
      </c>
      <c r="BD16" s="329">
        <v>45635</v>
      </c>
      <c r="BE16" s="329">
        <v>45636</v>
      </c>
      <c r="BF16" s="329">
        <v>45637</v>
      </c>
      <c r="BG16" s="329">
        <v>45638</v>
      </c>
      <c r="BH16" s="329">
        <v>45639</v>
      </c>
      <c r="BI16" s="329">
        <v>45642</v>
      </c>
      <c r="BJ16" s="329">
        <v>45643</v>
      </c>
      <c r="BK16" s="329">
        <v>45644</v>
      </c>
      <c r="BL16" s="329">
        <v>45645</v>
      </c>
      <c r="BM16" s="329">
        <v>45646</v>
      </c>
      <c r="BN16" s="329">
        <v>45649</v>
      </c>
      <c r="BO16" s="329">
        <v>45650</v>
      </c>
      <c r="BP16" s="329">
        <v>45651</v>
      </c>
      <c r="BQ16" s="329">
        <v>45652</v>
      </c>
      <c r="BR16" s="329">
        <v>45653</v>
      </c>
      <c r="BS16" s="329">
        <v>45656</v>
      </c>
      <c r="BT16" s="329">
        <v>45657</v>
      </c>
      <c r="BU16" s="329">
        <f>WORKDAY(BT16,1)</f>
        <v>45658</v>
      </c>
      <c r="BV16" s="329">
        <f t="shared" ref="BV16:BY16" si="2">WORKDAY(BU16,1)</f>
        <v>45659</v>
      </c>
      <c r="BW16" s="329">
        <f t="shared" si="2"/>
        <v>45660</v>
      </c>
      <c r="BX16" s="329">
        <f t="shared" si="2"/>
        <v>45663</v>
      </c>
      <c r="BY16" s="329">
        <f t="shared" si="2"/>
        <v>45664</v>
      </c>
      <c r="BZ16" s="329">
        <f>WORKDAY(BY16,1)</f>
        <v>45665</v>
      </c>
      <c r="CA16" s="329">
        <f t="shared" ref="CA16:CD16" si="3">WORKDAY(BZ16,1)</f>
        <v>45666</v>
      </c>
      <c r="CB16" s="329">
        <f t="shared" si="3"/>
        <v>45667</v>
      </c>
      <c r="CC16" s="329">
        <f t="shared" si="3"/>
        <v>45670</v>
      </c>
      <c r="CD16" s="329">
        <f t="shared" si="3"/>
        <v>45671</v>
      </c>
      <c r="CE16" s="329">
        <f>WORKDAY(CD16,1)</f>
        <v>45672</v>
      </c>
      <c r="CF16" s="329">
        <f t="shared" ref="CF16:CI16" si="4">WORKDAY(CE16,1)</f>
        <v>45673</v>
      </c>
      <c r="CG16" s="329">
        <f t="shared" si="4"/>
        <v>45674</v>
      </c>
      <c r="CH16" s="329">
        <f t="shared" si="4"/>
        <v>45677</v>
      </c>
      <c r="CI16" s="329">
        <f t="shared" si="4"/>
        <v>45678</v>
      </c>
    </row>
    <row r="17" spans="1:87" ht="15" customHeight="1" x14ac:dyDescent="0.25">
      <c r="A17" s="278"/>
      <c r="B17" s="142" t="s">
        <v>26</v>
      </c>
      <c r="C17" s="138" t="s">
        <v>26</v>
      </c>
      <c r="D17" s="134"/>
      <c r="E17" s="242" t="s">
        <v>380</v>
      </c>
      <c r="F17" s="240" t="s">
        <v>1979</v>
      </c>
      <c r="G17" s="241">
        <f>COUNTA(G18)</f>
        <v>1</v>
      </c>
      <c r="H17" s="299" t="s">
        <v>2017</v>
      </c>
      <c r="I17" s="282">
        <f>MAX(I18)</f>
        <v>45583</v>
      </c>
      <c r="J17" s="281">
        <f>MIN(J18)</f>
        <v>45589</v>
      </c>
      <c r="K17" s="281">
        <f>MIN(K18)</f>
        <v>45589</v>
      </c>
      <c r="L17" s="281">
        <f>MIN(L18)</f>
        <v>45593</v>
      </c>
      <c r="M17" s="282">
        <f>MAX(M18)</f>
        <v>45593</v>
      </c>
      <c r="N17" s="332">
        <f t="array" ref="N17">MAX(IF(W17:CI17&gt;0,$W$16:$CI$16))</f>
        <v>45593</v>
      </c>
      <c r="O17" s="330">
        <f>O18</f>
        <v>1</v>
      </c>
      <c r="P17" s="330">
        <f ca="1">P18</f>
        <v>1</v>
      </c>
      <c r="Q17" s="248">
        <f t="shared" ref="Q17:Q43" ca="1" si="5">O17-P17</f>
        <v>0</v>
      </c>
      <c r="R17" s="266" t="s">
        <v>38</v>
      </c>
      <c r="S17" s="284"/>
      <c r="T17" s="274"/>
      <c r="U17" s="274"/>
      <c r="V17" s="274"/>
      <c r="W17" s="285"/>
      <c r="X17" s="292"/>
      <c r="Y17" s="285"/>
      <c r="Z17" s="288" t="s">
        <v>444</v>
      </c>
      <c r="AA17" s="285"/>
      <c r="AB17" s="285"/>
      <c r="AC17" s="285"/>
      <c r="AD17" s="286"/>
      <c r="AE17" s="285"/>
      <c r="AF17" s="285"/>
      <c r="AG17" s="285"/>
      <c r="AH17" s="285"/>
      <c r="AI17" s="285"/>
      <c r="AJ17" s="285"/>
      <c r="AK17" s="285"/>
      <c r="AL17" s="285"/>
      <c r="AM17" s="285"/>
      <c r="AN17" s="285"/>
      <c r="AO17" s="285"/>
      <c r="AP17" s="285"/>
      <c r="AQ17" s="285"/>
      <c r="AR17" s="285"/>
      <c r="AS17" s="285"/>
      <c r="AT17" s="285"/>
      <c r="AU17" s="285"/>
      <c r="AV17" s="285"/>
      <c r="AW17" s="285"/>
      <c r="AX17" s="285"/>
      <c r="AY17" s="285"/>
      <c r="AZ17" s="285"/>
      <c r="BA17" s="285"/>
      <c r="BB17" s="285"/>
      <c r="BC17" s="285"/>
      <c r="BD17" s="285"/>
      <c r="BE17" s="285"/>
      <c r="BF17" s="285"/>
      <c r="BG17" s="285"/>
      <c r="BH17" s="285"/>
      <c r="BI17" s="285"/>
      <c r="BJ17" s="285"/>
      <c r="BK17" s="285"/>
      <c r="BL17" s="285"/>
      <c r="BM17" s="285"/>
      <c r="BN17" s="285"/>
      <c r="BO17" s="286"/>
      <c r="BP17" s="286"/>
      <c r="BQ17" s="286"/>
      <c r="BR17" s="286"/>
      <c r="BS17" s="286"/>
      <c r="BT17" s="286"/>
      <c r="BU17" s="286"/>
      <c r="BV17" s="285"/>
      <c r="BW17" s="285"/>
      <c r="BX17" s="285"/>
      <c r="BY17" s="285"/>
      <c r="BZ17" s="285"/>
      <c r="CA17" s="285"/>
      <c r="CB17" s="285"/>
      <c r="CC17" s="285"/>
      <c r="CD17" s="285"/>
      <c r="CE17" s="285"/>
      <c r="CF17" s="285"/>
      <c r="CG17" s="285"/>
      <c r="CH17" s="285"/>
      <c r="CI17" s="285"/>
    </row>
    <row r="18" spans="1:87" ht="16.2" hidden="1" outlineLevel="1" x14ac:dyDescent="0.25">
      <c r="A18" s="278" t="str">
        <f>E18&amp;G18</f>
        <v>lt002_instrumentlns_clltrlzd_clssfctn</v>
      </c>
      <c r="B18" s="142" t="s">
        <v>26</v>
      </c>
      <c r="C18" s="138" t="s">
        <v>26</v>
      </c>
      <c r="D18" s="236" t="s">
        <v>40</v>
      </c>
      <c r="E18" s="239" t="s">
        <v>380</v>
      </c>
      <c r="F18" s="239"/>
      <c r="G18" s="239" t="s">
        <v>385</v>
      </c>
      <c r="H18" s="236" t="str">
        <f>VLOOKUP(A18,'2. Status Detalhe Campos'!$A$7:$G$574,7,0)</f>
        <v>1. Concluído</v>
      </c>
      <c r="I18" s="280">
        <v>45583</v>
      </c>
      <c r="J18" s="289">
        <v>45589</v>
      </c>
      <c r="K18" s="289">
        <v>45589</v>
      </c>
      <c r="L18" s="294">
        <f t="array" ref="L18">MIN(IF(W18:CI18&gt;0,$W$16:$CI$16))</f>
        <v>45593</v>
      </c>
      <c r="M18" s="295">
        <f t="array" ref="M18">MAX(IF(W18:CI18&gt;0,$W$16:$CI$16))</f>
        <v>45593</v>
      </c>
      <c r="N18" s="295"/>
      <c r="O18" s="249">
        <f>VLOOKUP(H18,Auxiliar!$B$16:$E$24,4,0)</f>
        <v>1</v>
      </c>
      <c r="P18" s="249">
        <f t="shared" ref="P18" ca="1" si="6">IF(TODAY()&lt;=L18,0,MIN((TODAY()-L18)/(M18-L18+1),100%))</f>
        <v>1</v>
      </c>
      <c r="Q18" s="248">
        <f t="shared" ca="1" si="5"/>
        <v>0</v>
      </c>
      <c r="R18" s="266" t="s">
        <v>38</v>
      </c>
      <c r="S18" s="284"/>
      <c r="T18" s="274">
        <v>4.0999999999999996</v>
      </c>
      <c r="U18" s="274">
        <f>ROUND(T18/8,1)</f>
        <v>0.5</v>
      </c>
      <c r="V18" s="274">
        <f>SUM(W18:CI18)-U18</f>
        <v>0</v>
      </c>
      <c r="W18" s="285"/>
      <c r="X18" s="292"/>
      <c r="Y18" s="285"/>
      <c r="Z18" s="285">
        <v>0.5</v>
      </c>
      <c r="AA18" s="285"/>
      <c r="AB18" s="285"/>
      <c r="AC18" s="285"/>
      <c r="AD18" s="286"/>
      <c r="AE18" s="285"/>
      <c r="AF18" s="285"/>
      <c r="AG18" s="285"/>
      <c r="AH18" s="285"/>
      <c r="AI18" s="285"/>
      <c r="AJ18" s="285"/>
      <c r="AK18" s="285"/>
      <c r="AL18" s="285"/>
      <c r="AM18" s="285"/>
      <c r="AN18" s="285"/>
      <c r="AO18" s="285"/>
      <c r="AP18" s="285"/>
      <c r="AQ18" s="285"/>
      <c r="AR18" s="285"/>
      <c r="AS18" s="285"/>
      <c r="AT18" s="285"/>
      <c r="AU18" s="285"/>
      <c r="AV18" s="285"/>
      <c r="AW18" s="285"/>
      <c r="AX18" s="285"/>
      <c r="AY18" s="285"/>
      <c r="AZ18" s="285"/>
      <c r="BA18" s="285"/>
      <c r="BB18" s="285"/>
      <c r="BC18" s="285"/>
      <c r="BD18" s="285"/>
      <c r="BE18" s="285"/>
      <c r="BF18" s="285"/>
      <c r="BG18" s="285"/>
      <c r="BH18" s="285"/>
      <c r="BI18" s="285"/>
      <c r="BJ18" s="285"/>
      <c r="BK18" s="285"/>
      <c r="BL18" s="285"/>
      <c r="BM18" s="285"/>
      <c r="BN18" s="285"/>
      <c r="BO18" s="286"/>
      <c r="BP18" s="286"/>
      <c r="BQ18" s="286"/>
      <c r="BR18" s="286"/>
      <c r="BS18" s="286"/>
      <c r="BT18" s="286"/>
      <c r="BU18" s="286"/>
      <c r="BV18" s="285"/>
      <c r="BW18" s="285"/>
      <c r="BX18" s="285"/>
      <c r="BY18" s="285"/>
      <c r="BZ18" s="285"/>
      <c r="CA18" s="285"/>
      <c r="CB18" s="285"/>
      <c r="CC18" s="285"/>
      <c r="CD18" s="285"/>
      <c r="CE18" s="285"/>
      <c r="CF18" s="285"/>
      <c r="CG18" s="285"/>
      <c r="CH18" s="285"/>
      <c r="CI18" s="285"/>
    </row>
    <row r="19" spans="1:87" ht="15" customHeight="1" collapsed="1" x14ac:dyDescent="0.25">
      <c r="A19" s="278"/>
      <c r="B19" s="142" t="s">
        <v>26</v>
      </c>
      <c r="C19" s="138" t="s">
        <v>311</v>
      </c>
      <c r="D19" s="134"/>
      <c r="E19" s="240" t="s">
        <v>312</v>
      </c>
      <c r="F19" s="240" t="s">
        <v>2003</v>
      </c>
      <c r="G19" s="241">
        <f>COUNTA(G20:G27)</f>
        <v>8</v>
      </c>
      <c r="H19" s="299" t="s">
        <v>2017</v>
      </c>
      <c r="I19" s="280" t="s">
        <v>38</v>
      </c>
      <c r="J19" s="281">
        <f>MIN(J20:J27)</f>
        <v>45600</v>
      </c>
      <c r="K19" s="282">
        <f>MIN(K20:K27)</f>
        <v>45601</v>
      </c>
      <c r="L19" s="281">
        <f>MIN(L20:L27)</f>
        <v>45602</v>
      </c>
      <c r="M19" s="282">
        <f>MAX(M20:M27)</f>
        <v>45608</v>
      </c>
      <c r="N19" s="332">
        <f t="array" ref="N19">MAX(IF(W19:CI19&gt;0,$W$16:$CI$16))</f>
        <v>45611</v>
      </c>
      <c r="O19" s="330">
        <f>SUMPRODUCT(O20:O27,U20:U27)/SUM(U20:U27)</f>
        <v>1</v>
      </c>
      <c r="P19" s="330">
        <f ca="1">SUMPRODUCT(P20:P27,U20:U27)/SUM(U20:U27)</f>
        <v>1</v>
      </c>
      <c r="Q19" s="248">
        <f t="shared" ca="1" si="5"/>
        <v>0</v>
      </c>
      <c r="R19" s="266" t="s">
        <v>38</v>
      </c>
      <c r="S19" s="284"/>
      <c r="T19" s="274"/>
      <c r="U19" s="274"/>
      <c r="V19" s="274"/>
      <c r="W19" s="285"/>
      <c r="X19" s="285"/>
      <c r="Y19" s="285"/>
      <c r="Z19" s="285"/>
      <c r="AA19" s="285"/>
      <c r="AB19" s="285"/>
      <c r="AC19" s="285"/>
      <c r="AD19" s="286"/>
      <c r="AE19" s="287"/>
      <c r="AF19" s="292"/>
      <c r="AG19" s="285"/>
      <c r="AH19" s="285"/>
      <c r="AI19" s="285"/>
      <c r="AJ19" s="285"/>
      <c r="AK19" s="285"/>
      <c r="AL19" s="285"/>
      <c r="AM19" s="293"/>
      <c r="AN19" s="292" t="s">
        <v>444</v>
      </c>
      <c r="AO19" s="285"/>
      <c r="AP19" s="285"/>
      <c r="AQ19" s="285"/>
      <c r="AR19" s="285"/>
      <c r="AS19" s="285"/>
      <c r="AT19" s="285"/>
      <c r="AU19" s="285"/>
      <c r="AV19" s="285"/>
      <c r="AW19" s="285"/>
      <c r="AX19" s="285"/>
      <c r="AY19" s="285"/>
      <c r="AZ19" s="285"/>
      <c r="BA19" s="285"/>
      <c r="BB19" s="285"/>
      <c r="BC19" s="285"/>
      <c r="BD19" s="285"/>
      <c r="BE19" s="285"/>
      <c r="BF19" s="285"/>
      <c r="BG19" s="285"/>
      <c r="BH19" s="285"/>
      <c r="BI19" s="285"/>
      <c r="BJ19" s="285"/>
      <c r="BK19" s="285"/>
      <c r="BL19" s="285"/>
      <c r="BM19" s="285"/>
      <c r="BN19" s="285"/>
      <c r="BO19" s="286"/>
      <c r="BP19" s="286"/>
      <c r="BQ19" s="286"/>
      <c r="BR19" s="286"/>
      <c r="BS19" s="286"/>
      <c r="BT19" s="286"/>
      <c r="BU19" s="286"/>
      <c r="BV19" s="285"/>
      <c r="BW19" s="285"/>
      <c r="BX19" s="285"/>
      <c r="BY19" s="285"/>
      <c r="BZ19" s="285"/>
      <c r="CA19" s="285"/>
      <c r="CB19" s="285"/>
      <c r="CC19" s="285"/>
      <c r="CD19" s="285"/>
      <c r="CE19" s="285"/>
      <c r="CF19" s="285"/>
      <c r="CG19" s="285"/>
      <c r="CH19" s="285"/>
      <c r="CI19" s="285"/>
    </row>
    <row r="20" spans="1:87" ht="16.2" hidden="1" outlineLevel="1" x14ac:dyDescent="0.25">
      <c r="A20" s="278" t="str">
        <f t="shared" ref="A20:A27" si="7">E20&amp;G20</f>
        <v>modesg_out_bens_imoveisorigem_scp1_emss</v>
      </c>
      <c r="B20" s="142" t="s">
        <v>26</v>
      </c>
      <c r="C20" s="138" t="s">
        <v>311</v>
      </c>
      <c r="D20" s="236" t="s">
        <v>40</v>
      </c>
      <c r="E20" s="237" t="s">
        <v>312</v>
      </c>
      <c r="F20" s="237"/>
      <c r="G20" s="236" t="s">
        <v>320</v>
      </c>
      <c r="H20" s="236" t="str">
        <f>VLOOKUP(A20,'2. Status Detalhe Campos'!$A$7:$G$574,7,0)</f>
        <v>1. Concluído</v>
      </c>
      <c r="I20" s="280" t="s">
        <v>38</v>
      </c>
      <c r="J20" s="289">
        <v>45600</v>
      </c>
      <c r="K20" s="280">
        <v>45601</v>
      </c>
      <c r="L20" s="294">
        <f t="array" ref="L20">MIN(IF(W20:CI20&gt;0,$W$16:$CI$16))</f>
        <v>45602</v>
      </c>
      <c r="M20" s="295">
        <f t="array" ref="M20">MAX(IF(W20:CI20&gt;0,$W$16:$CI$16))</f>
        <v>45602</v>
      </c>
      <c r="N20" s="295"/>
      <c r="O20" s="249">
        <f>VLOOKUP(H20,Auxiliar!$B$16:$E$24,4,0)</f>
        <v>1</v>
      </c>
      <c r="P20" s="249">
        <f t="shared" ref="P20:P27" ca="1" si="8">IF(TODAY()&lt;=L20,0,MIN((TODAY()-L20)/(M20-L20+1),100%))</f>
        <v>1</v>
      </c>
      <c r="Q20" s="248">
        <f t="shared" ca="1" si="5"/>
        <v>0</v>
      </c>
      <c r="R20" s="265"/>
      <c r="S20" s="284" t="s">
        <v>1952</v>
      </c>
      <c r="T20" s="274">
        <v>4.0999999999999996</v>
      </c>
      <c r="U20" s="274">
        <f t="shared" ref="U20:U27" si="9">ROUND(T20/8,1)</f>
        <v>0.5</v>
      </c>
      <c r="V20" s="274">
        <f t="shared" ref="V20:V27" si="10">SUM(W20:CI20)-U20</f>
        <v>0</v>
      </c>
      <c r="W20" s="285"/>
      <c r="X20" s="285"/>
      <c r="Y20" s="285"/>
      <c r="Z20" s="285"/>
      <c r="AA20" s="285"/>
      <c r="AB20" s="285"/>
      <c r="AC20" s="285"/>
      <c r="AD20" s="286"/>
      <c r="AE20" s="287"/>
      <c r="AF20" s="292"/>
      <c r="AG20" s="285">
        <v>0.5</v>
      </c>
      <c r="AH20" s="285"/>
      <c r="AI20" s="285"/>
      <c r="AJ20" s="285"/>
      <c r="AK20" s="285"/>
      <c r="AL20" s="285"/>
      <c r="AM20" s="293"/>
      <c r="AN20" s="292"/>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5"/>
      <c r="BK20" s="285"/>
      <c r="BL20" s="285"/>
      <c r="BM20" s="285"/>
      <c r="BN20" s="285"/>
      <c r="BO20" s="286"/>
      <c r="BP20" s="286"/>
      <c r="BQ20" s="286"/>
      <c r="BR20" s="286"/>
      <c r="BS20" s="286"/>
      <c r="BT20" s="286"/>
      <c r="BU20" s="286"/>
      <c r="BV20" s="285"/>
      <c r="BW20" s="285"/>
      <c r="BX20" s="285"/>
      <c r="BY20" s="285"/>
      <c r="BZ20" s="285"/>
      <c r="CA20" s="285"/>
      <c r="CB20" s="285"/>
      <c r="CC20" s="285"/>
      <c r="CD20" s="285"/>
      <c r="CE20" s="285"/>
      <c r="CF20" s="285"/>
      <c r="CG20" s="285"/>
      <c r="CH20" s="285"/>
      <c r="CI20" s="285"/>
    </row>
    <row r="21" spans="1:87" ht="16.2" hidden="1" outlineLevel="1" x14ac:dyDescent="0.25">
      <c r="A21" s="278" t="str">
        <f t="shared" si="7"/>
        <v>modesg_out_bens_imoveisorigem_scp2_emss</v>
      </c>
      <c r="B21" s="142" t="s">
        <v>26</v>
      </c>
      <c r="C21" s="138" t="s">
        <v>311</v>
      </c>
      <c r="D21" s="236" t="s">
        <v>40</v>
      </c>
      <c r="E21" s="237" t="s">
        <v>312</v>
      </c>
      <c r="F21" s="237"/>
      <c r="G21" s="236" t="s">
        <v>321</v>
      </c>
      <c r="H21" s="236" t="str">
        <f>VLOOKUP(A21,'2. Status Detalhe Campos'!$A$7:$G$574,7,0)</f>
        <v>1. Concluído</v>
      </c>
      <c r="I21" s="280" t="s">
        <v>38</v>
      </c>
      <c r="J21" s="289">
        <v>45600</v>
      </c>
      <c r="K21" s="280">
        <v>45601</v>
      </c>
      <c r="L21" s="294">
        <f t="array" ref="L21">MIN(IF(W21:CI21&gt;0,$W$16:$CI$16))</f>
        <v>45602</v>
      </c>
      <c r="M21" s="295">
        <f t="array" ref="M21">MAX(IF(W21:CI21&gt;0,$W$16:$CI$16))</f>
        <v>45602</v>
      </c>
      <c r="N21" s="295"/>
      <c r="O21" s="249">
        <f>VLOOKUP(H21,Auxiliar!$B$16:$E$24,4,0)</f>
        <v>1</v>
      </c>
      <c r="P21" s="249">
        <f t="shared" ca="1" si="8"/>
        <v>1</v>
      </c>
      <c r="Q21" s="248">
        <f t="shared" ca="1" si="5"/>
        <v>0</v>
      </c>
      <c r="R21" s="265"/>
      <c r="S21" s="284" t="s">
        <v>1952</v>
      </c>
      <c r="T21" s="274">
        <v>4.0999999999999996</v>
      </c>
      <c r="U21" s="274">
        <f t="shared" si="9"/>
        <v>0.5</v>
      </c>
      <c r="V21" s="274">
        <f t="shared" si="10"/>
        <v>0</v>
      </c>
      <c r="W21" s="285"/>
      <c r="X21" s="285"/>
      <c r="Y21" s="285"/>
      <c r="Z21" s="285"/>
      <c r="AA21" s="285"/>
      <c r="AB21" s="285"/>
      <c r="AC21" s="285"/>
      <c r="AD21" s="286"/>
      <c r="AE21" s="287"/>
      <c r="AF21" s="292"/>
      <c r="AG21" s="285">
        <v>0.5</v>
      </c>
      <c r="AH21" s="285"/>
      <c r="AI21" s="285"/>
      <c r="AJ21" s="285"/>
      <c r="AK21" s="285"/>
      <c r="AL21" s="285"/>
      <c r="AM21" s="293"/>
      <c r="AN21" s="292"/>
      <c r="AO21" s="285"/>
      <c r="AP21" s="285"/>
      <c r="AQ21" s="285"/>
      <c r="AR21" s="285"/>
      <c r="AS21" s="285"/>
      <c r="AT21" s="285"/>
      <c r="AU21" s="285"/>
      <c r="AV21" s="285"/>
      <c r="AW21" s="285"/>
      <c r="AX21" s="285"/>
      <c r="AY21" s="285"/>
      <c r="AZ21" s="285"/>
      <c r="BA21" s="285"/>
      <c r="BB21" s="285"/>
      <c r="BC21" s="285"/>
      <c r="BD21" s="285"/>
      <c r="BE21" s="285"/>
      <c r="BF21" s="285"/>
      <c r="BG21" s="285"/>
      <c r="BH21" s="285"/>
      <c r="BI21" s="285"/>
      <c r="BJ21" s="285"/>
      <c r="BK21" s="285"/>
      <c r="BL21" s="285"/>
      <c r="BM21" s="285"/>
      <c r="BN21" s="285"/>
      <c r="BO21" s="286"/>
      <c r="BP21" s="286"/>
      <c r="BQ21" s="286"/>
      <c r="BR21" s="286"/>
      <c r="BS21" s="286"/>
      <c r="BT21" s="286"/>
      <c r="BU21" s="286"/>
      <c r="BV21" s="285"/>
      <c r="BW21" s="285"/>
      <c r="BX21" s="285"/>
      <c r="BY21" s="285"/>
      <c r="BZ21" s="285"/>
      <c r="CA21" s="285"/>
      <c r="CB21" s="285"/>
      <c r="CC21" s="285"/>
      <c r="CD21" s="285"/>
      <c r="CE21" s="285"/>
      <c r="CF21" s="285"/>
      <c r="CG21" s="285"/>
      <c r="CH21" s="285"/>
      <c r="CI21" s="285"/>
    </row>
    <row r="22" spans="1:87" ht="16.2" hidden="1" outlineLevel="1" x14ac:dyDescent="0.25">
      <c r="A22" s="278" t="str">
        <f t="shared" si="7"/>
        <v>modesg_out_bens_imoveisorigem_scp3_emss</v>
      </c>
      <c r="B22" s="142" t="s">
        <v>26</v>
      </c>
      <c r="C22" s="138" t="s">
        <v>311</v>
      </c>
      <c r="D22" s="236" t="s">
        <v>40</v>
      </c>
      <c r="E22" s="237" t="s">
        <v>312</v>
      </c>
      <c r="F22" s="237"/>
      <c r="G22" s="236" t="s">
        <v>322</v>
      </c>
      <c r="H22" s="236" t="str">
        <f>VLOOKUP(A22,'2. Status Detalhe Campos'!$A$7:$G$574,7,0)</f>
        <v>1. Concluído</v>
      </c>
      <c r="I22" s="280" t="s">
        <v>38</v>
      </c>
      <c r="J22" s="289">
        <v>45600</v>
      </c>
      <c r="K22" s="280">
        <v>45601</v>
      </c>
      <c r="L22" s="294">
        <f t="array" ref="L22">MIN(IF(W22:CI22&gt;0,$W$16:$CI$16))</f>
        <v>45603</v>
      </c>
      <c r="M22" s="295">
        <f t="array" ref="M22">MAX(IF(W22:CI22&gt;0,$W$16:$CI$16))</f>
        <v>45603</v>
      </c>
      <c r="N22" s="295"/>
      <c r="O22" s="249">
        <f>VLOOKUP(H22,Auxiliar!$B$16:$E$24,4,0)</f>
        <v>1</v>
      </c>
      <c r="P22" s="249">
        <f t="shared" ca="1" si="8"/>
        <v>1</v>
      </c>
      <c r="Q22" s="248">
        <f t="shared" ca="1" si="5"/>
        <v>0</v>
      </c>
      <c r="R22" s="265"/>
      <c r="S22" s="284" t="s">
        <v>1952</v>
      </c>
      <c r="T22" s="274">
        <v>4.0999999999999996</v>
      </c>
      <c r="U22" s="274">
        <f t="shared" si="9"/>
        <v>0.5</v>
      </c>
      <c r="V22" s="274">
        <f t="shared" si="10"/>
        <v>0</v>
      </c>
      <c r="W22" s="285"/>
      <c r="X22" s="285"/>
      <c r="Y22" s="285"/>
      <c r="Z22" s="285"/>
      <c r="AA22" s="285"/>
      <c r="AB22" s="285"/>
      <c r="AC22" s="285"/>
      <c r="AD22" s="286"/>
      <c r="AE22" s="287"/>
      <c r="AF22" s="292"/>
      <c r="AG22" s="285"/>
      <c r="AH22" s="285">
        <v>0.5</v>
      </c>
      <c r="AI22" s="285"/>
      <c r="AJ22" s="285"/>
      <c r="AK22" s="285"/>
      <c r="AL22" s="285"/>
      <c r="AM22" s="293"/>
      <c r="AN22" s="292"/>
      <c r="AO22" s="285"/>
      <c r="AP22" s="285"/>
      <c r="AQ22" s="285"/>
      <c r="AR22" s="285"/>
      <c r="AS22" s="285"/>
      <c r="AT22" s="285"/>
      <c r="AU22" s="285"/>
      <c r="AV22" s="285"/>
      <c r="AW22" s="285"/>
      <c r="AX22" s="285"/>
      <c r="AY22" s="285"/>
      <c r="AZ22" s="285"/>
      <c r="BA22" s="285"/>
      <c r="BB22" s="285"/>
      <c r="BC22" s="285"/>
      <c r="BD22" s="285"/>
      <c r="BE22" s="285"/>
      <c r="BF22" s="285"/>
      <c r="BG22" s="285"/>
      <c r="BH22" s="285"/>
      <c r="BI22" s="285"/>
      <c r="BJ22" s="285"/>
      <c r="BK22" s="285"/>
      <c r="BL22" s="285"/>
      <c r="BM22" s="285"/>
      <c r="BN22" s="285"/>
      <c r="BO22" s="286"/>
      <c r="BP22" s="286"/>
      <c r="BQ22" s="286"/>
      <c r="BR22" s="286"/>
      <c r="BS22" s="286"/>
      <c r="BT22" s="286"/>
      <c r="BU22" s="286"/>
      <c r="BV22" s="285"/>
      <c r="BW22" s="285"/>
      <c r="BX22" s="285"/>
      <c r="BY22" s="285"/>
      <c r="BZ22" s="285"/>
      <c r="CA22" s="285"/>
      <c r="CB22" s="285"/>
      <c r="CC22" s="285"/>
      <c r="CD22" s="285"/>
      <c r="CE22" s="285"/>
      <c r="CF22" s="285"/>
      <c r="CG22" s="285"/>
      <c r="CH22" s="285"/>
      <c r="CI22" s="285"/>
    </row>
    <row r="23" spans="1:87" ht="16.2" hidden="1" outlineLevel="1" x14ac:dyDescent="0.25">
      <c r="A23" s="278" t="str">
        <f t="shared" si="7"/>
        <v>modesg_out_bens_imoveisscp1_emss</v>
      </c>
      <c r="B23" s="142" t="s">
        <v>26</v>
      </c>
      <c r="C23" s="138" t="s">
        <v>311</v>
      </c>
      <c r="D23" s="236" t="s">
        <v>40</v>
      </c>
      <c r="E23" s="237" t="s">
        <v>312</v>
      </c>
      <c r="F23" s="237"/>
      <c r="G23" s="236" t="s">
        <v>286</v>
      </c>
      <c r="H23" s="236" t="str">
        <f>VLOOKUP(A23,'2. Status Detalhe Campos'!$A$7:$G$574,7,0)</f>
        <v>1. Concluído</v>
      </c>
      <c r="I23" s="280" t="s">
        <v>38</v>
      </c>
      <c r="J23" s="289">
        <v>45600</v>
      </c>
      <c r="K23" s="280">
        <v>45601</v>
      </c>
      <c r="L23" s="294">
        <f t="array" ref="L23">MIN(IF(W23:CI23&gt;0,$W$16:$CI$16))</f>
        <v>45603</v>
      </c>
      <c r="M23" s="295">
        <f t="array" ref="M23">MAX(IF(W23:CI23&gt;0,$W$16:$CI$16))</f>
        <v>45604</v>
      </c>
      <c r="N23" s="295"/>
      <c r="O23" s="249">
        <f>VLOOKUP(H23,Auxiliar!$B$16:$E$24,4,0)</f>
        <v>1</v>
      </c>
      <c r="P23" s="249">
        <f t="shared" ca="1" si="8"/>
        <v>1</v>
      </c>
      <c r="Q23" s="248">
        <f t="shared" ca="1" si="5"/>
        <v>0</v>
      </c>
      <c r="R23" s="265"/>
      <c r="S23" s="284" t="s">
        <v>1952</v>
      </c>
      <c r="T23" s="274">
        <v>8.1</v>
      </c>
      <c r="U23" s="274">
        <f t="shared" si="9"/>
        <v>1</v>
      </c>
      <c r="V23" s="274">
        <f t="shared" si="10"/>
        <v>0</v>
      </c>
      <c r="W23" s="285"/>
      <c r="X23" s="285"/>
      <c r="Y23" s="285"/>
      <c r="Z23" s="285"/>
      <c r="AA23" s="285"/>
      <c r="AB23" s="285"/>
      <c r="AC23" s="285"/>
      <c r="AD23" s="286"/>
      <c r="AE23" s="287"/>
      <c r="AF23" s="292"/>
      <c r="AG23" s="285"/>
      <c r="AH23" s="285">
        <v>0.5</v>
      </c>
      <c r="AI23" s="285">
        <v>0.5</v>
      </c>
      <c r="AJ23" s="285"/>
      <c r="AK23" s="285"/>
      <c r="AL23" s="285"/>
      <c r="AM23" s="293"/>
      <c r="AN23" s="292"/>
      <c r="AO23" s="285"/>
      <c r="AP23" s="285"/>
      <c r="AQ23" s="285"/>
      <c r="AR23" s="285"/>
      <c r="AS23" s="285"/>
      <c r="AT23" s="285"/>
      <c r="AU23" s="285"/>
      <c r="AV23" s="285"/>
      <c r="AW23" s="285"/>
      <c r="AX23" s="285"/>
      <c r="AY23" s="285"/>
      <c r="AZ23" s="285"/>
      <c r="BA23" s="285"/>
      <c r="BB23" s="285"/>
      <c r="BC23" s="285"/>
      <c r="BD23" s="285"/>
      <c r="BE23" s="285"/>
      <c r="BF23" s="285"/>
      <c r="BG23" s="285"/>
      <c r="BH23" s="285"/>
      <c r="BI23" s="285"/>
      <c r="BJ23" s="285"/>
      <c r="BK23" s="285"/>
      <c r="BL23" s="285"/>
      <c r="BM23" s="285"/>
      <c r="BN23" s="285"/>
      <c r="BO23" s="286"/>
      <c r="BP23" s="286"/>
      <c r="BQ23" s="286"/>
      <c r="BR23" s="286"/>
      <c r="BS23" s="286"/>
      <c r="BT23" s="286"/>
      <c r="BU23" s="286"/>
      <c r="BV23" s="285"/>
      <c r="BW23" s="285"/>
      <c r="BX23" s="285"/>
      <c r="BY23" s="285"/>
      <c r="BZ23" s="285"/>
      <c r="CA23" s="285"/>
      <c r="CB23" s="285"/>
      <c r="CC23" s="285"/>
      <c r="CD23" s="285"/>
      <c r="CE23" s="285"/>
      <c r="CF23" s="285"/>
      <c r="CG23" s="285"/>
      <c r="CH23" s="285"/>
      <c r="CI23" s="285"/>
    </row>
    <row r="24" spans="1:87" ht="16.2" hidden="1" outlineLevel="1" x14ac:dyDescent="0.25">
      <c r="A24" s="278" t="str">
        <f t="shared" si="7"/>
        <v>modesg_out_bens_imoveisscp2_emss</v>
      </c>
      <c r="B24" s="142" t="s">
        <v>26</v>
      </c>
      <c r="C24" s="138" t="s">
        <v>311</v>
      </c>
      <c r="D24" s="236" t="s">
        <v>40</v>
      </c>
      <c r="E24" s="237" t="s">
        <v>312</v>
      </c>
      <c r="F24" s="237"/>
      <c r="G24" s="236" t="s">
        <v>287</v>
      </c>
      <c r="H24" s="236" t="str">
        <f>VLOOKUP(A24,'2. Status Detalhe Campos'!$A$7:$G$574,7,0)</f>
        <v>1. Concluído</v>
      </c>
      <c r="I24" s="280" t="s">
        <v>38</v>
      </c>
      <c r="J24" s="289">
        <v>45600</v>
      </c>
      <c r="K24" s="280">
        <v>45601</v>
      </c>
      <c r="L24" s="294">
        <f t="array" ref="L24">MIN(IF(W24:CI24&gt;0,$W$16:$CI$16))</f>
        <v>45604</v>
      </c>
      <c r="M24" s="295">
        <f t="array" ref="M24">MAX(IF(W24:CI24&gt;0,$W$16:$CI$16))</f>
        <v>45607</v>
      </c>
      <c r="N24" s="295"/>
      <c r="O24" s="249">
        <f>VLOOKUP(H24,Auxiliar!$B$16:$E$24,4,0)</f>
        <v>1</v>
      </c>
      <c r="P24" s="249">
        <f t="shared" ca="1" si="8"/>
        <v>1</v>
      </c>
      <c r="Q24" s="248">
        <f t="shared" ca="1" si="5"/>
        <v>0</v>
      </c>
      <c r="R24" s="265"/>
      <c r="S24" s="284" t="s">
        <v>1952</v>
      </c>
      <c r="T24" s="274">
        <v>8.1</v>
      </c>
      <c r="U24" s="274">
        <f t="shared" si="9"/>
        <v>1</v>
      </c>
      <c r="V24" s="274">
        <f t="shared" si="10"/>
        <v>0</v>
      </c>
      <c r="W24" s="285"/>
      <c r="X24" s="285"/>
      <c r="Y24" s="285"/>
      <c r="Z24" s="285"/>
      <c r="AA24" s="285"/>
      <c r="AB24" s="285"/>
      <c r="AC24" s="285"/>
      <c r="AD24" s="286"/>
      <c r="AE24" s="287"/>
      <c r="AF24" s="292"/>
      <c r="AG24" s="285"/>
      <c r="AH24" s="285"/>
      <c r="AI24" s="285">
        <v>0.5</v>
      </c>
      <c r="AJ24" s="285">
        <v>0.5</v>
      </c>
      <c r="AK24" s="285"/>
      <c r="AL24" s="285"/>
      <c r="AM24" s="293"/>
      <c r="AN24" s="292"/>
      <c r="AO24" s="285"/>
      <c r="AP24" s="285"/>
      <c r="AQ24" s="285"/>
      <c r="AR24" s="285"/>
      <c r="AS24" s="285"/>
      <c r="AT24" s="285"/>
      <c r="AU24" s="285"/>
      <c r="AV24" s="285"/>
      <c r="AW24" s="285"/>
      <c r="AX24" s="285"/>
      <c r="AY24" s="285"/>
      <c r="AZ24" s="285"/>
      <c r="BA24" s="285"/>
      <c r="BB24" s="285"/>
      <c r="BC24" s="285"/>
      <c r="BD24" s="285"/>
      <c r="BE24" s="285"/>
      <c r="BF24" s="285"/>
      <c r="BG24" s="285"/>
      <c r="BH24" s="285"/>
      <c r="BI24" s="285"/>
      <c r="BJ24" s="285"/>
      <c r="BK24" s="285"/>
      <c r="BL24" s="285"/>
      <c r="BM24" s="285"/>
      <c r="BN24" s="285"/>
      <c r="BO24" s="286"/>
      <c r="BP24" s="286"/>
      <c r="BQ24" s="286"/>
      <c r="BR24" s="286"/>
      <c r="BS24" s="286"/>
      <c r="BT24" s="286"/>
      <c r="BU24" s="286"/>
      <c r="BV24" s="285"/>
      <c r="BW24" s="285"/>
      <c r="BX24" s="285"/>
      <c r="BY24" s="285"/>
      <c r="BZ24" s="285"/>
      <c r="CA24" s="285"/>
      <c r="CB24" s="285"/>
      <c r="CC24" s="285"/>
      <c r="CD24" s="285"/>
      <c r="CE24" s="285"/>
      <c r="CF24" s="285"/>
      <c r="CG24" s="285"/>
      <c r="CH24" s="285"/>
      <c r="CI24" s="285"/>
    </row>
    <row r="25" spans="1:87" ht="16.2" hidden="1" outlineLevel="1" x14ac:dyDescent="0.25">
      <c r="A25" s="278" t="str">
        <f t="shared" si="7"/>
        <v>modesg_out_bens_imoveisunidade_funcional_scp1_emss</v>
      </c>
      <c r="B25" s="142" t="s">
        <v>26</v>
      </c>
      <c r="C25" s="138" t="s">
        <v>311</v>
      </c>
      <c r="D25" s="236" t="s">
        <v>40</v>
      </c>
      <c r="E25" s="237" t="s">
        <v>312</v>
      </c>
      <c r="F25" s="237"/>
      <c r="G25" s="236" t="s">
        <v>323</v>
      </c>
      <c r="H25" s="236" t="str">
        <f>VLOOKUP(A25,'2. Status Detalhe Campos'!$A$7:$G$574,7,0)</f>
        <v>1. Concluído</v>
      </c>
      <c r="I25" s="280" t="s">
        <v>38</v>
      </c>
      <c r="J25" s="289">
        <v>45600</v>
      </c>
      <c r="K25" s="280">
        <v>45601</v>
      </c>
      <c r="L25" s="294">
        <f t="array" ref="L25">MIN(IF(W25:CI25&gt;0,$W$16:$CI$16))</f>
        <v>45607</v>
      </c>
      <c r="M25" s="295">
        <f t="array" ref="M25">MAX(IF(W25:CI25&gt;0,$W$16:$CI$16))</f>
        <v>45607</v>
      </c>
      <c r="N25" s="295"/>
      <c r="O25" s="249">
        <f>VLOOKUP(H25,Auxiliar!$B$16:$E$24,4,0)</f>
        <v>1</v>
      </c>
      <c r="P25" s="249">
        <f t="shared" ca="1" si="8"/>
        <v>1</v>
      </c>
      <c r="Q25" s="248">
        <f t="shared" ca="1" si="5"/>
        <v>0</v>
      </c>
      <c r="R25" s="265"/>
      <c r="S25" s="284" t="s">
        <v>1952</v>
      </c>
      <c r="T25" s="274">
        <v>4.0999999999999996</v>
      </c>
      <c r="U25" s="274">
        <f t="shared" si="9"/>
        <v>0.5</v>
      </c>
      <c r="V25" s="274">
        <f t="shared" si="10"/>
        <v>0</v>
      </c>
      <c r="W25" s="285"/>
      <c r="X25" s="285"/>
      <c r="Y25" s="285"/>
      <c r="Z25" s="285"/>
      <c r="AA25" s="285"/>
      <c r="AB25" s="285"/>
      <c r="AC25" s="285"/>
      <c r="AD25" s="286"/>
      <c r="AE25" s="287"/>
      <c r="AF25" s="292"/>
      <c r="AG25" s="285"/>
      <c r="AH25" s="285"/>
      <c r="AI25" s="285"/>
      <c r="AJ25" s="285">
        <v>0.5</v>
      </c>
      <c r="AK25" s="285"/>
      <c r="AL25" s="285"/>
      <c r="AM25" s="293"/>
      <c r="AN25" s="292"/>
      <c r="AO25" s="285"/>
      <c r="AP25" s="285"/>
      <c r="AQ25" s="285"/>
      <c r="AR25" s="285"/>
      <c r="AS25" s="285"/>
      <c r="AT25" s="285"/>
      <c r="AU25" s="285"/>
      <c r="AV25" s="285"/>
      <c r="AW25" s="285"/>
      <c r="AX25" s="285"/>
      <c r="AY25" s="285"/>
      <c r="AZ25" s="285"/>
      <c r="BA25" s="285"/>
      <c r="BB25" s="285"/>
      <c r="BC25" s="285"/>
      <c r="BD25" s="285"/>
      <c r="BE25" s="285"/>
      <c r="BF25" s="285"/>
      <c r="BG25" s="285"/>
      <c r="BH25" s="285"/>
      <c r="BI25" s="285"/>
      <c r="BJ25" s="285"/>
      <c r="BK25" s="285"/>
      <c r="BL25" s="285"/>
      <c r="BM25" s="285"/>
      <c r="BN25" s="285"/>
      <c r="BO25" s="286"/>
      <c r="BP25" s="286"/>
      <c r="BQ25" s="286"/>
      <c r="BR25" s="286"/>
      <c r="BS25" s="286"/>
      <c r="BT25" s="286"/>
      <c r="BU25" s="286"/>
      <c r="BV25" s="285"/>
      <c r="BW25" s="285"/>
      <c r="BX25" s="285"/>
      <c r="BY25" s="285"/>
      <c r="BZ25" s="285"/>
      <c r="CA25" s="285"/>
      <c r="CB25" s="285"/>
      <c r="CC25" s="285"/>
      <c r="CD25" s="285"/>
      <c r="CE25" s="285"/>
      <c r="CF25" s="285"/>
      <c r="CG25" s="285"/>
      <c r="CH25" s="285"/>
      <c r="CI25" s="285"/>
    </row>
    <row r="26" spans="1:87" ht="16.2" hidden="1" outlineLevel="1" x14ac:dyDescent="0.25">
      <c r="A26" s="278" t="str">
        <f t="shared" si="7"/>
        <v>modesg_out_bens_imoveisunidade_funcional_scp2_emss</v>
      </c>
      <c r="B26" s="142" t="s">
        <v>26</v>
      </c>
      <c r="C26" s="138" t="s">
        <v>311</v>
      </c>
      <c r="D26" s="236" t="s">
        <v>40</v>
      </c>
      <c r="E26" s="237" t="s">
        <v>312</v>
      </c>
      <c r="F26" s="237"/>
      <c r="G26" s="236" t="s">
        <v>324</v>
      </c>
      <c r="H26" s="236" t="str">
        <f>VLOOKUP(A26,'2. Status Detalhe Campos'!$A$7:$G$574,7,0)</f>
        <v>1. Concluído</v>
      </c>
      <c r="I26" s="280" t="s">
        <v>38</v>
      </c>
      <c r="J26" s="289">
        <v>45600</v>
      </c>
      <c r="K26" s="280">
        <v>45601</v>
      </c>
      <c r="L26" s="294">
        <f t="array" ref="L26">MIN(IF(W26:CI26&gt;0,$W$16:$CI$16))</f>
        <v>45608</v>
      </c>
      <c r="M26" s="295">
        <f t="array" ref="M26">MAX(IF(W26:CI26&gt;0,$W$16:$CI$16))</f>
        <v>45608</v>
      </c>
      <c r="N26" s="295"/>
      <c r="O26" s="249">
        <f>VLOOKUP(H26,Auxiliar!$B$16:$E$24,4,0)</f>
        <v>1</v>
      </c>
      <c r="P26" s="249">
        <f t="shared" ca="1" si="8"/>
        <v>1</v>
      </c>
      <c r="Q26" s="248">
        <f t="shared" ca="1" si="5"/>
        <v>0</v>
      </c>
      <c r="R26" s="265"/>
      <c r="S26" s="284" t="s">
        <v>1952</v>
      </c>
      <c r="T26" s="274">
        <v>4.0999999999999996</v>
      </c>
      <c r="U26" s="274">
        <f t="shared" si="9"/>
        <v>0.5</v>
      </c>
      <c r="V26" s="274">
        <f t="shared" si="10"/>
        <v>0</v>
      </c>
      <c r="W26" s="285"/>
      <c r="X26" s="285"/>
      <c r="Y26" s="285"/>
      <c r="Z26" s="285"/>
      <c r="AA26" s="285"/>
      <c r="AB26" s="285"/>
      <c r="AC26" s="285"/>
      <c r="AD26" s="286"/>
      <c r="AE26" s="287"/>
      <c r="AF26" s="292"/>
      <c r="AG26" s="285"/>
      <c r="AH26" s="285"/>
      <c r="AI26" s="285"/>
      <c r="AJ26" s="285"/>
      <c r="AK26" s="285">
        <v>0.5</v>
      </c>
      <c r="AL26" s="285"/>
      <c r="AM26" s="293"/>
      <c r="AN26" s="292"/>
      <c r="AO26" s="285"/>
      <c r="AP26" s="285"/>
      <c r="AQ26" s="285"/>
      <c r="AR26" s="285"/>
      <c r="AS26" s="285"/>
      <c r="AT26" s="285"/>
      <c r="AU26" s="285"/>
      <c r="AV26" s="285"/>
      <c r="AW26" s="285"/>
      <c r="AX26" s="285"/>
      <c r="AY26" s="285"/>
      <c r="AZ26" s="285"/>
      <c r="BA26" s="285"/>
      <c r="BB26" s="285"/>
      <c r="BC26" s="285"/>
      <c r="BD26" s="285"/>
      <c r="BE26" s="285"/>
      <c r="BF26" s="285"/>
      <c r="BG26" s="285"/>
      <c r="BH26" s="285"/>
      <c r="BI26" s="285"/>
      <c r="BJ26" s="285"/>
      <c r="BK26" s="285"/>
      <c r="BL26" s="285"/>
      <c r="BM26" s="285"/>
      <c r="BN26" s="285"/>
      <c r="BO26" s="286"/>
      <c r="BP26" s="286"/>
      <c r="BQ26" s="286"/>
      <c r="BR26" s="286"/>
      <c r="BS26" s="286"/>
      <c r="BT26" s="286"/>
      <c r="BU26" s="286"/>
      <c r="BV26" s="285"/>
      <c r="BW26" s="285"/>
      <c r="BX26" s="285"/>
      <c r="BY26" s="285"/>
      <c r="BZ26" s="285"/>
      <c r="CA26" s="285"/>
      <c r="CB26" s="285"/>
      <c r="CC26" s="285"/>
      <c r="CD26" s="285"/>
      <c r="CE26" s="285"/>
      <c r="CF26" s="285"/>
      <c r="CG26" s="285"/>
      <c r="CH26" s="285"/>
      <c r="CI26" s="285"/>
    </row>
    <row r="27" spans="1:87" ht="16.2" hidden="1" outlineLevel="1" x14ac:dyDescent="0.25">
      <c r="A27" s="278" t="str">
        <f t="shared" si="7"/>
        <v>modesg_out_bens_imoveisunidade_funcional_scp3_emss</v>
      </c>
      <c r="B27" s="142" t="s">
        <v>26</v>
      </c>
      <c r="C27" s="138" t="s">
        <v>311</v>
      </c>
      <c r="D27" s="236" t="s">
        <v>40</v>
      </c>
      <c r="E27" s="237" t="s">
        <v>312</v>
      </c>
      <c r="F27" s="237"/>
      <c r="G27" s="236" t="s">
        <v>325</v>
      </c>
      <c r="H27" s="236" t="str">
        <f>VLOOKUP(A27,'2. Status Detalhe Campos'!$A$7:$G$574,7,0)</f>
        <v>1. Concluído</v>
      </c>
      <c r="I27" s="280" t="s">
        <v>38</v>
      </c>
      <c r="J27" s="289">
        <v>45600</v>
      </c>
      <c r="K27" s="280">
        <v>45601</v>
      </c>
      <c r="L27" s="294">
        <f t="array" ref="L27">MIN(IF(W27:CI27&gt;0,$W$16:$CI$16))</f>
        <v>45608</v>
      </c>
      <c r="M27" s="295">
        <f t="array" ref="M27">MAX(IF(W27:CI27&gt;0,$W$16:$CI$16))</f>
        <v>45608</v>
      </c>
      <c r="N27" s="295"/>
      <c r="O27" s="249">
        <f>VLOOKUP(H27,Auxiliar!$B$16:$E$24,4,0)</f>
        <v>1</v>
      </c>
      <c r="P27" s="249">
        <f t="shared" ca="1" si="8"/>
        <v>1</v>
      </c>
      <c r="Q27" s="248">
        <f t="shared" ca="1" si="5"/>
        <v>0</v>
      </c>
      <c r="R27" s="265"/>
      <c r="S27" s="284" t="s">
        <v>1952</v>
      </c>
      <c r="T27" s="274">
        <v>4.0999999999999996</v>
      </c>
      <c r="U27" s="274">
        <f t="shared" si="9"/>
        <v>0.5</v>
      </c>
      <c r="V27" s="274">
        <f t="shared" si="10"/>
        <v>0</v>
      </c>
      <c r="W27" s="285"/>
      <c r="X27" s="285"/>
      <c r="Y27" s="285"/>
      <c r="Z27" s="285"/>
      <c r="AA27" s="285"/>
      <c r="AB27" s="285"/>
      <c r="AC27" s="285"/>
      <c r="AD27" s="286"/>
      <c r="AE27" s="287"/>
      <c r="AF27" s="292"/>
      <c r="AG27" s="285"/>
      <c r="AH27" s="285"/>
      <c r="AI27" s="285"/>
      <c r="AJ27" s="285"/>
      <c r="AK27" s="285">
        <v>0.5</v>
      </c>
      <c r="AL27" s="285"/>
      <c r="AM27" s="293"/>
      <c r="AN27" s="292"/>
      <c r="AO27" s="285"/>
      <c r="AP27" s="285"/>
      <c r="AQ27" s="285"/>
      <c r="AR27" s="285"/>
      <c r="AS27" s="285"/>
      <c r="AT27" s="285"/>
      <c r="AU27" s="285"/>
      <c r="AV27" s="285"/>
      <c r="AW27" s="285"/>
      <c r="AX27" s="285"/>
      <c r="AY27" s="285"/>
      <c r="AZ27" s="285"/>
      <c r="BA27" s="285"/>
      <c r="BB27" s="285"/>
      <c r="BC27" s="285"/>
      <c r="BD27" s="285"/>
      <c r="BE27" s="285"/>
      <c r="BF27" s="285"/>
      <c r="BG27" s="285"/>
      <c r="BH27" s="285"/>
      <c r="BI27" s="285"/>
      <c r="BJ27" s="285"/>
      <c r="BK27" s="285"/>
      <c r="BL27" s="285"/>
      <c r="BM27" s="285"/>
      <c r="BN27" s="285"/>
      <c r="BO27" s="286"/>
      <c r="BP27" s="286"/>
      <c r="BQ27" s="286"/>
      <c r="BR27" s="286"/>
      <c r="BS27" s="286"/>
      <c r="BT27" s="286"/>
      <c r="BU27" s="286"/>
      <c r="BV27" s="285"/>
      <c r="BW27" s="285"/>
      <c r="BX27" s="285"/>
      <c r="BY27" s="285"/>
      <c r="BZ27" s="285"/>
      <c r="CA27" s="285"/>
      <c r="CB27" s="285"/>
      <c r="CC27" s="285"/>
      <c r="CD27" s="285"/>
      <c r="CE27" s="285"/>
      <c r="CF27" s="285"/>
      <c r="CG27" s="285"/>
      <c r="CH27" s="285"/>
      <c r="CI27" s="285"/>
    </row>
    <row r="28" spans="1:87" ht="15" customHeight="1" collapsed="1" x14ac:dyDescent="0.25">
      <c r="A28" s="278"/>
      <c r="B28" s="142" t="s">
        <v>26</v>
      </c>
      <c r="C28" s="138" t="s">
        <v>181</v>
      </c>
      <c r="D28" s="134"/>
      <c r="E28" s="240" t="s">
        <v>182</v>
      </c>
      <c r="F28" s="240" t="s">
        <v>1979</v>
      </c>
      <c r="G28" s="241">
        <f>COUNTA(G29:G43)</f>
        <v>15</v>
      </c>
      <c r="H28" s="299" t="s">
        <v>2017</v>
      </c>
      <c r="I28" s="280" t="s">
        <v>38</v>
      </c>
      <c r="J28" s="281">
        <f>MIN(J29:J43)</f>
        <v>45603</v>
      </c>
      <c r="K28" s="281">
        <f>MIN(K29:K43)</f>
        <v>45604</v>
      </c>
      <c r="L28" s="281">
        <f>MIN(L29:L43)</f>
        <v>45609</v>
      </c>
      <c r="M28" s="281">
        <f>MIN(M29:M43)</f>
        <v>45609</v>
      </c>
      <c r="N28" s="332">
        <f t="array" ref="N28">MAX(IF(W28:CI28&gt;0,$W$16:$CI$16))</f>
        <v>45611</v>
      </c>
      <c r="O28" s="330">
        <f>SUMPRODUCT(O29:O43,U29:U43)/SUM(U29:U43)</f>
        <v>1</v>
      </c>
      <c r="P28" s="330">
        <f ca="1">SUMPRODUCT(P29:P43,U29:U43)/SUM(U29:U43)</f>
        <v>1</v>
      </c>
      <c r="Q28" s="248">
        <f t="shared" ca="1" si="5"/>
        <v>0</v>
      </c>
      <c r="R28" s="266" t="s">
        <v>38</v>
      </c>
      <c r="S28" s="284"/>
      <c r="T28" s="274"/>
      <c r="U28" s="274"/>
      <c r="V28" s="274"/>
      <c r="W28" s="285"/>
      <c r="X28" s="285"/>
      <c r="Y28" s="285"/>
      <c r="Z28" s="285"/>
      <c r="AA28" s="285"/>
      <c r="AB28" s="285"/>
      <c r="AC28" s="285"/>
      <c r="AD28" s="286"/>
      <c r="AE28" s="285"/>
      <c r="AF28" s="285"/>
      <c r="AG28" s="285"/>
      <c r="AH28" s="287"/>
      <c r="AI28" s="292"/>
      <c r="AJ28" s="285"/>
      <c r="AK28" s="285"/>
      <c r="AL28" s="285"/>
      <c r="AM28" s="285"/>
      <c r="AN28" s="285" t="s">
        <v>444</v>
      </c>
      <c r="AO28" s="285"/>
      <c r="AP28" s="285"/>
      <c r="AQ28" s="285"/>
      <c r="AR28" s="285"/>
      <c r="AS28" s="285"/>
      <c r="AT28" s="285"/>
      <c r="AU28" s="285"/>
      <c r="AV28" s="285"/>
      <c r="AW28" s="285"/>
      <c r="AX28" s="285"/>
      <c r="AY28" s="285"/>
      <c r="AZ28" s="285"/>
      <c r="BA28" s="285"/>
      <c r="BB28" s="285"/>
      <c r="BC28" s="285"/>
      <c r="BD28" s="285"/>
      <c r="BE28" s="285"/>
      <c r="BF28" s="285"/>
      <c r="BG28" s="285"/>
      <c r="BH28" s="285"/>
      <c r="BI28" s="285"/>
      <c r="BJ28" s="285"/>
      <c r="BK28" s="285"/>
      <c r="BL28" s="285"/>
      <c r="BM28" s="285"/>
      <c r="BN28" s="285"/>
      <c r="BO28" s="286"/>
      <c r="BP28" s="286"/>
      <c r="BQ28" s="286"/>
      <c r="BR28" s="286"/>
      <c r="BS28" s="286"/>
      <c r="BT28" s="286"/>
      <c r="BU28" s="286"/>
      <c r="BV28" s="285"/>
      <c r="BW28" s="285"/>
      <c r="BX28" s="285"/>
      <c r="BY28" s="285"/>
      <c r="BZ28" s="285"/>
      <c r="CA28" s="285"/>
      <c r="CB28" s="285"/>
      <c r="CC28" s="285"/>
      <c r="CD28" s="285"/>
      <c r="CE28" s="285"/>
      <c r="CF28" s="285"/>
      <c r="CG28" s="285"/>
      <c r="CH28" s="285"/>
      <c r="CI28" s="285"/>
    </row>
    <row r="29" spans="1:87" ht="16.2" hidden="1" outlineLevel="1" x14ac:dyDescent="0.25">
      <c r="A29" s="278" t="str">
        <f t="shared" ref="A29:A43" si="11">E29&amp;G29</f>
        <v>modesg_param_sfcs_taxon_europeiacod_regra</v>
      </c>
      <c r="B29" s="142" t="s">
        <v>26</v>
      </c>
      <c r="C29" s="138" t="s">
        <v>181</v>
      </c>
      <c r="D29" s="236" t="s">
        <v>40</v>
      </c>
      <c r="E29" s="237" t="s">
        <v>182</v>
      </c>
      <c r="F29" s="237"/>
      <c r="G29" s="236" t="s">
        <v>191</v>
      </c>
      <c r="H29" s="236" t="str">
        <f>VLOOKUP(A29,'2. Status Detalhe Campos'!$A$7:$G$574,7,0)</f>
        <v>1. Concluído</v>
      </c>
      <c r="I29" s="280" t="s">
        <v>38</v>
      </c>
      <c r="J29" s="289">
        <v>45603</v>
      </c>
      <c r="K29" s="280">
        <v>45604</v>
      </c>
      <c r="L29" s="294">
        <f t="array" ref="L29">MIN(IF(W29:CI29&gt;0,$W$16:$CI$16))</f>
        <v>45609</v>
      </c>
      <c r="M29" s="295">
        <f t="array" ref="M29">MAX(IF(W29:CI29&gt;0,$W$16:$CI$16))</f>
        <v>45609</v>
      </c>
      <c r="N29" s="295"/>
      <c r="O29" s="249">
        <f>VLOOKUP(H29,Auxiliar!$B$16:$E$24,4,0)</f>
        <v>1</v>
      </c>
      <c r="P29" s="249">
        <f t="shared" ref="P29:P43" ca="1" si="12">IF(TODAY()&lt;=L29,0,MIN((TODAY()-L29)/(M29-L29+1),100%))</f>
        <v>1</v>
      </c>
      <c r="Q29" s="248">
        <f t="shared" ca="1" si="5"/>
        <v>0</v>
      </c>
      <c r="R29" s="266" t="s">
        <v>38</v>
      </c>
      <c r="S29" s="284"/>
      <c r="T29" s="274">
        <v>0.6</v>
      </c>
      <c r="U29" s="274">
        <f t="shared" ref="U29:U43" si="13">ROUND(T29/8,1)</f>
        <v>0.1</v>
      </c>
      <c r="V29" s="274">
        <f t="shared" ref="V29:V43" si="14">SUM(W29:CI29)-U29</f>
        <v>0</v>
      </c>
      <c r="W29" s="285"/>
      <c r="X29" s="285"/>
      <c r="Y29" s="285"/>
      <c r="Z29" s="285"/>
      <c r="AA29" s="285"/>
      <c r="AB29" s="285"/>
      <c r="AC29" s="285"/>
      <c r="AD29" s="286"/>
      <c r="AE29" s="285"/>
      <c r="AF29" s="285"/>
      <c r="AG29" s="285"/>
      <c r="AH29" s="287"/>
      <c r="AI29" s="292"/>
      <c r="AJ29" s="285"/>
      <c r="AK29" s="285"/>
      <c r="AL29" s="285">
        <v>0.1</v>
      </c>
      <c r="AM29" s="285"/>
      <c r="AN29" s="285"/>
      <c r="AO29" s="285"/>
      <c r="AP29" s="285"/>
      <c r="AQ29" s="285"/>
      <c r="AR29" s="285"/>
      <c r="AS29" s="285"/>
      <c r="AT29" s="285"/>
      <c r="AU29" s="285"/>
      <c r="AV29" s="285"/>
      <c r="AW29" s="285"/>
      <c r="AX29" s="285"/>
      <c r="AY29" s="285"/>
      <c r="AZ29" s="285"/>
      <c r="BA29" s="285"/>
      <c r="BB29" s="285"/>
      <c r="BC29" s="285"/>
      <c r="BD29" s="285"/>
      <c r="BE29" s="285"/>
      <c r="BF29" s="285"/>
      <c r="BG29" s="285"/>
      <c r="BH29" s="285"/>
      <c r="BI29" s="285"/>
      <c r="BJ29" s="285"/>
      <c r="BK29" s="285"/>
      <c r="BL29" s="285"/>
      <c r="BM29" s="285"/>
      <c r="BN29" s="285"/>
      <c r="BO29" s="286"/>
      <c r="BP29" s="286"/>
      <c r="BQ29" s="286"/>
      <c r="BR29" s="286"/>
      <c r="BS29" s="286"/>
      <c r="BT29" s="286"/>
      <c r="BU29" s="286"/>
      <c r="BV29" s="285"/>
      <c r="BW29" s="285"/>
      <c r="BX29" s="285"/>
      <c r="BY29" s="285"/>
      <c r="BZ29" s="285"/>
      <c r="CA29" s="285"/>
      <c r="CB29" s="285"/>
      <c r="CC29" s="285"/>
      <c r="CD29" s="285"/>
      <c r="CE29" s="285"/>
      <c r="CF29" s="285"/>
      <c r="CG29" s="285"/>
      <c r="CH29" s="285"/>
      <c r="CI29" s="285"/>
    </row>
    <row r="30" spans="1:87" ht="16.2" hidden="1" outlineLevel="1" x14ac:dyDescent="0.25">
      <c r="A30" s="278" t="str">
        <f t="shared" si="11"/>
        <v>modesg_param_sfcs_taxon_europeiacomite</v>
      </c>
      <c r="B30" s="142" t="s">
        <v>26</v>
      </c>
      <c r="C30" s="138" t="s">
        <v>181</v>
      </c>
      <c r="D30" s="236" t="s">
        <v>40</v>
      </c>
      <c r="E30" s="237" t="s">
        <v>182</v>
      </c>
      <c r="F30" s="237"/>
      <c r="G30" s="236" t="s">
        <v>192</v>
      </c>
      <c r="H30" s="236" t="str">
        <f>VLOOKUP(A30,'2. Status Detalhe Campos'!$A$7:$G$574,7,0)</f>
        <v>1. Concluído</v>
      </c>
      <c r="I30" s="280" t="s">
        <v>38</v>
      </c>
      <c r="J30" s="289">
        <v>45603</v>
      </c>
      <c r="K30" s="280">
        <v>45604</v>
      </c>
      <c r="L30" s="294">
        <f t="array" ref="L30">MIN(IF(W30:CI30&gt;0,$W$16:$CI$16))</f>
        <v>45609</v>
      </c>
      <c r="M30" s="295">
        <f t="array" ref="M30">MAX(IF(W30:CI30&gt;0,$W$16:$CI$16))</f>
        <v>45609</v>
      </c>
      <c r="N30" s="295"/>
      <c r="O30" s="249">
        <f>VLOOKUP(H30,Auxiliar!$B$16:$E$24,4,0)</f>
        <v>1</v>
      </c>
      <c r="P30" s="249">
        <f t="shared" ca="1" si="12"/>
        <v>1</v>
      </c>
      <c r="Q30" s="248">
        <f t="shared" ca="1" si="5"/>
        <v>0</v>
      </c>
      <c r="R30" s="266" t="s">
        <v>38</v>
      </c>
      <c r="S30" s="284"/>
      <c r="T30" s="274">
        <v>0.6</v>
      </c>
      <c r="U30" s="274">
        <f t="shared" si="13"/>
        <v>0.1</v>
      </c>
      <c r="V30" s="274">
        <f t="shared" si="14"/>
        <v>0</v>
      </c>
      <c r="W30" s="285"/>
      <c r="X30" s="285"/>
      <c r="Y30" s="285"/>
      <c r="Z30" s="285"/>
      <c r="AA30" s="285"/>
      <c r="AB30" s="285"/>
      <c r="AC30" s="285"/>
      <c r="AD30" s="286"/>
      <c r="AE30" s="285"/>
      <c r="AF30" s="285"/>
      <c r="AG30" s="285"/>
      <c r="AH30" s="287"/>
      <c r="AI30" s="292"/>
      <c r="AJ30" s="285"/>
      <c r="AK30" s="285"/>
      <c r="AL30" s="285">
        <v>0.1</v>
      </c>
      <c r="AM30" s="285"/>
      <c r="AN30" s="285"/>
      <c r="AO30" s="285"/>
      <c r="AP30" s="285"/>
      <c r="AQ30" s="285"/>
      <c r="AR30" s="285"/>
      <c r="AS30" s="285"/>
      <c r="AT30" s="285"/>
      <c r="AU30" s="285"/>
      <c r="AV30" s="285"/>
      <c r="AW30" s="285"/>
      <c r="AX30" s="285"/>
      <c r="AY30" s="285"/>
      <c r="AZ30" s="285"/>
      <c r="BA30" s="285"/>
      <c r="BB30" s="285"/>
      <c r="BC30" s="285"/>
      <c r="BD30" s="285"/>
      <c r="BE30" s="285"/>
      <c r="BF30" s="285"/>
      <c r="BG30" s="285"/>
      <c r="BH30" s="285"/>
      <c r="BI30" s="285"/>
      <c r="BJ30" s="285"/>
      <c r="BK30" s="285"/>
      <c r="BL30" s="285"/>
      <c r="BM30" s="285"/>
      <c r="BN30" s="285"/>
      <c r="BO30" s="286"/>
      <c r="BP30" s="286"/>
      <c r="BQ30" s="286"/>
      <c r="BR30" s="286"/>
      <c r="BS30" s="286"/>
      <c r="BT30" s="286"/>
      <c r="BU30" s="286"/>
      <c r="BV30" s="285"/>
      <c r="BW30" s="285"/>
      <c r="BX30" s="285"/>
      <c r="BY30" s="285"/>
      <c r="BZ30" s="285"/>
      <c r="CA30" s="285"/>
      <c r="CB30" s="285"/>
      <c r="CC30" s="285"/>
      <c r="CD30" s="285"/>
      <c r="CE30" s="285"/>
      <c r="CF30" s="285"/>
      <c r="CG30" s="285"/>
      <c r="CH30" s="285"/>
      <c r="CI30" s="285"/>
    </row>
    <row r="31" spans="1:87" ht="16.2" hidden="1" outlineLevel="1" x14ac:dyDescent="0.25">
      <c r="A31" s="278" t="str">
        <f t="shared" si="11"/>
        <v>modesg_param_sfcs_taxon_europeiadata_aprvc</v>
      </c>
      <c r="B31" s="142" t="s">
        <v>26</v>
      </c>
      <c r="C31" s="138" t="s">
        <v>181</v>
      </c>
      <c r="D31" s="236" t="s">
        <v>40</v>
      </c>
      <c r="E31" s="237" t="s">
        <v>182</v>
      </c>
      <c r="F31" s="237"/>
      <c r="G31" s="236" t="s">
        <v>193</v>
      </c>
      <c r="H31" s="236" t="str">
        <f>VLOOKUP(A31,'2. Status Detalhe Campos'!$A$7:$G$574,7,0)</f>
        <v>1. Concluído</v>
      </c>
      <c r="I31" s="280" t="s">
        <v>38</v>
      </c>
      <c r="J31" s="289">
        <v>45603</v>
      </c>
      <c r="K31" s="280">
        <v>45604</v>
      </c>
      <c r="L31" s="294">
        <f t="array" ref="L31">MIN(IF(W31:CI31&gt;0,$W$16:$CI$16))</f>
        <v>45609</v>
      </c>
      <c r="M31" s="295">
        <f t="array" ref="M31">MAX(IF(W31:CI31&gt;0,$W$16:$CI$16))</f>
        <v>45609</v>
      </c>
      <c r="N31" s="295"/>
      <c r="O31" s="249">
        <f>VLOOKUP(H31,Auxiliar!$B$16:$E$24,4,0)</f>
        <v>1</v>
      </c>
      <c r="P31" s="249">
        <f t="shared" ca="1" si="12"/>
        <v>1</v>
      </c>
      <c r="Q31" s="248">
        <f t="shared" ca="1" si="5"/>
        <v>0</v>
      </c>
      <c r="R31" s="266" t="s">
        <v>38</v>
      </c>
      <c r="S31" s="284"/>
      <c r="T31" s="274">
        <v>0.6</v>
      </c>
      <c r="U31" s="274">
        <f t="shared" si="13"/>
        <v>0.1</v>
      </c>
      <c r="V31" s="274">
        <f t="shared" si="14"/>
        <v>0</v>
      </c>
      <c r="W31" s="285"/>
      <c r="X31" s="285"/>
      <c r="Y31" s="285"/>
      <c r="Z31" s="285"/>
      <c r="AA31" s="285"/>
      <c r="AB31" s="285"/>
      <c r="AC31" s="285"/>
      <c r="AD31" s="286"/>
      <c r="AE31" s="285"/>
      <c r="AF31" s="285"/>
      <c r="AG31" s="285"/>
      <c r="AH31" s="287"/>
      <c r="AI31" s="292"/>
      <c r="AJ31" s="285"/>
      <c r="AK31" s="285"/>
      <c r="AL31" s="285">
        <v>0.1</v>
      </c>
      <c r="AM31" s="285"/>
      <c r="AN31" s="285"/>
      <c r="AO31" s="285"/>
      <c r="AP31" s="285"/>
      <c r="AQ31" s="285"/>
      <c r="AR31" s="285"/>
      <c r="AS31" s="285"/>
      <c r="AT31" s="285"/>
      <c r="AU31" s="285"/>
      <c r="AV31" s="285"/>
      <c r="AW31" s="285"/>
      <c r="AX31" s="285"/>
      <c r="AY31" s="285"/>
      <c r="AZ31" s="285"/>
      <c r="BA31" s="285"/>
      <c r="BB31" s="285"/>
      <c r="BC31" s="285"/>
      <c r="BD31" s="285"/>
      <c r="BE31" s="285"/>
      <c r="BF31" s="285"/>
      <c r="BG31" s="285"/>
      <c r="BH31" s="285"/>
      <c r="BI31" s="285"/>
      <c r="BJ31" s="285"/>
      <c r="BK31" s="285"/>
      <c r="BL31" s="285"/>
      <c r="BM31" s="285"/>
      <c r="BN31" s="285"/>
      <c r="BO31" s="286"/>
      <c r="BP31" s="286"/>
      <c r="BQ31" s="286"/>
      <c r="BR31" s="286"/>
      <c r="BS31" s="286"/>
      <c r="BT31" s="286"/>
      <c r="BU31" s="286"/>
      <c r="BV31" s="285"/>
      <c r="BW31" s="285"/>
      <c r="BX31" s="285"/>
      <c r="BY31" s="285"/>
      <c r="BZ31" s="285"/>
      <c r="CA31" s="285"/>
      <c r="CB31" s="285"/>
      <c r="CC31" s="285"/>
      <c r="CD31" s="285"/>
      <c r="CE31" s="285"/>
      <c r="CF31" s="285"/>
      <c r="CG31" s="285"/>
      <c r="CH31" s="285"/>
      <c r="CI31" s="285"/>
    </row>
    <row r="32" spans="1:87" ht="16.2" hidden="1" outlineLevel="1" x14ac:dyDescent="0.25">
      <c r="A32" s="278" t="str">
        <f t="shared" si="11"/>
        <v>modesg_param_sfcs_taxon_europeiadata_final</v>
      </c>
      <c r="B32" s="142" t="s">
        <v>26</v>
      </c>
      <c r="C32" s="138" t="s">
        <v>181</v>
      </c>
      <c r="D32" s="236" t="s">
        <v>40</v>
      </c>
      <c r="E32" s="237" t="s">
        <v>182</v>
      </c>
      <c r="F32" s="237"/>
      <c r="G32" s="236" t="s">
        <v>194</v>
      </c>
      <c r="H32" s="236" t="str">
        <f>VLOOKUP(A32,'2. Status Detalhe Campos'!$A$7:$G$574,7,0)</f>
        <v>1. Concluído</v>
      </c>
      <c r="I32" s="280" t="s">
        <v>38</v>
      </c>
      <c r="J32" s="289">
        <v>45603</v>
      </c>
      <c r="K32" s="280">
        <v>45604</v>
      </c>
      <c r="L32" s="294">
        <f t="array" ref="L32">MIN(IF(W32:CI32&gt;0,$W$16:$CI$16))</f>
        <v>45609</v>
      </c>
      <c r="M32" s="295">
        <f t="array" ref="M32">MAX(IF(W32:CI32&gt;0,$W$16:$CI$16))</f>
        <v>45609</v>
      </c>
      <c r="N32" s="295"/>
      <c r="O32" s="249">
        <f>VLOOKUP(H32,Auxiliar!$B$16:$E$24,4,0)</f>
        <v>1</v>
      </c>
      <c r="P32" s="249">
        <f t="shared" ca="1" si="12"/>
        <v>1</v>
      </c>
      <c r="Q32" s="248">
        <f t="shared" ca="1" si="5"/>
        <v>0</v>
      </c>
      <c r="R32" s="266" t="s">
        <v>38</v>
      </c>
      <c r="S32" s="284"/>
      <c r="T32" s="274">
        <v>0.6</v>
      </c>
      <c r="U32" s="274">
        <f t="shared" si="13"/>
        <v>0.1</v>
      </c>
      <c r="V32" s="274">
        <f t="shared" si="14"/>
        <v>0</v>
      </c>
      <c r="W32" s="285"/>
      <c r="X32" s="285"/>
      <c r="Y32" s="285"/>
      <c r="Z32" s="285"/>
      <c r="AA32" s="285"/>
      <c r="AB32" s="285"/>
      <c r="AC32" s="285"/>
      <c r="AD32" s="286"/>
      <c r="AE32" s="285"/>
      <c r="AF32" s="285"/>
      <c r="AG32" s="285"/>
      <c r="AH32" s="287"/>
      <c r="AI32" s="292"/>
      <c r="AJ32" s="285"/>
      <c r="AK32" s="285"/>
      <c r="AL32" s="285">
        <v>0.1</v>
      </c>
      <c r="AM32" s="285"/>
      <c r="AN32" s="285"/>
      <c r="AO32" s="285"/>
      <c r="AP32" s="285"/>
      <c r="AQ32" s="285"/>
      <c r="AR32" s="285"/>
      <c r="AS32" s="285"/>
      <c r="AT32" s="285"/>
      <c r="AU32" s="285"/>
      <c r="AV32" s="285"/>
      <c r="AW32" s="285"/>
      <c r="AX32" s="285"/>
      <c r="AY32" s="285"/>
      <c r="AZ32" s="285"/>
      <c r="BA32" s="285"/>
      <c r="BB32" s="285"/>
      <c r="BC32" s="285"/>
      <c r="BD32" s="285"/>
      <c r="BE32" s="285"/>
      <c r="BF32" s="285"/>
      <c r="BG32" s="285"/>
      <c r="BH32" s="285"/>
      <c r="BI32" s="285"/>
      <c r="BJ32" s="285"/>
      <c r="BK32" s="285"/>
      <c r="BL32" s="285"/>
      <c r="BM32" s="285"/>
      <c r="BN32" s="285"/>
      <c r="BO32" s="286"/>
      <c r="BP32" s="286"/>
      <c r="BQ32" s="286"/>
      <c r="BR32" s="286"/>
      <c r="BS32" s="286"/>
      <c r="BT32" s="286"/>
      <c r="BU32" s="286"/>
      <c r="BV32" s="285"/>
      <c r="BW32" s="285"/>
      <c r="BX32" s="285"/>
      <c r="BY32" s="285"/>
      <c r="BZ32" s="285"/>
      <c r="CA32" s="285"/>
      <c r="CB32" s="285"/>
      <c r="CC32" s="285"/>
      <c r="CD32" s="285"/>
      <c r="CE32" s="285"/>
      <c r="CF32" s="285"/>
      <c r="CG32" s="285"/>
      <c r="CH32" s="285"/>
      <c r="CI32" s="285"/>
    </row>
    <row r="33" spans="1:87" ht="16.2" hidden="1" outlineLevel="1" x14ac:dyDescent="0.25">
      <c r="A33" s="278" t="str">
        <f t="shared" si="11"/>
        <v>modesg_param_sfcs_taxon_europeiadata_inicial</v>
      </c>
      <c r="B33" s="142" t="s">
        <v>26</v>
      </c>
      <c r="C33" s="138" t="s">
        <v>181</v>
      </c>
      <c r="D33" s="236" t="s">
        <v>40</v>
      </c>
      <c r="E33" s="237" t="s">
        <v>182</v>
      </c>
      <c r="F33" s="237"/>
      <c r="G33" s="236" t="s">
        <v>195</v>
      </c>
      <c r="H33" s="236" t="str">
        <f>VLOOKUP(A33,'2. Status Detalhe Campos'!$A$7:$G$574,7,0)</f>
        <v>1. Concluído</v>
      </c>
      <c r="I33" s="280" t="s">
        <v>38</v>
      </c>
      <c r="J33" s="289">
        <v>45603</v>
      </c>
      <c r="K33" s="280">
        <v>45604</v>
      </c>
      <c r="L33" s="294">
        <f t="array" ref="L33">MIN(IF(W33:CI33&gt;0,$W$16:$CI$16))</f>
        <v>45609</v>
      </c>
      <c r="M33" s="295">
        <f t="array" ref="M33">MAX(IF(W33:CI33&gt;0,$W$16:$CI$16))</f>
        <v>45609</v>
      </c>
      <c r="N33" s="295"/>
      <c r="O33" s="249">
        <f>VLOOKUP(H33,Auxiliar!$B$16:$E$24,4,0)</f>
        <v>1</v>
      </c>
      <c r="P33" s="249">
        <f t="shared" ca="1" si="12"/>
        <v>1</v>
      </c>
      <c r="Q33" s="248">
        <f t="shared" ca="1" si="5"/>
        <v>0</v>
      </c>
      <c r="R33" s="266" t="s">
        <v>38</v>
      </c>
      <c r="S33" s="284"/>
      <c r="T33" s="274">
        <v>0.6</v>
      </c>
      <c r="U33" s="274">
        <f t="shared" si="13"/>
        <v>0.1</v>
      </c>
      <c r="V33" s="274">
        <f t="shared" si="14"/>
        <v>0</v>
      </c>
      <c r="W33" s="285"/>
      <c r="X33" s="285"/>
      <c r="Y33" s="285"/>
      <c r="Z33" s="285"/>
      <c r="AA33" s="285"/>
      <c r="AB33" s="285"/>
      <c r="AC33" s="285"/>
      <c r="AD33" s="286"/>
      <c r="AE33" s="285"/>
      <c r="AF33" s="285"/>
      <c r="AG33" s="285"/>
      <c r="AH33" s="287"/>
      <c r="AI33" s="292"/>
      <c r="AJ33" s="285"/>
      <c r="AK33" s="285"/>
      <c r="AL33" s="285">
        <v>0.1</v>
      </c>
      <c r="AM33" s="285"/>
      <c r="AN33" s="285"/>
      <c r="AO33" s="285"/>
      <c r="AP33" s="285"/>
      <c r="AQ33" s="285"/>
      <c r="AR33" s="285"/>
      <c r="AS33" s="285"/>
      <c r="AT33" s="285"/>
      <c r="AU33" s="285"/>
      <c r="AV33" s="285"/>
      <c r="AW33" s="285"/>
      <c r="AX33" s="285"/>
      <c r="AY33" s="285"/>
      <c r="AZ33" s="285"/>
      <c r="BA33" s="285"/>
      <c r="BB33" s="285"/>
      <c r="BC33" s="285"/>
      <c r="BD33" s="285"/>
      <c r="BE33" s="285"/>
      <c r="BF33" s="285"/>
      <c r="BG33" s="285"/>
      <c r="BH33" s="285"/>
      <c r="BI33" s="285"/>
      <c r="BJ33" s="285"/>
      <c r="BK33" s="285"/>
      <c r="BL33" s="285"/>
      <c r="BM33" s="285"/>
      <c r="BN33" s="285"/>
      <c r="BO33" s="286"/>
      <c r="BP33" s="286"/>
      <c r="BQ33" s="286"/>
      <c r="BR33" s="286"/>
      <c r="BS33" s="286"/>
      <c r="BT33" s="286"/>
      <c r="BU33" s="286"/>
      <c r="BV33" s="285"/>
      <c r="BW33" s="285"/>
      <c r="BX33" s="285"/>
      <c r="BY33" s="285"/>
      <c r="BZ33" s="285"/>
      <c r="CA33" s="285"/>
      <c r="CB33" s="285"/>
      <c r="CC33" s="285"/>
      <c r="CD33" s="285"/>
      <c r="CE33" s="285"/>
      <c r="CF33" s="285"/>
      <c r="CG33" s="285"/>
      <c r="CH33" s="285"/>
      <c r="CI33" s="285"/>
    </row>
    <row r="34" spans="1:87" ht="16.2" hidden="1" outlineLevel="1" x14ac:dyDescent="0.25">
      <c r="A34" s="278" t="str">
        <f t="shared" si="11"/>
        <v>modesg_param_sfcs_taxon_europeiaflag_project_finance</v>
      </c>
      <c r="B34" s="142" t="s">
        <v>26</v>
      </c>
      <c r="C34" s="138" t="s">
        <v>181</v>
      </c>
      <c r="D34" s="236" t="s">
        <v>40</v>
      </c>
      <c r="E34" s="237" t="s">
        <v>182</v>
      </c>
      <c r="F34" s="237"/>
      <c r="G34" s="236" t="s">
        <v>199</v>
      </c>
      <c r="H34" s="236" t="str">
        <f>VLOOKUP(A34,'2. Status Detalhe Campos'!$A$7:$G$574,7,0)</f>
        <v>1. Concluído</v>
      </c>
      <c r="I34" s="280" t="s">
        <v>38</v>
      </c>
      <c r="J34" s="289">
        <v>45603</v>
      </c>
      <c r="K34" s="280">
        <v>45604</v>
      </c>
      <c r="L34" s="294">
        <f t="array" ref="L34">MIN(IF(W34:CI34&gt;0,$W$16:$CI$16))</f>
        <v>45609</v>
      </c>
      <c r="M34" s="295">
        <f t="array" ref="M34">MAX(IF(W34:CI34&gt;0,$W$16:$CI$16))</f>
        <v>45609</v>
      </c>
      <c r="N34" s="295"/>
      <c r="O34" s="249">
        <f>VLOOKUP(H34,Auxiliar!$B$16:$E$24,4,0)</f>
        <v>1</v>
      </c>
      <c r="P34" s="249">
        <f t="shared" ca="1" si="12"/>
        <v>1</v>
      </c>
      <c r="Q34" s="248">
        <f t="shared" ca="1" si="5"/>
        <v>0</v>
      </c>
      <c r="R34" s="266" t="s">
        <v>38</v>
      </c>
      <c r="S34" s="284"/>
      <c r="T34" s="274">
        <v>0.6</v>
      </c>
      <c r="U34" s="274">
        <f t="shared" si="13"/>
        <v>0.1</v>
      </c>
      <c r="V34" s="274">
        <f t="shared" si="14"/>
        <v>0</v>
      </c>
      <c r="W34" s="285"/>
      <c r="X34" s="285"/>
      <c r="Y34" s="285"/>
      <c r="Z34" s="285"/>
      <c r="AA34" s="285"/>
      <c r="AB34" s="285"/>
      <c r="AC34" s="285"/>
      <c r="AD34" s="286"/>
      <c r="AE34" s="285"/>
      <c r="AF34" s="285"/>
      <c r="AG34" s="285"/>
      <c r="AH34" s="287"/>
      <c r="AI34" s="292"/>
      <c r="AJ34" s="285"/>
      <c r="AK34" s="285"/>
      <c r="AL34" s="285">
        <v>0.1</v>
      </c>
      <c r="AM34" s="285"/>
      <c r="AN34" s="285"/>
      <c r="AO34" s="285"/>
      <c r="AP34" s="285"/>
      <c r="AQ34" s="285"/>
      <c r="AR34" s="285"/>
      <c r="AS34" s="285"/>
      <c r="AT34" s="285"/>
      <c r="AU34" s="285"/>
      <c r="AV34" s="285"/>
      <c r="AW34" s="285"/>
      <c r="AX34" s="285"/>
      <c r="AY34" s="285"/>
      <c r="AZ34" s="285"/>
      <c r="BA34" s="285"/>
      <c r="BB34" s="285"/>
      <c r="BC34" s="285"/>
      <c r="BD34" s="285"/>
      <c r="BE34" s="285"/>
      <c r="BF34" s="285"/>
      <c r="BG34" s="285"/>
      <c r="BH34" s="285"/>
      <c r="BI34" s="285"/>
      <c r="BJ34" s="285"/>
      <c r="BK34" s="285"/>
      <c r="BL34" s="285"/>
      <c r="BM34" s="285"/>
      <c r="BN34" s="285"/>
      <c r="BO34" s="286"/>
      <c r="BP34" s="286"/>
      <c r="BQ34" s="286"/>
      <c r="BR34" s="286"/>
      <c r="BS34" s="286"/>
      <c r="BT34" s="286"/>
      <c r="BU34" s="286"/>
      <c r="BV34" s="285"/>
      <c r="BW34" s="285"/>
      <c r="BX34" s="285"/>
      <c r="BY34" s="285"/>
      <c r="BZ34" s="285"/>
      <c r="CA34" s="285"/>
      <c r="CB34" s="285"/>
      <c r="CC34" s="285"/>
      <c r="CD34" s="285"/>
      <c r="CE34" s="285"/>
      <c r="CF34" s="285"/>
      <c r="CG34" s="285"/>
      <c r="CH34" s="285"/>
      <c r="CI34" s="285"/>
    </row>
    <row r="35" spans="1:87" ht="16.2" hidden="1" outlineLevel="1" x14ac:dyDescent="0.25">
      <c r="A35" s="278" t="str">
        <f t="shared" si="11"/>
        <v>modesg_param_sfcs_taxon_europeiacfinalidad</v>
      </c>
      <c r="B35" s="142" t="s">
        <v>26</v>
      </c>
      <c r="C35" s="138" t="s">
        <v>181</v>
      </c>
      <c r="D35" s="236" t="s">
        <v>40</v>
      </c>
      <c r="E35" s="237" t="s">
        <v>182</v>
      </c>
      <c r="F35" s="237"/>
      <c r="G35" s="236" t="s">
        <v>200</v>
      </c>
      <c r="H35" s="236" t="str">
        <f>VLOOKUP(A35,'2. Status Detalhe Campos'!$A$7:$G$574,7,0)</f>
        <v>1. Concluído</v>
      </c>
      <c r="I35" s="280" t="s">
        <v>38</v>
      </c>
      <c r="J35" s="289">
        <v>45603</v>
      </c>
      <c r="K35" s="280">
        <v>45604</v>
      </c>
      <c r="L35" s="294">
        <f t="array" ref="L35">MIN(IF(W35:CI35&gt;0,$W$16:$CI$16))</f>
        <v>45609</v>
      </c>
      <c r="M35" s="295">
        <f t="array" ref="M35">MAX(IF(W35:CI35&gt;0,$W$16:$CI$16))</f>
        <v>45609</v>
      </c>
      <c r="N35" s="295"/>
      <c r="O35" s="249">
        <f>VLOOKUP(H35,Auxiliar!$B$16:$E$24,4,0)</f>
        <v>1</v>
      </c>
      <c r="P35" s="249">
        <f t="shared" ca="1" si="12"/>
        <v>1</v>
      </c>
      <c r="Q35" s="248">
        <f t="shared" ca="1" si="5"/>
        <v>0</v>
      </c>
      <c r="R35" s="266" t="s">
        <v>38</v>
      </c>
      <c r="S35" s="284"/>
      <c r="T35" s="274">
        <v>0.6</v>
      </c>
      <c r="U35" s="274">
        <f t="shared" si="13"/>
        <v>0.1</v>
      </c>
      <c r="V35" s="274">
        <f t="shared" si="14"/>
        <v>0</v>
      </c>
      <c r="W35" s="285"/>
      <c r="X35" s="285"/>
      <c r="Y35" s="285"/>
      <c r="Z35" s="285"/>
      <c r="AA35" s="285"/>
      <c r="AB35" s="285"/>
      <c r="AC35" s="285"/>
      <c r="AD35" s="286"/>
      <c r="AE35" s="285"/>
      <c r="AF35" s="285"/>
      <c r="AG35" s="285"/>
      <c r="AH35" s="287"/>
      <c r="AI35" s="292"/>
      <c r="AJ35" s="285"/>
      <c r="AK35" s="285"/>
      <c r="AL35" s="285">
        <v>0.1</v>
      </c>
      <c r="AM35" s="285"/>
      <c r="AN35" s="285"/>
      <c r="AO35" s="285"/>
      <c r="AP35" s="285"/>
      <c r="AQ35" s="285"/>
      <c r="AR35" s="285"/>
      <c r="AS35" s="285"/>
      <c r="AT35" s="285"/>
      <c r="AU35" s="285"/>
      <c r="AV35" s="285"/>
      <c r="AW35" s="285"/>
      <c r="AX35" s="285"/>
      <c r="AY35" s="285"/>
      <c r="AZ35" s="285"/>
      <c r="BA35" s="285"/>
      <c r="BB35" s="285"/>
      <c r="BC35" s="285"/>
      <c r="BD35" s="285"/>
      <c r="BE35" s="285"/>
      <c r="BF35" s="285"/>
      <c r="BG35" s="285"/>
      <c r="BH35" s="285"/>
      <c r="BI35" s="285"/>
      <c r="BJ35" s="285"/>
      <c r="BK35" s="285"/>
      <c r="BL35" s="285"/>
      <c r="BM35" s="285"/>
      <c r="BN35" s="285"/>
      <c r="BO35" s="286"/>
      <c r="BP35" s="286"/>
      <c r="BQ35" s="286"/>
      <c r="BR35" s="286"/>
      <c r="BS35" s="286"/>
      <c r="BT35" s="286"/>
      <c r="BU35" s="286"/>
      <c r="BV35" s="285"/>
      <c r="BW35" s="285"/>
      <c r="BX35" s="285"/>
      <c r="BY35" s="285"/>
      <c r="BZ35" s="285"/>
      <c r="CA35" s="285"/>
      <c r="CB35" s="285"/>
      <c r="CC35" s="285"/>
      <c r="CD35" s="285"/>
      <c r="CE35" s="285"/>
      <c r="CF35" s="285"/>
      <c r="CG35" s="285"/>
      <c r="CH35" s="285"/>
      <c r="CI35" s="285"/>
    </row>
    <row r="36" spans="1:87" ht="16.2" hidden="1" outlineLevel="1" x14ac:dyDescent="0.25">
      <c r="A36" s="278" t="str">
        <f t="shared" si="11"/>
        <v>modesg_param_sfcs_taxon_europeiatipo_combust</v>
      </c>
      <c r="B36" s="142" t="s">
        <v>26</v>
      </c>
      <c r="C36" s="138" t="s">
        <v>181</v>
      </c>
      <c r="D36" s="236" t="s">
        <v>40</v>
      </c>
      <c r="E36" s="237" t="s">
        <v>182</v>
      </c>
      <c r="F36" s="237"/>
      <c r="G36" s="236" t="s">
        <v>201</v>
      </c>
      <c r="H36" s="236" t="str">
        <f>VLOOKUP(A36,'2. Status Detalhe Campos'!$A$7:$G$574,7,0)</f>
        <v>1. Concluído</v>
      </c>
      <c r="I36" s="280" t="s">
        <v>38</v>
      </c>
      <c r="J36" s="289">
        <v>45603</v>
      </c>
      <c r="K36" s="280">
        <v>45604</v>
      </c>
      <c r="L36" s="294">
        <f t="array" ref="L36">MIN(IF(W36:CI36&gt;0,$W$16:$CI$16))</f>
        <v>45609</v>
      </c>
      <c r="M36" s="295">
        <f t="array" ref="M36">MAX(IF(W36:CI36&gt;0,$W$16:$CI$16))</f>
        <v>45609</v>
      </c>
      <c r="N36" s="295"/>
      <c r="O36" s="249">
        <f>VLOOKUP(H36,Auxiliar!$B$16:$E$24,4,0)</f>
        <v>1</v>
      </c>
      <c r="P36" s="249">
        <f t="shared" ca="1" si="12"/>
        <v>1</v>
      </c>
      <c r="Q36" s="248">
        <f t="shared" ca="1" si="5"/>
        <v>0</v>
      </c>
      <c r="R36" s="266" t="s">
        <v>38</v>
      </c>
      <c r="S36" s="284"/>
      <c r="T36" s="274">
        <v>0.6</v>
      </c>
      <c r="U36" s="274">
        <f t="shared" si="13"/>
        <v>0.1</v>
      </c>
      <c r="V36" s="274">
        <f t="shared" si="14"/>
        <v>0</v>
      </c>
      <c r="W36" s="285"/>
      <c r="X36" s="285"/>
      <c r="Y36" s="285"/>
      <c r="Z36" s="285"/>
      <c r="AA36" s="285"/>
      <c r="AB36" s="285"/>
      <c r="AC36" s="285"/>
      <c r="AD36" s="286"/>
      <c r="AE36" s="285"/>
      <c r="AF36" s="285"/>
      <c r="AG36" s="285"/>
      <c r="AH36" s="287"/>
      <c r="AI36" s="292"/>
      <c r="AJ36" s="285"/>
      <c r="AK36" s="285"/>
      <c r="AL36" s="285">
        <v>0.1</v>
      </c>
      <c r="AM36" s="285"/>
      <c r="AN36" s="285"/>
      <c r="AO36" s="285"/>
      <c r="AP36" s="285"/>
      <c r="AQ36" s="285"/>
      <c r="AR36" s="285"/>
      <c r="AS36" s="285"/>
      <c r="AT36" s="285"/>
      <c r="AU36" s="285"/>
      <c r="AV36" s="285"/>
      <c r="AW36" s="285"/>
      <c r="AX36" s="285"/>
      <c r="AY36" s="285"/>
      <c r="AZ36" s="285"/>
      <c r="BA36" s="285"/>
      <c r="BB36" s="285"/>
      <c r="BC36" s="285"/>
      <c r="BD36" s="285"/>
      <c r="BE36" s="285"/>
      <c r="BF36" s="285"/>
      <c r="BG36" s="285"/>
      <c r="BH36" s="285"/>
      <c r="BI36" s="285"/>
      <c r="BJ36" s="285"/>
      <c r="BK36" s="285"/>
      <c r="BL36" s="285"/>
      <c r="BM36" s="285"/>
      <c r="BN36" s="285"/>
      <c r="BO36" s="286"/>
      <c r="BP36" s="286"/>
      <c r="BQ36" s="286"/>
      <c r="BR36" s="286"/>
      <c r="BS36" s="286"/>
      <c r="BT36" s="286"/>
      <c r="BU36" s="286"/>
      <c r="BV36" s="285"/>
      <c r="BW36" s="285"/>
      <c r="BX36" s="285"/>
      <c r="BY36" s="285"/>
      <c r="BZ36" s="285"/>
      <c r="CA36" s="285"/>
      <c r="CB36" s="285"/>
      <c r="CC36" s="285"/>
      <c r="CD36" s="285"/>
      <c r="CE36" s="285"/>
      <c r="CF36" s="285"/>
      <c r="CG36" s="285"/>
      <c r="CH36" s="285"/>
      <c r="CI36" s="285"/>
    </row>
    <row r="37" spans="1:87" ht="16.2" hidden="1" outlineLevel="1" x14ac:dyDescent="0.25">
      <c r="A37" s="278" t="str">
        <f t="shared" si="11"/>
        <v>modesg_param_sfcs_taxon_europeiamontante_pndrc</v>
      </c>
      <c r="B37" s="142" t="s">
        <v>26</v>
      </c>
      <c r="C37" s="138" t="s">
        <v>181</v>
      </c>
      <c r="D37" s="236" t="s">
        <v>40</v>
      </c>
      <c r="E37" s="237" t="s">
        <v>182</v>
      </c>
      <c r="F37" s="237"/>
      <c r="G37" s="236" t="s">
        <v>202</v>
      </c>
      <c r="H37" s="236" t="str">
        <f>VLOOKUP(A37,'2. Status Detalhe Campos'!$A$7:$G$574,7,0)</f>
        <v>1. Concluído</v>
      </c>
      <c r="I37" s="280" t="s">
        <v>38</v>
      </c>
      <c r="J37" s="289">
        <v>45603</v>
      </c>
      <c r="K37" s="280">
        <v>45604</v>
      </c>
      <c r="L37" s="294">
        <f t="array" ref="L37">MIN(IF(W37:CI37&gt;0,$W$16:$CI$16))</f>
        <v>45609</v>
      </c>
      <c r="M37" s="295">
        <f t="array" ref="M37">MAX(IF(W37:CI37&gt;0,$W$16:$CI$16))</f>
        <v>45609</v>
      </c>
      <c r="N37" s="295"/>
      <c r="O37" s="249">
        <f>VLOOKUP(H37,Auxiliar!$B$16:$E$24,4,0)</f>
        <v>1</v>
      </c>
      <c r="P37" s="249">
        <f t="shared" ca="1" si="12"/>
        <v>1</v>
      </c>
      <c r="Q37" s="248">
        <f t="shared" ca="1" si="5"/>
        <v>0</v>
      </c>
      <c r="R37" s="266" t="s">
        <v>38</v>
      </c>
      <c r="S37" s="284"/>
      <c r="T37" s="274">
        <v>0.6</v>
      </c>
      <c r="U37" s="274">
        <f t="shared" si="13"/>
        <v>0.1</v>
      </c>
      <c r="V37" s="274">
        <f t="shared" si="14"/>
        <v>0</v>
      </c>
      <c r="W37" s="285"/>
      <c r="X37" s="285"/>
      <c r="Y37" s="285"/>
      <c r="Z37" s="285"/>
      <c r="AA37" s="285"/>
      <c r="AB37" s="285"/>
      <c r="AC37" s="285"/>
      <c r="AD37" s="286"/>
      <c r="AE37" s="285"/>
      <c r="AF37" s="285"/>
      <c r="AG37" s="285"/>
      <c r="AH37" s="287"/>
      <c r="AI37" s="292"/>
      <c r="AJ37" s="285"/>
      <c r="AK37" s="285"/>
      <c r="AL37" s="285">
        <v>0.1</v>
      </c>
      <c r="AM37" s="285"/>
      <c r="AN37" s="285"/>
      <c r="AO37" s="285"/>
      <c r="AP37" s="285"/>
      <c r="AQ37" s="285"/>
      <c r="AR37" s="285"/>
      <c r="AS37" s="285"/>
      <c r="AT37" s="285"/>
      <c r="AU37" s="285"/>
      <c r="AV37" s="285"/>
      <c r="AW37" s="285"/>
      <c r="AX37" s="285"/>
      <c r="AY37" s="285"/>
      <c r="AZ37" s="285"/>
      <c r="BA37" s="285"/>
      <c r="BB37" s="285"/>
      <c r="BC37" s="285"/>
      <c r="BD37" s="285"/>
      <c r="BE37" s="285"/>
      <c r="BF37" s="285"/>
      <c r="BG37" s="285"/>
      <c r="BH37" s="285"/>
      <c r="BI37" s="285"/>
      <c r="BJ37" s="285"/>
      <c r="BK37" s="285"/>
      <c r="BL37" s="285"/>
      <c r="BM37" s="285"/>
      <c r="BN37" s="285"/>
      <c r="BO37" s="286"/>
      <c r="BP37" s="286"/>
      <c r="BQ37" s="286"/>
      <c r="BR37" s="286"/>
      <c r="BS37" s="286"/>
      <c r="BT37" s="286"/>
      <c r="BU37" s="286"/>
      <c r="BV37" s="285"/>
      <c r="BW37" s="285"/>
      <c r="BX37" s="285"/>
      <c r="BY37" s="285"/>
      <c r="BZ37" s="285"/>
      <c r="CA37" s="285"/>
      <c r="CB37" s="285"/>
      <c r="CC37" s="285"/>
      <c r="CD37" s="285"/>
      <c r="CE37" s="285"/>
      <c r="CF37" s="285"/>
      <c r="CG37" s="285"/>
      <c r="CH37" s="285"/>
      <c r="CI37" s="285"/>
    </row>
    <row r="38" spans="1:87" ht="16.2" hidden="1" outlineLevel="1" x14ac:dyDescent="0.25">
      <c r="A38" s="278" t="str">
        <f t="shared" si="11"/>
        <v>modesg_param_sfcs_taxon_europeianome_general_specific_purpose</v>
      </c>
      <c r="B38" s="142" t="s">
        <v>26</v>
      </c>
      <c r="C38" s="138" t="s">
        <v>181</v>
      </c>
      <c r="D38" s="236" t="s">
        <v>40</v>
      </c>
      <c r="E38" s="237" t="s">
        <v>182</v>
      </c>
      <c r="F38" s="237"/>
      <c r="G38" s="236" t="s">
        <v>204</v>
      </c>
      <c r="H38" s="236" t="str">
        <f>VLOOKUP(A38,'2. Status Detalhe Campos'!$A$7:$G$574,7,0)</f>
        <v>1. Concluído</v>
      </c>
      <c r="I38" s="280" t="s">
        <v>38</v>
      </c>
      <c r="J38" s="289">
        <v>45603</v>
      </c>
      <c r="K38" s="280">
        <v>45604</v>
      </c>
      <c r="L38" s="294">
        <f t="array" ref="L38">MIN(IF(W38:CI38&gt;0,$W$16:$CI$16))</f>
        <v>45609</v>
      </c>
      <c r="M38" s="295">
        <f t="array" ref="M38">MAX(IF(W38:CI38&gt;0,$W$16:$CI$16))</f>
        <v>45609</v>
      </c>
      <c r="N38" s="295"/>
      <c r="O38" s="249">
        <f>VLOOKUP(H38,Auxiliar!$B$16:$E$24,4,0)</f>
        <v>1</v>
      </c>
      <c r="P38" s="249">
        <f t="shared" ca="1" si="12"/>
        <v>1</v>
      </c>
      <c r="Q38" s="248">
        <f t="shared" ca="1" si="5"/>
        <v>0</v>
      </c>
      <c r="R38" s="266" t="s">
        <v>38</v>
      </c>
      <c r="S38" s="284"/>
      <c r="T38" s="274">
        <v>0.6</v>
      </c>
      <c r="U38" s="274">
        <f t="shared" si="13"/>
        <v>0.1</v>
      </c>
      <c r="V38" s="274">
        <f t="shared" si="14"/>
        <v>0</v>
      </c>
      <c r="W38" s="285"/>
      <c r="X38" s="285"/>
      <c r="Y38" s="285"/>
      <c r="Z38" s="285"/>
      <c r="AA38" s="285"/>
      <c r="AB38" s="285"/>
      <c r="AC38" s="285"/>
      <c r="AD38" s="286"/>
      <c r="AE38" s="285"/>
      <c r="AF38" s="285"/>
      <c r="AG38" s="285"/>
      <c r="AH38" s="287"/>
      <c r="AI38" s="292"/>
      <c r="AJ38" s="285"/>
      <c r="AK38" s="285"/>
      <c r="AL38" s="285">
        <v>0.1</v>
      </c>
      <c r="AM38" s="285"/>
      <c r="AN38" s="285"/>
      <c r="AO38" s="285"/>
      <c r="AP38" s="285"/>
      <c r="AQ38" s="285"/>
      <c r="AR38" s="285"/>
      <c r="AS38" s="285"/>
      <c r="AT38" s="285"/>
      <c r="AU38" s="285"/>
      <c r="AV38" s="285"/>
      <c r="AW38" s="285"/>
      <c r="AX38" s="285"/>
      <c r="AY38" s="285"/>
      <c r="AZ38" s="285"/>
      <c r="BA38" s="285"/>
      <c r="BB38" s="285"/>
      <c r="BC38" s="285"/>
      <c r="BD38" s="285"/>
      <c r="BE38" s="285"/>
      <c r="BF38" s="285"/>
      <c r="BG38" s="285"/>
      <c r="BH38" s="285"/>
      <c r="BI38" s="285"/>
      <c r="BJ38" s="285"/>
      <c r="BK38" s="285"/>
      <c r="BL38" s="285"/>
      <c r="BM38" s="285"/>
      <c r="BN38" s="285"/>
      <c r="BO38" s="286"/>
      <c r="BP38" s="286"/>
      <c r="BQ38" s="286"/>
      <c r="BR38" s="286"/>
      <c r="BS38" s="286"/>
      <c r="BT38" s="286"/>
      <c r="BU38" s="286"/>
      <c r="BV38" s="285"/>
      <c r="BW38" s="285"/>
      <c r="BX38" s="285"/>
      <c r="BY38" s="285"/>
      <c r="BZ38" s="285"/>
      <c r="CA38" s="285"/>
      <c r="CB38" s="285"/>
      <c r="CC38" s="285"/>
      <c r="CD38" s="285"/>
      <c r="CE38" s="285"/>
      <c r="CF38" s="285"/>
      <c r="CG38" s="285"/>
      <c r="CH38" s="285"/>
      <c r="CI38" s="285"/>
    </row>
    <row r="39" spans="1:87" ht="16.2" hidden="1" outlineLevel="1" x14ac:dyDescent="0.25">
      <c r="A39" s="278" t="str">
        <f t="shared" si="11"/>
        <v>modesg_param_sfcs_taxon_europeianome_purpose_esg</v>
      </c>
      <c r="B39" s="142" t="s">
        <v>26</v>
      </c>
      <c r="C39" s="138" t="s">
        <v>181</v>
      </c>
      <c r="D39" s="236" t="s">
        <v>40</v>
      </c>
      <c r="E39" s="237" t="s">
        <v>182</v>
      </c>
      <c r="F39" s="237"/>
      <c r="G39" s="236" t="s">
        <v>205</v>
      </c>
      <c r="H39" s="236" t="str">
        <f>VLOOKUP(A39,'2. Status Detalhe Campos'!$A$7:$G$574,7,0)</f>
        <v>1. Concluído</v>
      </c>
      <c r="I39" s="280" t="s">
        <v>38</v>
      </c>
      <c r="J39" s="289">
        <v>45603</v>
      </c>
      <c r="K39" s="280">
        <v>45604</v>
      </c>
      <c r="L39" s="294">
        <f t="array" ref="L39">MIN(IF(W39:CI39&gt;0,$W$16:$CI$16))</f>
        <v>45609</v>
      </c>
      <c r="M39" s="295">
        <f t="array" ref="M39">MAX(IF(W39:CI39&gt;0,$W$16:$CI$16))</f>
        <v>45609</v>
      </c>
      <c r="N39" s="295"/>
      <c r="O39" s="249">
        <f>VLOOKUP(H39,Auxiliar!$B$16:$E$24,4,0)</f>
        <v>1</v>
      </c>
      <c r="P39" s="249">
        <f t="shared" ca="1" si="12"/>
        <v>1</v>
      </c>
      <c r="Q39" s="248">
        <f t="shared" ca="1" si="5"/>
        <v>0</v>
      </c>
      <c r="R39" s="266" t="s">
        <v>38</v>
      </c>
      <c r="S39" s="284"/>
      <c r="T39" s="274">
        <v>0.6</v>
      </c>
      <c r="U39" s="274">
        <f t="shared" si="13"/>
        <v>0.1</v>
      </c>
      <c r="V39" s="274">
        <f t="shared" si="14"/>
        <v>0</v>
      </c>
      <c r="W39" s="285"/>
      <c r="X39" s="285"/>
      <c r="Y39" s="285"/>
      <c r="Z39" s="285"/>
      <c r="AA39" s="285"/>
      <c r="AB39" s="285"/>
      <c r="AC39" s="285"/>
      <c r="AD39" s="286"/>
      <c r="AE39" s="285"/>
      <c r="AF39" s="285"/>
      <c r="AG39" s="285"/>
      <c r="AH39" s="287"/>
      <c r="AI39" s="292"/>
      <c r="AJ39" s="285"/>
      <c r="AK39" s="285"/>
      <c r="AL39" s="285">
        <v>0.1</v>
      </c>
      <c r="AM39" s="285"/>
      <c r="AN39" s="285"/>
      <c r="AO39" s="285"/>
      <c r="AP39" s="285"/>
      <c r="AQ39" s="285"/>
      <c r="AR39" s="285"/>
      <c r="AS39" s="285"/>
      <c r="AT39" s="285"/>
      <c r="AU39" s="285"/>
      <c r="AV39" s="285"/>
      <c r="AW39" s="285"/>
      <c r="AX39" s="285"/>
      <c r="AY39" s="285"/>
      <c r="AZ39" s="285"/>
      <c r="BA39" s="285"/>
      <c r="BB39" s="285"/>
      <c r="BC39" s="285"/>
      <c r="BD39" s="285"/>
      <c r="BE39" s="285"/>
      <c r="BF39" s="285"/>
      <c r="BG39" s="285"/>
      <c r="BH39" s="285"/>
      <c r="BI39" s="285"/>
      <c r="BJ39" s="285"/>
      <c r="BK39" s="285"/>
      <c r="BL39" s="285"/>
      <c r="BM39" s="285"/>
      <c r="BN39" s="285"/>
      <c r="BO39" s="286"/>
      <c r="BP39" s="286"/>
      <c r="BQ39" s="286"/>
      <c r="BR39" s="286"/>
      <c r="BS39" s="286"/>
      <c r="BT39" s="286"/>
      <c r="BU39" s="286"/>
      <c r="BV39" s="285"/>
      <c r="BW39" s="285"/>
      <c r="BX39" s="285"/>
      <c r="BY39" s="285"/>
      <c r="BZ39" s="285"/>
      <c r="CA39" s="285"/>
      <c r="CB39" s="285"/>
      <c r="CC39" s="285"/>
      <c r="CD39" s="285"/>
      <c r="CE39" s="285"/>
      <c r="CF39" s="285"/>
      <c r="CG39" s="285"/>
      <c r="CH39" s="285"/>
      <c r="CI39" s="285"/>
    </row>
    <row r="40" spans="1:87" ht="16.2" hidden="1" outlineLevel="1" x14ac:dyDescent="0.25">
      <c r="A40" s="278" t="str">
        <f t="shared" si="11"/>
        <v>modesg_param_sfcs_taxon_europeianome_specific_eligible</v>
      </c>
      <c r="B40" s="142" t="s">
        <v>26</v>
      </c>
      <c r="C40" s="138" t="s">
        <v>181</v>
      </c>
      <c r="D40" s="236" t="s">
        <v>40</v>
      </c>
      <c r="E40" s="237" t="s">
        <v>182</v>
      </c>
      <c r="F40" s="237"/>
      <c r="G40" s="236" t="s">
        <v>206</v>
      </c>
      <c r="H40" s="236" t="str">
        <f>VLOOKUP(A40,'2. Status Detalhe Campos'!$A$7:$G$574,7,0)</f>
        <v>1. Concluído</v>
      </c>
      <c r="I40" s="280" t="s">
        <v>38</v>
      </c>
      <c r="J40" s="289">
        <v>45603</v>
      </c>
      <c r="K40" s="280">
        <v>45604</v>
      </c>
      <c r="L40" s="294">
        <f t="array" ref="L40">MIN(IF(W40:CI40&gt;0,$W$16:$CI$16))</f>
        <v>45609</v>
      </c>
      <c r="M40" s="295">
        <f t="array" ref="M40">MAX(IF(W40:CI40&gt;0,$W$16:$CI$16))</f>
        <v>45609</v>
      </c>
      <c r="N40" s="295"/>
      <c r="O40" s="249">
        <f>VLOOKUP(H40,Auxiliar!$B$16:$E$24,4,0)</f>
        <v>1</v>
      </c>
      <c r="P40" s="249">
        <f t="shared" ca="1" si="12"/>
        <v>1</v>
      </c>
      <c r="Q40" s="248">
        <f t="shared" ca="1" si="5"/>
        <v>0</v>
      </c>
      <c r="R40" s="266" t="s">
        <v>38</v>
      </c>
      <c r="S40" s="284"/>
      <c r="T40" s="274">
        <v>0.6</v>
      </c>
      <c r="U40" s="274">
        <f t="shared" si="13"/>
        <v>0.1</v>
      </c>
      <c r="V40" s="274">
        <f t="shared" si="14"/>
        <v>0</v>
      </c>
      <c r="W40" s="285"/>
      <c r="X40" s="285"/>
      <c r="Y40" s="285"/>
      <c r="Z40" s="285"/>
      <c r="AA40" s="285"/>
      <c r="AB40" s="285"/>
      <c r="AC40" s="285"/>
      <c r="AD40" s="286"/>
      <c r="AE40" s="285"/>
      <c r="AF40" s="285"/>
      <c r="AG40" s="285"/>
      <c r="AH40" s="287"/>
      <c r="AI40" s="292"/>
      <c r="AJ40" s="285"/>
      <c r="AK40" s="285"/>
      <c r="AL40" s="285">
        <v>0.1</v>
      </c>
      <c r="AM40" s="285"/>
      <c r="AN40" s="285"/>
      <c r="AO40" s="285"/>
      <c r="AP40" s="285"/>
      <c r="AQ40" s="285"/>
      <c r="AR40" s="285"/>
      <c r="AS40" s="285"/>
      <c r="AT40" s="285"/>
      <c r="AU40" s="285"/>
      <c r="AV40" s="285"/>
      <c r="AW40" s="285"/>
      <c r="AX40" s="285"/>
      <c r="AY40" s="285"/>
      <c r="AZ40" s="285"/>
      <c r="BA40" s="285"/>
      <c r="BB40" s="285"/>
      <c r="BC40" s="285"/>
      <c r="BD40" s="285"/>
      <c r="BE40" s="285"/>
      <c r="BF40" s="285"/>
      <c r="BG40" s="285"/>
      <c r="BH40" s="285"/>
      <c r="BI40" s="285"/>
      <c r="BJ40" s="285"/>
      <c r="BK40" s="285"/>
      <c r="BL40" s="285"/>
      <c r="BM40" s="285"/>
      <c r="BN40" s="285"/>
      <c r="BO40" s="286"/>
      <c r="BP40" s="286"/>
      <c r="BQ40" s="286"/>
      <c r="BR40" s="286"/>
      <c r="BS40" s="286"/>
      <c r="BT40" s="286"/>
      <c r="BU40" s="286"/>
      <c r="BV40" s="285"/>
      <c r="BW40" s="285"/>
      <c r="BX40" s="285"/>
      <c r="BY40" s="285"/>
      <c r="BZ40" s="285"/>
      <c r="CA40" s="285"/>
      <c r="CB40" s="285"/>
      <c r="CC40" s="285"/>
      <c r="CD40" s="285"/>
      <c r="CE40" s="285"/>
      <c r="CF40" s="285"/>
      <c r="CG40" s="285"/>
      <c r="CH40" s="285"/>
      <c r="CI40" s="285"/>
    </row>
    <row r="41" spans="1:87" ht="16.2" hidden="1" outlineLevel="1" x14ac:dyDescent="0.25">
      <c r="A41" s="278" t="str">
        <f t="shared" si="11"/>
        <v>modesg_param_sfcs_taxon_europeianome_specific_sustainable</v>
      </c>
      <c r="B41" s="142" t="s">
        <v>26</v>
      </c>
      <c r="C41" s="138" t="s">
        <v>181</v>
      </c>
      <c r="D41" s="236" t="s">
        <v>40</v>
      </c>
      <c r="E41" s="237" t="s">
        <v>182</v>
      </c>
      <c r="F41" s="237"/>
      <c r="G41" s="236" t="s">
        <v>207</v>
      </c>
      <c r="H41" s="236" t="str">
        <f>VLOOKUP(A41,'2. Status Detalhe Campos'!$A$7:$G$574,7,0)</f>
        <v>1. Concluído</v>
      </c>
      <c r="I41" s="280" t="s">
        <v>38</v>
      </c>
      <c r="J41" s="289">
        <v>45603</v>
      </c>
      <c r="K41" s="280">
        <v>45604</v>
      </c>
      <c r="L41" s="294">
        <f t="array" ref="L41">MIN(IF(W41:CI41&gt;0,$W$16:$CI$16))</f>
        <v>45609</v>
      </c>
      <c r="M41" s="295">
        <f t="array" ref="M41">MAX(IF(W41:CI41&gt;0,$W$16:$CI$16))</f>
        <v>45609</v>
      </c>
      <c r="N41" s="295"/>
      <c r="O41" s="249">
        <f>VLOOKUP(H41,Auxiliar!$B$16:$E$24,4,0)</f>
        <v>1</v>
      </c>
      <c r="P41" s="249">
        <f t="shared" ca="1" si="12"/>
        <v>1</v>
      </c>
      <c r="Q41" s="248">
        <f t="shared" ca="1" si="5"/>
        <v>0</v>
      </c>
      <c r="R41" s="266" t="s">
        <v>38</v>
      </c>
      <c r="S41" s="284"/>
      <c r="T41" s="274">
        <v>0.6</v>
      </c>
      <c r="U41" s="274">
        <f t="shared" si="13"/>
        <v>0.1</v>
      </c>
      <c r="V41" s="274">
        <f t="shared" si="14"/>
        <v>0</v>
      </c>
      <c r="W41" s="285"/>
      <c r="X41" s="285"/>
      <c r="Y41" s="285"/>
      <c r="Z41" s="285"/>
      <c r="AA41" s="285"/>
      <c r="AB41" s="285"/>
      <c r="AC41" s="285"/>
      <c r="AD41" s="286"/>
      <c r="AE41" s="285"/>
      <c r="AF41" s="285"/>
      <c r="AG41" s="285"/>
      <c r="AH41" s="287"/>
      <c r="AI41" s="292"/>
      <c r="AJ41" s="285"/>
      <c r="AK41" s="285"/>
      <c r="AL41" s="285">
        <v>0.1</v>
      </c>
      <c r="AM41" s="285"/>
      <c r="AN41" s="285"/>
      <c r="AO41" s="285"/>
      <c r="AP41" s="285"/>
      <c r="AQ41" s="285"/>
      <c r="AR41" s="285"/>
      <c r="AS41" s="285"/>
      <c r="AT41" s="285"/>
      <c r="AU41" s="285"/>
      <c r="AV41" s="285"/>
      <c r="AW41" s="285"/>
      <c r="AX41" s="285"/>
      <c r="AY41" s="285"/>
      <c r="AZ41" s="285"/>
      <c r="BA41" s="285"/>
      <c r="BB41" s="285"/>
      <c r="BC41" s="285"/>
      <c r="BD41" s="285"/>
      <c r="BE41" s="285"/>
      <c r="BF41" s="285"/>
      <c r="BG41" s="285"/>
      <c r="BH41" s="285"/>
      <c r="BI41" s="285"/>
      <c r="BJ41" s="285"/>
      <c r="BK41" s="285"/>
      <c r="BL41" s="285"/>
      <c r="BM41" s="285"/>
      <c r="BN41" s="285"/>
      <c r="BO41" s="286"/>
      <c r="BP41" s="286"/>
      <c r="BQ41" s="286"/>
      <c r="BR41" s="286"/>
      <c r="BS41" s="286"/>
      <c r="BT41" s="286"/>
      <c r="BU41" s="286"/>
      <c r="BV41" s="285"/>
      <c r="BW41" s="285"/>
      <c r="BX41" s="285"/>
      <c r="BY41" s="285"/>
      <c r="BZ41" s="285"/>
      <c r="CA41" s="285"/>
      <c r="CB41" s="285"/>
      <c r="CC41" s="285"/>
      <c r="CD41" s="285"/>
      <c r="CE41" s="285"/>
      <c r="CF41" s="285"/>
      <c r="CG41" s="285"/>
      <c r="CH41" s="285"/>
      <c r="CI41" s="285"/>
    </row>
    <row r="42" spans="1:87" ht="16.2" hidden="1" outlineLevel="1" x14ac:dyDescent="0.25">
      <c r="A42" s="278" t="str">
        <f t="shared" si="11"/>
        <v>modesg_param_sfcs_taxon_europeiazcliente</v>
      </c>
      <c r="B42" s="142" t="s">
        <v>26</v>
      </c>
      <c r="C42" s="138" t="s">
        <v>181</v>
      </c>
      <c r="D42" s="236" t="s">
        <v>40</v>
      </c>
      <c r="E42" s="237" t="s">
        <v>182</v>
      </c>
      <c r="F42" s="237"/>
      <c r="G42" s="236" t="s">
        <v>209</v>
      </c>
      <c r="H42" s="236" t="str">
        <f>VLOOKUP(A42,'2. Status Detalhe Campos'!$A$7:$G$574,7,0)</f>
        <v>1. Concluído</v>
      </c>
      <c r="I42" s="280" t="s">
        <v>38</v>
      </c>
      <c r="J42" s="289">
        <v>45603</v>
      </c>
      <c r="K42" s="280">
        <v>45604</v>
      </c>
      <c r="L42" s="294">
        <f t="array" ref="L42">MIN(IF(W42:CI42&gt;0,$W$16:$CI$16))</f>
        <v>45609</v>
      </c>
      <c r="M42" s="295">
        <f t="array" ref="M42">MAX(IF(W42:CI42&gt;0,$W$16:$CI$16))</f>
        <v>45609</v>
      </c>
      <c r="N42" s="295"/>
      <c r="O42" s="249">
        <f>VLOOKUP(H42,Auxiliar!$B$16:$E$24,4,0)</f>
        <v>1</v>
      </c>
      <c r="P42" s="249">
        <f t="shared" ca="1" si="12"/>
        <v>1</v>
      </c>
      <c r="Q42" s="248">
        <f t="shared" ca="1" si="5"/>
        <v>0</v>
      </c>
      <c r="R42" s="266" t="s">
        <v>38</v>
      </c>
      <c r="S42" s="284"/>
      <c r="T42" s="274">
        <v>0.6</v>
      </c>
      <c r="U42" s="274">
        <f t="shared" si="13"/>
        <v>0.1</v>
      </c>
      <c r="V42" s="274">
        <f t="shared" si="14"/>
        <v>0</v>
      </c>
      <c r="W42" s="285"/>
      <c r="X42" s="285"/>
      <c r="Y42" s="285"/>
      <c r="Z42" s="285"/>
      <c r="AA42" s="285"/>
      <c r="AB42" s="285"/>
      <c r="AC42" s="285"/>
      <c r="AD42" s="286"/>
      <c r="AE42" s="285"/>
      <c r="AF42" s="285"/>
      <c r="AG42" s="285"/>
      <c r="AH42" s="287"/>
      <c r="AI42" s="292"/>
      <c r="AJ42" s="285"/>
      <c r="AK42" s="285"/>
      <c r="AL42" s="285">
        <v>0.1</v>
      </c>
      <c r="AM42" s="285"/>
      <c r="AN42" s="285"/>
      <c r="AO42" s="285"/>
      <c r="AP42" s="285"/>
      <c r="AQ42" s="285"/>
      <c r="AR42" s="285"/>
      <c r="AS42" s="285"/>
      <c r="AT42" s="285"/>
      <c r="AU42" s="285"/>
      <c r="AV42" s="285"/>
      <c r="AW42" s="285"/>
      <c r="AX42" s="285"/>
      <c r="AY42" s="285"/>
      <c r="AZ42" s="285"/>
      <c r="BA42" s="285"/>
      <c r="BB42" s="285"/>
      <c r="BC42" s="285"/>
      <c r="BD42" s="285"/>
      <c r="BE42" s="285"/>
      <c r="BF42" s="285"/>
      <c r="BG42" s="285"/>
      <c r="BH42" s="285"/>
      <c r="BI42" s="285"/>
      <c r="BJ42" s="285"/>
      <c r="BK42" s="285"/>
      <c r="BL42" s="285"/>
      <c r="BM42" s="285"/>
      <c r="BN42" s="285"/>
      <c r="BO42" s="286"/>
      <c r="BP42" s="286"/>
      <c r="BQ42" s="286"/>
      <c r="BR42" s="286"/>
      <c r="BS42" s="286"/>
      <c r="BT42" s="286"/>
      <c r="BU42" s="286"/>
      <c r="BV42" s="285"/>
      <c r="BW42" s="285"/>
      <c r="BX42" s="285"/>
      <c r="BY42" s="285"/>
      <c r="BZ42" s="285"/>
      <c r="CA42" s="285"/>
      <c r="CB42" s="285"/>
      <c r="CC42" s="285"/>
      <c r="CD42" s="285"/>
      <c r="CE42" s="285"/>
      <c r="CF42" s="285"/>
      <c r="CG42" s="285"/>
      <c r="CH42" s="285"/>
      <c r="CI42" s="285"/>
    </row>
    <row r="43" spans="1:87" ht="16.2" hidden="1" outlineLevel="1" x14ac:dyDescent="0.25">
      <c r="A43" s="278" t="str">
        <f t="shared" si="11"/>
        <v>modesg_param_sfcs_taxon_europeiazdeposit</v>
      </c>
      <c r="B43" s="142" t="s">
        <v>26</v>
      </c>
      <c r="C43" s="138" t="s">
        <v>181</v>
      </c>
      <c r="D43" s="236" t="s">
        <v>40</v>
      </c>
      <c r="E43" s="237" t="s">
        <v>182</v>
      </c>
      <c r="F43" s="237"/>
      <c r="G43" s="236" t="s">
        <v>210</v>
      </c>
      <c r="H43" s="236" t="str">
        <f>VLOOKUP(A43,'2. Status Detalhe Campos'!$A$7:$G$574,7,0)</f>
        <v>1. Concluído</v>
      </c>
      <c r="I43" s="280" t="s">
        <v>38</v>
      </c>
      <c r="J43" s="289">
        <v>45603</v>
      </c>
      <c r="K43" s="280">
        <v>45604</v>
      </c>
      <c r="L43" s="294">
        <f t="array" ref="L43">MIN(IF(W43:CI43&gt;0,$W$16:$CI$16))</f>
        <v>45609</v>
      </c>
      <c r="M43" s="295">
        <f t="array" ref="M43">MAX(IF(W43:CI43&gt;0,$W$16:$CI$16))</f>
        <v>45609</v>
      </c>
      <c r="N43" s="295"/>
      <c r="O43" s="249">
        <f>VLOOKUP(H43,Auxiliar!$B$16:$E$24,4,0)</f>
        <v>1</v>
      </c>
      <c r="P43" s="249">
        <f t="shared" ca="1" si="12"/>
        <v>1</v>
      </c>
      <c r="Q43" s="248">
        <f t="shared" ca="1" si="5"/>
        <v>0</v>
      </c>
      <c r="R43" s="266" t="s">
        <v>38</v>
      </c>
      <c r="S43" s="284"/>
      <c r="T43" s="274">
        <v>0.6</v>
      </c>
      <c r="U43" s="274">
        <f t="shared" si="13"/>
        <v>0.1</v>
      </c>
      <c r="V43" s="274">
        <f t="shared" si="14"/>
        <v>0</v>
      </c>
      <c r="W43" s="285"/>
      <c r="X43" s="285"/>
      <c r="Y43" s="285"/>
      <c r="Z43" s="285"/>
      <c r="AA43" s="285"/>
      <c r="AB43" s="285"/>
      <c r="AC43" s="285"/>
      <c r="AD43" s="286"/>
      <c r="AE43" s="285"/>
      <c r="AF43" s="285"/>
      <c r="AG43" s="285"/>
      <c r="AH43" s="287"/>
      <c r="AI43" s="292"/>
      <c r="AJ43" s="285"/>
      <c r="AK43" s="285"/>
      <c r="AL43" s="285">
        <v>0.1</v>
      </c>
      <c r="AM43" s="285"/>
      <c r="AN43" s="285"/>
      <c r="AO43" s="285"/>
      <c r="AP43" s="285"/>
      <c r="AQ43" s="285"/>
      <c r="AR43" s="285"/>
      <c r="AS43" s="285"/>
      <c r="AT43" s="285"/>
      <c r="AU43" s="285"/>
      <c r="AV43" s="285"/>
      <c r="AW43" s="285"/>
      <c r="AX43" s="285"/>
      <c r="AY43" s="285"/>
      <c r="AZ43" s="285"/>
      <c r="BA43" s="285"/>
      <c r="BB43" s="285"/>
      <c r="BC43" s="285"/>
      <c r="BD43" s="285"/>
      <c r="BE43" s="285"/>
      <c r="BF43" s="285"/>
      <c r="BG43" s="285"/>
      <c r="BH43" s="285"/>
      <c r="BI43" s="285"/>
      <c r="BJ43" s="285"/>
      <c r="BK43" s="285"/>
      <c r="BL43" s="285"/>
      <c r="BM43" s="285"/>
      <c r="BN43" s="285"/>
      <c r="BO43" s="286"/>
      <c r="BP43" s="286"/>
      <c r="BQ43" s="286"/>
      <c r="BR43" s="286"/>
      <c r="BS43" s="286"/>
      <c r="BT43" s="286"/>
      <c r="BU43" s="286"/>
      <c r="BV43" s="285"/>
      <c r="BW43" s="285"/>
      <c r="BX43" s="285"/>
      <c r="BY43" s="285"/>
      <c r="BZ43" s="285"/>
      <c r="CA43" s="285"/>
      <c r="CB43" s="285"/>
      <c r="CC43" s="285"/>
      <c r="CD43" s="285"/>
      <c r="CE43" s="285"/>
      <c r="CF43" s="285"/>
      <c r="CG43" s="285"/>
      <c r="CH43" s="285"/>
      <c r="CI43" s="285"/>
    </row>
    <row r="44" spans="1:87" ht="15" customHeight="1" collapsed="1" x14ac:dyDescent="0.25">
      <c r="A44" s="278"/>
      <c r="B44" s="142" t="s">
        <v>26</v>
      </c>
      <c r="C44" s="138" t="s">
        <v>181</v>
      </c>
      <c r="D44" s="134"/>
      <c r="E44" s="240" t="s">
        <v>182</v>
      </c>
      <c r="F44" s="240" t="s">
        <v>2050</v>
      </c>
      <c r="G44" s="241">
        <f>COUNTA(G45:G45)</f>
        <v>1</v>
      </c>
      <c r="H44" s="298" t="s">
        <v>2018</v>
      </c>
      <c r="I44" s="280" t="s">
        <v>38</v>
      </c>
      <c r="J44" s="281">
        <f>MIN(J45)</f>
        <v>45603</v>
      </c>
      <c r="K44" s="281">
        <f>MIN(K45)</f>
        <v>45604</v>
      </c>
      <c r="L44" s="281">
        <f>MIN(L45:L228)</f>
        <v>0</v>
      </c>
      <c r="M44" s="281">
        <f>MIN(M45:M228)</f>
        <v>0</v>
      </c>
      <c r="N44" s="332">
        <f t="array" ref="N44">MAX(IF(W44:CI44&gt;0,$W$16:$CI$16))</f>
        <v>45611</v>
      </c>
      <c r="O44" s="322">
        <f>SUMPRODUCT(O45,U45)/SUM(U45)</f>
        <v>0.25</v>
      </c>
      <c r="P44" s="322">
        <f ca="1">SUMPRODUCT(P45,U45)/SUM(U45)</f>
        <v>1</v>
      </c>
      <c r="Q44" s="248">
        <f t="shared" ref="Q44" ca="1" si="15">O44-P44</f>
        <v>-0.75</v>
      </c>
      <c r="R44" s="266" t="s">
        <v>2051</v>
      </c>
      <c r="S44" s="284"/>
      <c r="T44" s="274"/>
      <c r="U44" s="274"/>
      <c r="V44" s="274"/>
      <c r="W44" s="285"/>
      <c r="X44" s="285"/>
      <c r="Y44" s="285"/>
      <c r="Z44" s="285"/>
      <c r="AA44" s="285"/>
      <c r="AB44" s="285"/>
      <c r="AC44" s="285"/>
      <c r="AD44" s="286"/>
      <c r="AE44" s="285"/>
      <c r="AF44" s="285"/>
      <c r="AG44" s="285"/>
      <c r="AH44" s="287"/>
      <c r="AI44" s="292"/>
      <c r="AJ44" s="285"/>
      <c r="AK44" s="285"/>
      <c r="AL44" s="285"/>
      <c r="AM44" s="285"/>
      <c r="AN44" s="285" t="s">
        <v>444</v>
      </c>
      <c r="AO44" s="285"/>
      <c r="AP44" s="285"/>
      <c r="AQ44" s="285"/>
      <c r="AR44" s="285"/>
      <c r="AS44" s="285"/>
      <c r="AT44" s="285"/>
      <c r="AU44" s="285"/>
      <c r="AV44" s="285"/>
      <c r="AW44" s="285"/>
      <c r="AX44" s="285"/>
      <c r="AY44" s="285"/>
      <c r="AZ44" s="285"/>
      <c r="BA44" s="285"/>
      <c r="BB44" s="285"/>
      <c r="BC44" s="285"/>
      <c r="BD44" s="285"/>
      <c r="BE44" s="285"/>
      <c r="BF44" s="285"/>
      <c r="BG44" s="285"/>
      <c r="BH44" s="285"/>
      <c r="BI44" s="285"/>
      <c r="BJ44" s="285"/>
      <c r="BK44" s="285"/>
      <c r="BL44" s="285"/>
      <c r="BM44" s="285"/>
      <c r="BN44" s="285"/>
      <c r="BO44" s="286"/>
      <c r="BP44" s="286"/>
      <c r="BQ44" s="286"/>
      <c r="BR44" s="286"/>
      <c r="BS44" s="286"/>
      <c r="BT44" s="286"/>
      <c r="BU44" s="286"/>
      <c r="BV44" s="285"/>
      <c r="BW44" s="285"/>
      <c r="BX44" s="285"/>
      <c r="BY44" s="285"/>
      <c r="BZ44" s="285"/>
      <c r="CA44" s="285"/>
      <c r="CB44" s="285"/>
      <c r="CC44" s="285"/>
      <c r="CD44" s="285"/>
      <c r="CE44" s="285"/>
      <c r="CF44" s="285"/>
      <c r="CG44" s="285"/>
      <c r="CH44" s="285"/>
      <c r="CI44" s="285"/>
    </row>
    <row r="45" spans="1:87" ht="16.2" hidden="1" outlineLevel="1" x14ac:dyDescent="0.25">
      <c r="A45" s="278" t="str">
        <f>E45&amp;G45</f>
        <v>modesg_param_sfcs_taxon_europeianome_ctgr_sfcs</v>
      </c>
      <c r="B45" s="142" t="s">
        <v>26</v>
      </c>
      <c r="C45" s="138" t="s">
        <v>181</v>
      </c>
      <c r="D45" s="236" t="s">
        <v>40</v>
      </c>
      <c r="E45" s="237" t="s">
        <v>182</v>
      </c>
      <c r="F45" s="237"/>
      <c r="G45" s="236" t="s">
        <v>203</v>
      </c>
      <c r="H45" s="236" t="str">
        <f>VLOOKUP(A45,'2. Status Detalhe Campos'!$A$7:$G$574,7,0)</f>
        <v>4. Validação EF</v>
      </c>
      <c r="I45" s="280" t="s">
        <v>38</v>
      </c>
      <c r="J45" s="289">
        <v>45603</v>
      </c>
      <c r="K45" s="280">
        <v>45604</v>
      </c>
      <c r="L45" s="294">
        <f t="array" ref="L45">MIN(IF(W45:CI45&gt;0,$W$16:$CI$16))</f>
        <v>45609</v>
      </c>
      <c r="M45" s="295">
        <f t="array" ref="M45">MAX(IF(W45:CI45&gt;0,$W$16:$CI$16))</f>
        <v>45609</v>
      </c>
      <c r="N45" s="295"/>
      <c r="O45" s="249">
        <f>VLOOKUP(H45,Auxiliar!$B$16:$E$24,4,0)</f>
        <v>0.25</v>
      </c>
      <c r="P45" s="323">
        <f ca="1">IF(TODAY()&lt;=L45,0,MIN((TODAY()-L45)/(M45-L45+1),100%))</f>
        <v>1</v>
      </c>
      <c r="Q45" s="248">
        <f ca="1">O45-P45</f>
        <v>-0.75</v>
      </c>
      <c r="R45" s="266" t="s">
        <v>38</v>
      </c>
      <c r="S45" s="284"/>
      <c r="T45" s="274">
        <v>0.6</v>
      </c>
      <c r="U45" s="274">
        <f>ROUND(T45/8,1)</f>
        <v>0.1</v>
      </c>
      <c r="V45" s="274">
        <f>SUM(W45:CI45)-U45</f>
        <v>0</v>
      </c>
      <c r="W45" s="285"/>
      <c r="X45" s="285"/>
      <c r="Y45" s="285"/>
      <c r="Z45" s="285"/>
      <c r="AA45" s="285"/>
      <c r="AB45" s="285"/>
      <c r="AC45" s="285"/>
      <c r="AD45" s="286"/>
      <c r="AE45" s="285"/>
      <c r="AF45" s="285"/>
      <c r="AG45" s="285"/>
      <c r="AH45" s="287"/>
      <c r="AI45" s="292"/>
      <c r="AJ45" s="285"/>
      <c r="AK45" s="285"/>
      <c r="AL45" s="285">
        <v>0.1</v>
      </c>
      <c r="AM45" s="285"/>
      <c r="AN45" s="285"/>
      <c r="AO45" s="285"/>
      <c r="AP45" s="285"/>
      <c r="AQ45" s="285"/>
      <c r="AR45" s="285"/>
      <c r="AS45" s="285"/>
      <c r="AT45" s="285"/>
      <c r="AU45" s="285"/>
      <c r="AV45" s="285"/>
      <c r="AW45" s="285"/>
      <c r="AX45" s="285"/>
      <c r="AY45" s="285"/>
      <c r="AZ45" s="285"/>
      <c r="BA45" s="285"/>
      <c r="BB45" s="285"/>
      <c r="BC45" s="285"/>
      <c r="BD45" s="285"/>
      <c r="BE45" s="285"/>
      <c r="BF45" s="285"/>
      <c r="BG45" s="285"/>
      <c r="BH45" s="285"/>
      <c r="BI45" s="285"/>
      <c r="BJ45" s="285"/>
      <c r="BK45" s="285"/>
      <c r="BL45" s="285"/>
      <c r="BM45" s="285"/>
      <c r="BN45" s="285"/>
      <c r="BO45" s="286"/>
      <c r="BP45" s="286"/>
      <c r="BQ45" s="286"/>
      <c r="BR45" s="286"/>
      <c r="BS45" s="286"/>
      <c r="BT45" s="286"/>
      <c r="BU45" s="286"/>
      <c r="BV45" s="285"/>
      <c r="BW45" s="285"/>
      <c r="BX45" s="285"/>
      <c r="BY45" s="285"/>
      <c r="BZ45" s="285"/>
      <c r="CA45" s="285"/>
      <c r="CB45" s="285"/>
      <c r="CC45" s="285"/>
      <c r="CD45" s="285"/>
      <c r="CE45" s="285"/>
      <c r="CF45" s="285"/>
      <c r="CG45" s="285"/>
      <c r="CH45" s="285"/>
      <c r="CI45" s="285"/>
    </row>
    <row r="46" spans="1:87" ht="16.2" collapsed="1" x14ac:dyDescent="0.25">
      <c r="A46" s="278"/>
      <c r="B46" s="142" t="s">
        <v>26</v>
      </c>
      <c r="C46" s="138" t="s">
        <v>311</v>
      </c>
      <c r="D46" s="134"/>
      <c r="E46" s="240" t="s">
        <v>332</v>
      </c>
      <c r="F46" s="240" t="s">
        <v>1979</v>
      </c>
      <c r="G46" s="241">
        <f>COUNTA(G47:G49)</f>
        <v>3</v>
      </c>
      <c r="H46" s="299" t="s">
        <v>2017</v>
      </c>
      <c r="I46" s="280" t="s">
        <v>38</v>
      </c>
      <c r="J46" s="281">
        <f>MIN(J47:J49)</f>
        <v>45607</v>
      </c>
      <c r="K46" s="281">
        <f>MIN(K47:K49)</f>
        <v>45608</v>
      </c>
      <c r="L46" s="281">
        <f>MIN(L47:L49)</f>
        <v>45609</v>
      </c>
      <c r="M46" s="282">
        <f>MAX(M47:M49)</f>
        <v>45618</v>
      </c>
      <c r="N46" s="332">
        <f t="array" ref="N46">MAX(IF(W46:CI46&gt;0,$W$16:$CI$16))</f>
        <v>45618</v>
      </c>
      <c r="O46" s="330">
        <f>SUMPRODUCT(O47:O49,U47:U49)/SUM(U47:U49)</f>
        <v>1</v>
      </c>
      <c r="P46" s="330">
        <f ca="1">SUMPRODUCT(P47:P49,U47:U49)/SUM(U47:U49)</f>
        <v>1</v>
      </c>
      <c r="Q46" s="320">
        <f t="shared" ref="Q46:Q49" ca="1" si="16">O46-P46</f>
        <v>0</v>
      </c>
      <c r="R46" s="266" t="s">
        <v>38</v>
      </c>
      <c r="S46" s="284"/>
      <c r="T46" s="274"/>
      <c r="U46" s="274"/>
      <c r="V46" s="274"/>
      <c r="W46" s="285"/>
      <c r="X46" s="285"/>
      <c r="Y46" s="285"/>
      <c r="Z46" s="285"/>
      <c r="AA46" s="285"/>
      <c r="AB46" s="285"/>
      <c r="AC46" s="285"/>
      <c r="AD46" s="286"/>
      <c r="AE46" s="285"/>
      <c r="AF46" s="285"/>
      <c r="AG46" s="285"/>
      <c r="AH46" s="285"/>
      <c r="AI46" s="285"/>
      <c r="AJ46" s="287"/>
      <c r="AK46" s="292"/>
      <c r="AL46" s="285"/>
      <c r="AM46" s="285"/>
      <c r="AN46" s="285"/>
      <c r="AO46" s="285"/>
      <c r="AP46" s="285"/>
      <c r="AQ46" s="285"/>
      <c r="AR46" s="285"/>
      <c r="AS46" s="285" t="s">
        <v>444</v>
      </c>
      <c r="AT46" s="285"/>
      <c r="AU46" s="285"/>
      <c r="AV46" s="285"/>
      <c r="AW46" s="285"/>
      <c r="AX46" s="285"/>
      <c r="AY46" s="285"/>
      <c r="AZ46" s="285"/>
      <c r="BA46" s="285"/>
      <c r="BB46" s="285"/>
      <c r="BC46" s="285"/>
      <c r="BD46" s="285"/>
      <c r="BE46" s="285"/>
      <c r="BF46" s="285"/>
      <c r="BG46" s="285"/>
      <c r="BH46" s="285"/>
      <c r="BI46" s="285"/>
      <c r="BJ46" s="285"/>
      <c r="BK46" s="285"/>
      <c r="BL46" s="285"/>
      <c r="BM46" s="285"/>
      <c r="BN46" s="285"/>
      <c r="BO46" s="286"/>
      <c r="BP46" s="286"/>
      <c r="BQ46" s="286"/>
      <c r="BR46" s="286"/>
      <c r="BS46" s="286"/>
      <c r="BT46" s="286"/>
      <c r="BU46" s="286"/>
      <c r="BV46" s="285"/>
      <c r="BW46" s="285"/>
      <c r="BX46" s="285"/>
      <c r="BY46" s="285"/>
      <c r="BZ46" s="285"/>
      <c r="CA46" s="285"/>
      <c r="CB46" s="285"/>
      <c r="CC46" s="285"/>
      <c r="CD46" s="285"/>
      <c r="CE46" s="285"/>
      <c r="CF46" s="285"/>
      <c r="CG46" s="285"/>
      <c r="CH46" s="285"/>
      <c r="CI46" s="285"/>
    </row>
    <row r="47" spans="1:87" ht="16.2" hidden="1" outlineLevel="1" x14ac:dyDescent="0.25">
      <c r="A47" s="278" t="str">
        <f t="shared" ref="A47:A49" si="17">E47&amp;G47</f>
        <v>modesg_out_emss_vclscnsm_co2</v>
      </c>
      <c r="B47" s="142" t="s">
        <v>26</v>
      </c>
      <c r="C47" s="138" t="s">
        <v>311</v>
      </c>
      <c r="D47" s="236" t="s">
        <v>40</v>
      </c>
      <c r="E47" s="237" t="s">
        <v>332</v>
      </c>
      <c r="F47" s="237"/>
      <c r="G47" s="236" t="s">
        <v>188</v>
      </c>
      <c r="H47" s="236" t="str">
        <f>VLOOKUP(A47,'2. Status Detalhe Campos'!$A$7:$G$574,7,0)</f>
        <v>1. Concluído</v>
      </c>
      <c r="I47" s="280" t="s">
        <v>38</v>
      </c>
      <c r="J47" s="289">
        <v>45607</v>
      </c>
      <c r="K47" s="289">
        <v>45608</v>
      </c>
      <c r="L47" s="294">
        <f t="array" ref="L47">MIN(IF(W47:CI47&gt;0,$W$16:$CI$16))</f>
        <v>45618</v>
      </c>
      <c r="M47" s="295">
        <f t="array" ref="M47">MAX(IF(W47:CI47&gt;0,$W$16:$CI$16))</f>
        <v>45618</v>
      </c>
      <c r="N47" s="295"/>
      <c r="O47" s="249">
        <f>VLOOKUP(H47,Auxiliar!$B$16:$E$24,4,0)</f>
        <v>1</v>
      </c>
      <c r="P47" s="249">
        <f t="shared" ref="P47:P49" ca="1" si="18">IF(TODAY()&lt;=L47,0,MIN((TODAY()-L47)/(M47-L47+1),100%))</f>
        <v>1</v>
      </c>
      <c r="Q47" s="248">
        <f t="shared" ca="1" si="16"/>
        <v>0</v>
      </c>
      <c r="R47" s="266" t="s">
        <v>38</v>
      </c>
      <c r="S47" s="284" t="s">
        <v>1952</v>
      </c>
      <c r="T47" s="274">
        <v>8.1</v>
      </c>
      <c r="U47" s="274">
        <f t="shared" ref="U47:U49" si="19">ROUND(T47/8,1)</f>
        <v>1</v>
      </c>
      <c r="V47" s="274">
        <f t="shared" ref="V47:V49" si="20">SUM(W47:CI47)-U47</f>
        <v>0</v>
      </c>
      <c r="W47" s="285"/>
      <c r="X47" s="285"/>
      <c r="Y47" s="285"/>
      <c r="Z47" s="285"/>
      <c r="AA47" s="285"/>
      <c r="AB47" s="285"/>
      <c r="AC47" s="285"/>
      <c r="AD47" s="286"/>
      <c r="AE47" s="285"/>
      <c r="AF47" s="285"/>
      <c r="AG47" s="285"/>
      <c r="AH47" s="285"/>
      <c r="AI47" s="285"/>
      <c r="AJ47" s="287"/>
      <c r="AK47" s="292"/>
      <c r="AL47" s="285"/>
      <c r="AM47" s="285"/>
      <c r="AN47" s="285"/>
      <c r="AO47" s="285"/>
      <c r="AP47" s="285"/>
      <c r="AQ47" s="285"/>
      <c r="AR47" s="285"/>
      <c r="AS47" s="285">
        <v>1</v>
      </c>
      <c r="AT47" s="285"/>
      <c r="AU47" s="285"/>
      <c r="AV47" s="285"/>
      <c r="AW47" s="285"/>
      <c r="AX47" s="285"/>
      <c r="AY47" s="285"/>
      <c r="AZ47" s="285"/>
      <c r="BA47" s="285"/>
      <c r="BB47" s="285"/>
      <c r="BC47" s="285"/>
      <c r="BD47" s="285"/>
      <c r="BE47" s="285"/>
      <c r="BF47" s="285"/>
      <c r="BG47" s="285"/>
      <c r="BH47" s="285"/>
      <c r="BI47" s="285"/>
      <c r="BJ47" s="285"/>
      <c r="BK47" s="285"/>
      <c r="BL47" s="285"/>
      <c r="BM47" s="285"/>
      <c r="BN47" s="285"/>
      <c r="BO47" s="286"/>
      <c r="BP47" s="286"/>
      <c r="BQ47" s="286"/>
      <c r="BR47" s="286"/>
      <c r="BS47" s="286"/>
      <c r="BT47" s="286"/>
      <c r="BU47" s="286"/>
      <c r="BV47" s="285"/>
      <c r="BW47" s="285"/>
      <c r="BX47" s="285"/>
      <c r="BY47" s="285"/>
      <c r="BZ47" s="285"/>
      <c r="CA47" s="285"/>
      <c r="CB47" s="285"/>
      <c r="CC47" s="285"/>
      <c r="CD47" s="285"/>
      <c r="CE47" s="285"/>
      <c r="CF47" s="285"/>
      <c r="CG47" s="285"/>
      <c r="CH47" s="285"/>
      <c r="CI47" s="285"/>
    </row>
    <row r="48" spans="1:87" ht="16.2" hidden="1" outlineLevel="1" x14ac:dyDescent="0.25">
      <c r="A48" s="278" t="str">
        <f t="shared" si="17"/>
        <v>modesg_out_emss_vclsorigem_scp3_emss</v>
      </c>
      <c r="B48" s="142" t="s">
        <v>26</v>
      </c>
      <c r="C48" s="138" t="s">
        <v>311</v>
      </c>
      <c r="D48" s="236" t="s">
        <v>40</v>
      </c>
      <c r="E48" s="237" t="s">
        <v>332</v>
      </c>
      <c r="F48" s="237"/>
      <c r="G48" s="236" t="s">
        <v>322</v>
      </c>
      <c r="H48" s="236" t="str">
        <f>VLOOKUP(A48,'2. Status Detalhe Campos'!$A$7:$G$574,7,0)</f>
        <v>1. Concluído</v>
      </c>
      <c r="I48" s="280" t="s">
        <v>38</v>
      </c>
      <c r="J48" s="289">
        <v>45607</v>
      </c>
      <c r="K48" s="289">
        <v>45608</v>
      </c>
      <c r="L48" s="294">
        <f t="array" ref="L48">MIN(IF(W48:CI48&gt;0,$W$16:$CI$16))</f>
        <v>45609</v>
      </c>
      <c r="M48" s="295">
        <f t="array" ref="M48">MAX(IF(W48:CI48&gt;0,$W$16:$CI$16))</f>
        <v>45609</v>
      </c>
      <c r="N48" s="295"/>
      <c r="O48" s="249">
        <f>VLOOKUP(H48,Auxiliar!$B$16:$E$24,4,0)</f>
        <v>1</v>
      </c>
      <c r="P48" s="249">
        <f t="shared" ca="1" si="18"/>
        <v>1</v>
      </c>
      <c r="Q48" s="248">
        <f t="shared" ca="1" si="16"/>
        <v>0</v>
      </c>
      <c r="R48" s="266" t="s">
        <v>38</v>
      </c>
      <c r="S48" s="284" t="s">
        <v>1952</v>
      </c>
      <c r="T48" s="305">
        <v>3</v>
      </c>
      <c r="U48" s="274">
        <f t="shared" si="19"/>
        <v>0.4</v>
      </c>
      <c r="V48" s="274">
        <f t="shared" si="20"/>
        <v>0</v>
      </c>
      <c r="W48" s="285"/>
      <c r="X48" s="285"/>
      <c r="Y48" s="285"/>
      <c r="Z48" s="285"/>
      <c r="AA48" s="285"/>
      <c r="AB48" s="285"/>
      <c r="AC48" s="285"/>
      <c r="AD48" s="286"/>
      <c r="AE48" s="285"/>
      <c r="AF48" s="285"/>
      <c r="AG48" s="285"/>
      <c r="AH48" s="285"/>
      <c r="AI48" s="285"/>
      <c r="AJ48" s="287"/>
      <c r="AK48" s="292"/>
      <c r="AL48" s="285">
        <v>0.4</v>
      </c>
      <c r="AM48" s="285"/>
      <c r="AN48" s="285"/>
      <c r="AO48" s="285"/>
      <c r="AP48" s="285"/>
      <c r="AQ48" s="285"/>
      <c r="AR48" s="285"/>
      <c r="AS48" s="285"/>
      <c r="AT48" s="285"/>
      <c r="AU48" s="285"/>
      <c r="AV48" s="285"/>
      <c r="AW48" s="285"/>
      <c r="AX48" s="285"/>
      <c r="AY48" s="285"/>
      <c r="AZ48" s="285"/>
      <c r="BA48" s="285"/>
      <c r="BB48" s="285"/>
      <c r="BC48" s="285"/>
      <c r="BD48" s="285"/>
      <c r="BE48" s="285"/>
      <c r="BF48" s="285"/>
      <c r="BG48" s="285"/>
      <c r="BH48" s="285"/>
      <c r="BI48" s="285"/>
      <c r="BJ48" s="285"/>
      <c r="BK48" s="285"/>
      <c r="BL48" s="285"/>
      <c r="BM48" s="285"/>
      <c r="BN48" s="285"/>
      <c r="BO48" s="286"/>
      <c r="BP48" s="286"/>
      <c r="BQ48" s="286"/>
      <c r="BR48" s="286"/>
      <c r="BS48" s="286"/>
      <c r="BT48" s="286"/>
      <c r="BU48" s="286"/>
      <c r="BV48" s="285"/>
      <c r="BW48" s="285"/>
      <c r="BX48" s="285"/>
      <c r="BY48" s="285"/>
      <c r="BZ48" s="285"/>
      <c r="CA48" s="285"/>
      <c r="CB48" s="285"/>
      <c r="CC48" s="285"/>
      <c r="CD48" s="285"/>
      <c r="CE48" s="285"/>
      <c r="CF48" s="285"/>
      <c r="CG48" s="285"/>
      <c r="CH48" s="285"/>
      <c r="CI48" s="285"/>
    </row>
    <row r="49" spans="1:87" ht="16.2" hidden="1" outlineLevel="1" x14ac:dyDescent="0.25">
      <c r="A49" s="278" t="str">
        <f t="shared" si="17"/>
        <v>modesg_out_emss_vclsscp3_emss</v>
      </c>
      <c r="B49" s="142" t="s">
        <v>26</v>
      </c>
      <c r="C49" s="138" t="s">
        <v>311</v>
      </c>
      <c r="D49" s="236" t="s">
        <v>40</v>
      </c>
      <c r="E49" s="237" t="s">
        <v>332</v>
      </c>
      <c r="F49" s="237"/>
      <c r="G49" s="236" t="s">
        <v>288</v>
      </c>
      <c r="H49" s="236" t="str">
        <f>VLOOKUP(A49,'2. Status Detalhe Campos'!$A$7:$G$574,7,0)</f>
        <v>1. Concluído</v>
      </c>
      <c r="I49" s="280" t="s">
        <v>38</v>
      </c>
      <c r="J49" s="289">
        <v>45607</v>
      </c>
      <c r="K49" s="289">
        <v>45608</v>
      </c>
      <c r="L49" s="294">
        <f t="array" ref="L49">MIN(IF(W49:CI49&gt;0,$W$16:$CI$16))</f>
        <v>45615</v>
      </c>
      <c r="M49" s="295">
        <f t="array" ref="M49">MAX(IF(W49:CI49&gt;0,$W$16:$CI$16))</f>
        <v>45617</v>
      </c>
      <c r="N49" s="295"/>
      <c r="O49" s="249">
        <f>VLOOKUP(H49,Auxiliar!$B$16:$E$24,4,0)</f>
        <v>1</v>
      </c>
      <c r="P49" s="249">
        <f t="shared" ca="1" si="18"/>
        <v>1</v>
      </c>
      <c r="Q49" s="248">
        <f t="shared" ca="1" si="16"/>
        <v>0</v>
      </c>
      <c r="R49" s="266" t="s">
        <v>38</v>
      </c>
      <c r="S49" s="284" t="s">
        <v>1952</v>
      </c>
      <c r="T49" s="274">
        <v>16.100000000000001</v>
      </c>
      <c r="U49" s="274">
        <f t="shared" si="19"/>
        <v>2</v>
      </c>
      <c r="V49" s="304">
        <f t="shared" si="20"/>
        <v>0.29999999999999982</v>
      </c>
      <c r="W49" s="285"/>
      <c r="X49" s="285"/>
      <c r="Y49" s="285"/>
      <c r="Z49" s="285"/>
      <c r="AA49" s="285"/>
      <c r="AB49" s="285"/>
      <c r="AC49" s="285"/>
      <c r="AD49" s="286"/>
      <c r="AE49" s="285"/>
      <c r="AF49" s="285"/>
      <c r="AG49" s="285"/>
      <c r="AH49" s="285"/>
      <c r="AI49" s="285"/>
      <c r="AJ49" s="287"/>
      <c r="AK49" s="292"/>
      <c r="AL49" s="285"/>
      <c r="AM49" s="285"/>
      <c r="AN49" s="285"/>
      <c r="AO49" s="285"/>
      <c r="AP49" s="285">
        <v>0.3</v>
      </c>
      <c r="AQ49" s="285">
        <v>1</v>
      </c>
      <c r="AR49" s="285">
        <v>1</v>
      </c>
      <c r="AS49" s="285"/>
      <c r="AT49" s="285"/>
      <c r="AU49" s="285"/>
      <c r="AV49" s="285"/>
      <c r="AW49" s="285"/>
      <c r="AX49" s="285"/>
      <c r="AY49" s="285"/>
      <c r="AZ49" s="285"/>
      <c r="BA49" s="285"/>
      <c r="BB49" s="285"/>
      <c r="BC49" s="285"/>
      <c r="BD49" s="285"/>
      <c r="BE49" s="285"/>
      <c r="BF49" s="285"/>
      <c r="BG49" s="285"/>
      <c r="BH49" s="285"/>
      <c r="BI49" s="285"/>
      <c r="BJ49" s="285"/>
      <c r="BK49" s="285"/>
      <c r="BL49" s="285"/>
      <c r="BM49" s="285"/>
      <c r="BN49" s="285"/>
      <c r="BO49" s="286"/>
      <c r="BP49" s="286"/>
      <c r="BQ49" s="286"/>
      <c r="BR49" s="286"/>
      <c r="BS49" s="286"/>
      <c r="BT49" s="286"/>
      <c r="BU49" s="286"/>
      <c r="BV49" s="285"/>
      <c r="BW49" s="285"/>
      <c r="BX49" s="285"/>
      <c r="BY49" s="285"/>
      <c r="BZ49" s="285"/>
      <c r="CA49" s="285"/>
      <c r="CB49" s="285"/>
      <c r="CC49" s="285"/>
      <c r="CD49" s="285"/>
      <c r="CE49" s="285"/>
      <c r="CF49" s="285"/>
      <c r="CG49" s="285"/>
      <c r="CH49" s="285"/>
      <c r="CI49" s="285"/>
    </row>
    <row r="50" spans="1:87" ht="15" customHeight="1" collapsed="1" x14ac:dyDescent="0.25">
      <c r="A50" s="278"/>
      <c r="B50" s="142" t="s">
        <v>26</v>
      </c>
      <c r="C50" s="138" t="s">
        <v>26</v>
      </c>
      <c r="D50" s="134"/>
      <c r="E50" s="242" t="s">
        <v>1956</v>
      </c>
      <c r="F50" s="240" t="s">
        <v>2003</v>
      </c>
      <c r="G50" s="241">
        <f>COUNTA(G51:G60)</f>
        <v>10</v>
      </c>
      <c r="H50" s="299" t="s">
        <v>2017</v>
      </c>
      <c r="I50" s="309">
        <f>MAX(I51:I60)</f>
        <v>45603</v>
      </c>
      <c r="J50" s="281">
        <f>MIN(J51:J60)</f>
        <v>45611</v>
      </c>
      <c r="K50" s="281">
        <f>MIN(K51:K60)</f>
        <v>45611</v>
      </c>
      <c r="L50" s="282">
        <f>MIN(L51:L60)</f>
        <v>45624</v>
      </c>
      <c r="M50" s="282">
        <f>MAX(M51:M60)</f>
        <v>45624</v>
      </c>
      <c r="N50" s="332">
        <f t="array" ref="N50">MAX(IF(W50:CI50&gt;0,$W$16:$CI$16))</f>
        <v>45625</v>
      </c>
      <c r="O50" s="330">
        <f>SUMPRODUCT(O51:O60,U51:U60)/SUM(U51:U60)</f>
        <v>1</v>
      </c>
      <c r="P50" s="330">
        <f ca="1">SUMPRODUCT(P51:P60,U51:U60)/SUM(U51:U60)</f>
        <v>1</v>
      </c>
      <c r="Q50" s="248">
        <f t="shared" ref="Q50:Q60" ca="1" si="21">O50-P50</f>
        <v>0</v>
      </c>
      <c r="R50" s="266" t="s">
        <v>2049</v>
      </c>
      <c r="S50" s="284"/>
      <c r="T50" s="274"/>
      <c r="U50" s="274"/>
      <c r="V50" s="274"/>
      <c r="W50" s="285"/>
      <c r="X50" s="285"/>
      <c r="Y50" s="285"/>
      <c r="Z50" s="293"/>
      <c r="AA50" s="285"/>
      <c r="AB50" s="285"/>
      <c r="AC50" s="285"/>
      <c r="AD50" s="286"/>
      <c r="AE50" s="285"/>
      <c r="AF50" s="285"/>
      <c r="AG50" s="285"/>
      <c r="AH50" s="293"/>
      <c r="AI50" s="285"/>
      <c r="AJ50" s="285"/>
      <c r="AK50" s="285"/>
      <c r="AL50" s="285"/>
      <c r="AM50" s="285"/>
      <c r="AN50" s="292"/>
      <c r="AO50" s="285"/>
      <c r="AP50" s="285"/>
      <c r="AQ50" s="285"/>
      <c r="AR50" s="285"/>
      <c r="AS50" s="285"/>
      <c r="AT50" s="285"/>
      <c r="AU50" s="285"/>
      <c r="AV50" s="285"/>
      <c r="AW50" s="285"/>
      <c r="AX50" s="285" t="s">
        <v>444</v>
      </c>
      <c r="AY50" s="285"/>
      <c r="AZ50" s="285"/>
      <c r="BA50" s="285"/>
      <c r="BB50" s="285"/>
      <c r="BC50" s="285"/>
      <c r="BD50" s="285"/>
      <c r="BE50" s="285"/>
      <c r="BF50" s="285"/>
      <c r="BG50" s="285"/>
      <c r="BH50" s="285"/>
      <c r="BI50" s="285"/>
      <c r="BJ50" s="285"/>
      <c r="BK50" s="285"/>
      <c r="BL50" s="285"/>
      <c r="BM50" s="365"/>
      <c r="BN50" s="285"/>
      <c r="BO50" s="286"/>
      <c r="BP50" s="286"/>
      <c r="BQ50" s="286"/>
      <c r="BR50" s="286"/>
      <c r="BS50" s="286"/>
      <c r="BT50" s="286"/>
      <c r="BU50" s="286"/>
      <c r="BV50" s="285"/>
      <c r="BW50" s="285"/>
      <c r="BX50" s="285"/>
      <c r="BY50" s="285"/>
      <c r="BZ50" s="285"/>
      <c r="CA50" s="285"/>
      <c r="CB50" s="285"/>
      <c r="CC50" s="285"/>
      <c r="CD50" s="285"/>
      <c r="CE50" s="285"/>
      <c r="CF50" s="285"/>
      <c r="CG50" s="285"/>
      <c r="CH50" s="285"/>
      <c r="CI50" s="285"/>
    </row>
    <row r="51" spans="1:87" ht="16.2" hidden="1" outlineLevel="1" x14ac:dyDescent="0.25">
      <c r="A51" s="278" t="str">
        <f t="shared" ref="A51:A60" si="22">E51&amp;G51</f>
        <v>lt827_mthd_usd_instrmntambito</v>
      </c>
      <c r="B51" s="142" t="s">
        <v>26</v>
      </c>
      <c r="C51" s="138" t="s">
        <v>26</v>
      </c>
      <c r="D51" s="236" t="s">
        <v>40</v>
      </c>
      <c r="E51" s="239" t="s">
        <v>1956</v>
      </c>
      <c r="F51" s="239"/>
      <c r="G51" s="239" t="s">
        <v>391</v>
      </c>
      <c r="H51" s="236" t="str">
        <f>VLOOKUP(A51,'2. Status Detalhe Campos'!$A$7:$G$574,7,0)</f>
        <v>1. Concluído</v>
      </c>
      <c r="I51" s="314">
        <v>45603</v>
      </c>
      <c r="J51" s="333">
        <v>45611</v>
      </c>
      <c r="K51" s="333">
        <v>45611</v>
      </c>
      <c r="L51" s="294">
        <f t="array" ref="L51">MIN(IF(W51:CI51&gt;0,$W$16:$CI$16))</f>
        <v>45624</v>
      </c>
      <c r="M51" s="295">
        <f t="array" ref="M51">MAX(IF(W51:CI51&gt;0,$W$16:$CI$16))</f>
        <v>45624</v>
      </c>
      <c r="N51" s="295"/>
      <c r="O51" s="249">
        <f>VLOOKUP(H51,Auxiliar!$B$16:$E$24,4,0)</f>
        <v>1</v>
      </c>
      <c r="P51" s="249">
        <f t="shared" ref="P51:P60" ca="1" si="23">IF(TODAY()&lt;=L51,0,MIN((TODAY()-L51)/(M51-L51+1),100%))</f>
        <v>1</v>
      </c>
      <c r="Q51" s="248">
        <f t="shared" ca="1" si="21"/>
        <v>0</v>
      </c>
      <c r="R51" s="266" t="s">
        <v>38</v>
      </c>
      <c r="S51" s="284"/>
      <c r="T51" s="274">
        <v>4.0999999999999996</v>
      </c>
      <c r="U51" s="274">
        <f t="shared" ref="U51:U60" si="24">ROUND(T51/8,1)</f>
        <v>0.5</v>
      </c>
      <c r="V51" s="274">
        <f t="shared" ref="V51:V60" si="25">SUM(W51:CI51)-U51</f>
        <v>0</v>
      </c>
      <c r="W51" s="285"/>
      <c r="X51" s="285"/>
      <c r="Y51" s="285"/>
      <c r="Z51" s="293"/>
      <c r="AA51" s="285"/>
      <c r="AB51" s="285"/>
      <c r="AC51" s="285"/>
      <c r="AD51" s="286"/>
      <c r="AE51" s="285"/>
      <c r="AF51" s="285"/>
      <c r="AG51" s="285"/>
      <c r="AH51" s="293"/>
      <c r="AI51" s="285"/>
      <c r="AJ51" s="285"/>
      <c r="AK51" s="285"/>
      <c r="AL51" s="285"/>
      <c r="AM51" s="285"/>
      <c r="AN51" s="292"/>
      <c r="AO51" s="285"/>
      <c r="AP51" s="285"/>
      <c r="AQ51" s="285"/>
      <c r="AR51" s="285"/>
      <c r="AS51" s="285"/>
      <c r="AT51" s="285"/>
      <c r="AU51" s="285"/>
      <c r="AV51" s="285"/>
      <c r="AW51" s="285">
        <v>0.5</v>
      </c>
      <c r="AX51" s="285"/>
      <c r="AY51" s="285"/>
      <c r="AZ51" s="285"/>
      <c r="BA51" s="285"/>
      <c r="BB51" s="285"/>
      <c r="BC51" s="285"/>
      <c r="BD51" s="285"/>
      <c r="BE51" s="285"/>
      <c r="BF51" s="285"/>
      <c r="BG51" s="285"/>
      <c r="BH51" s="285"/>
      <c r="BI51" s="285"/>
      <c r="BJ51" s="285"/>
      <c r="BK51" s="285"/>
      <c r="BL51" s="285"/>
      <c r="BM51" s="285"/>
      <c r="BN51" s="285"/>
      <c r="BO51" s="286"/>
      <c r="BP51" s="286"/>
      <c r="BQ51" s="286"/>
      <c r="BR51" s="286"/>
      <c r="BS51" s="286"/>
      <c r="BT51" s="286"/>
      <c r="BU51" s="286"/>
      <c r="BV51" s="285"/>
      <c r="BW51" s="285"/>
      <c r="BX51" s="285"/>
      <c r="BY51" s="285"/>
      <c r="BZ51" s="285"/>
      <c r="CA51" s="285"/>
      <c r="CB51" s="285"/>
      <c r="CC51" s="285"/>
      <c r="CD51" s="285"/>
      <c r="CE51" s="285"/>
      <c r="CF51" s="285"/>
      <c r="CG51" s="285"/>
      <c r="CH51" s="285"/>
      <c r="CI51" s="285"/>
    </row>
    <row r="52" spans="1:87" ht="16.2" hidden="1" outlineLevel="1" x14ac:dyDescent="0.25">
      <c r="A52" s="278" t="str">
        <f t="shared" si="22"/>
        <v>lt827_mthd_usd_instrmntref_date</v>
      </c>
      <c r="B52" s="142" t="s">
        <v>26</v>
      </c>
      <c r="C52" s="138" t="s">
        <v>26</v>
      </c>
      <c r="D52" s="236" t="s">
        <v>40</v>
      </c>
      <c r="E52" s="239" t="s">
        <v>1956</v>
      </c>
      <c r="F52" s="239"/>
      <c r="G52" s="239" t="s">
        <v>208</v>
      </c>
      <c r="H52" s="236" t="str">
        <f>VLOOKUP(A52,'2. Status Detalhe Campos'!$A$7:$G$574,7,0)</f>
        <v>1. Concluído</v>
      </c>
      <c r="I52" s="314">
        <v>45603</v>
      </c>
      <c r="J52" s="333">
        <v>45611</v>
      </c>
      <c r="K52" s="333">
        <v>45611</v>
      </c>
      <c r="L52" s="294">
        <f t="array" ref="L52">MIN(IF(W52:CI52&gt;0,$W$16:$CI$16))</f>
        <v>45624</v>
      </c>
      <c r="M52" s="295">
        <f t="array" ref="M52">MAX(IF(W52:CI52&gt;0,$W$16:$CI$16))</f>
        <v>45624</v>
      </c>
      <c r="N52" s="295"/>
      <c r="O52" s="249">
        <f>VLOOKUP(H52,Auxiliar!$B$16:$E$24,4,0)</f>
        <v>1</v>
      </c>
      <c r="P52" s="249">
        <f t="shared" ca="1" si="23"/>
        <v>1</v>
      </c>
      <c r="Q52" s="248">
        <f t="shared" ca="1" si="21"/>
        <v>0</v>
      </c>
      <c r="R52" s="266" t="s">
        <v>38</v>
      </c>
      <c r="S52" s="284"/>
      <c r="T52" s="274">
        <v>4.0999999999999996</v>
      </c>
      <c r="U52" s="274">
        <f t="shared" si="24"/>
        <v>0.5</v>
      </c>
      <c r="V52" s="274">
        <f t="shared" si="25"/>
        <v>0</v>
      </c>
      <c r="W52" s="285"/>
      <c r="X52" s="285"/>
      <c r="Y52" s="285"/>
      <c r="Z52" s="293"/>
      <c r="AA52" s="285"/>
      <c r="AB52" s="285"/>
      <c r="AC52" s="285"/>
      <c r="AD52" s="286"/>
      <c r="AE52" s="285"/>
      <c r="AF52" s="285"/>
      <c r="AG52" s="285"/>
      <c r="AH52" s="293"/>
      <c r="AI52" s="285"/>
      <c r="AJ52" s="285"/>
      <c r="AK52" s="285"/>
      <c r="AL52" s="285"/>
      <c r="AM52" s="285"/>
      <c r="AN52" s="292"/>
      <c r="AO52" s="285"/>
      <c r="AP52" s="285"/>
      <c r="AQ52" s="285"/>
      <c r="AR52" s="285"/>
      <c r="AS52" s="285"/>
      <c r="AT52" s="285"/>
      <c r="AU52" s="285"/>
      <c r="AV52" s="285"/>
      <c r="AW52" s="285">
        <v>0.5</v>
      </c>
      <c r="AX52" s="285"/>
      <c r="AY52" s="285"/>
      <c r="AZ52" s="285"/>
      <c r="BA52" s="285"/>
      <c r="BB52" s="285"/>
      <c r="BC52" s="285"/>
      <c r="BD52" s="285"/>
      <c r="BE52" s="285"/>
      <c r="BF52" s="285"/>
      <c r="BG52" s="285"/>
      <c r="BH52" s="285"/>
      <c r="BI52" s="285"/>
      <c r="BJ52" s="285"/>
      <c r="BK52" s="285"/>
      <c r="BL52" s="285"/>
      <c r="BM52" s="285"/>
      <c r="BN52" s="285"/>
      <c r="BO52" s="286"/>
      <c r="BP52" s="286"/>
      <c r="BQ52" s="286"/>
      <c r="BR52" s="286"/>
      <c r="BS52" s="286"/>
      <c r="BT52" s="286"/>
      <c r="BU52" s="286"/>
      <c r="BV52" s="285"/>
      <c r="BW52" s="285"/>
      <c r="BX52" s="285"/>
      <c r="BY52" s="285"/>
      <c r="BZ52" s="285"/>
      <c r="CA52" s="285"/>
      <c r="CB52" s="285"/>
      <c r="CC52" s="285"/>
      <c r="CD52" s="285"/>
      <c r="CE52" s="285"/>
      <c r="CF52" s="285"/>
      <c r="CG52" s="285"/>
      <c r="CH52" s="285"/>
      <c r="CI52" s="285"/>
    </row>
    <row r="53" spans="1:87" ht="16.2" hidden="1" outlineLevel="1" x14ac:dyDescent="0.25">
      <c r="A53" s="278" t="str">
        <f t="shared" si="22"/>
        <v>lt827_mthd_usd_instrmntordem</v>
      </c>
      <c r="B53" s="142" t="s">
        <v>26</v>
      </c>
      <c r="C53" s="138" t="s">
        <v>26</v>
      </c>
      <c r="D53" s="236" t="s">
        <v>40</v>
      </c>
      <c r="E53" s="239" t="s">
        <v>1956</v>
      </c>
      <c r="F53" s="239"/>
      <c r="G53" s="239" t="s">
        <v>211</v>
      </c>
      <c r="H53" s="236" t="str">
        <f>VLOOKUP(A53,'2. Status Detalhe Campos'!$A$7:$G$574,7,0)</f>
        <v>1. Concluído</v>
      </c>
      <c r="I53" s="314">
        <v>45603</v>
      </c>
      <c r="J53" s="333">
        <v>45611</v>
      </c>
      <c r="K53" s="333">
        <v>45611</v>
      </c>
      <c r="L53" s="294">
        <f t="array" ref="L53">MIN(IF(W53:CI53&gt;0,$W$16:$CI$16))</f>
        <v>45624</v>
      </c>
      <c r="M53" s="295">
        <f t="array" ref="M53">MAX(IF(W53:CI53&gt;0,$W$16:$CI$16))</f>
        <v>45624</v>
      </c>
      <c r="N53" s="295"/>
      <c r="O53" s="249">
        <f>VLOOKUP(H53,Auxiliar!$B$16:$E$24,4,0)</f>
        <v>1</v>
      </c>
      <c r="P53" s="249">
        <f t="shared" ca="1" si="23"/>
        <v>1</v>
      </c>
      <c r="Q53" s="248">
        <f t="shared" ca="1" si="21"/>
        <v>0</v>
      </c>
      <c r="R53" s="266" t="s">
        <v>38</v>
      </c>
      <c r="S53" s="284"/>
      <c r="T53" s="274">
        <v>4.0999999999999996</v>
      </c>
      <c r="U53" s="274">
        <f t="shared" si="24"/>
        <v>0.5</v>
      </c>
      <c r="V53" s="274">
        <f t="shared" si="25"/>
        <v>0</v>
      </c>
      <c r="W53" s="285"/>
      <c r="X53" s="285"/>
      <c r="Y53" s="285"/>
      <c r="Z53" s="293"/>
      <c r="AA53" s="285"/>
      <c r="AB53" s="285"/>
      <c r="AC53" s="285"/>
      <c r="AD53" s="286"/>
      <c r="AE53" s="285"/>
      <c r="AF53" s="285"/>
      <c r="AG53" s="285"/>
      <c r="AH53" s="293"/>
      <c r="AI53" s="285"/>
      <c r="AJ53" s="285"/>
      <c r="AK53" s="285"/>
      <c r="AL53" s="285"/>
      <c r="AM53" s="285"/>
      <c r="AN53" s="292"/>
      <c r="AO53" s="285"/>
      <c r="AP53" s="285"/>
      <c r="AQ53" s="285"/>
      <c r="AR53" s="285"/>
      <c r="AS53" s="285"/>
      <c r="AT53" s="285"/>
      <c r="AU53" s="285"/>
      <c r="AV53" s="285"/>
      <c r="AW53" s="285">
        <v>0.5</v>
      </c>
      <c r="AX53" s="285"/>
      <c r="AY53" s="285"/>
      <c r="AZ53" s="285"/>
      <c r="BA53" s="285"/>
      <c r="BB53" s="285"/>
      <c r="BC53" s="285"/>
      <c r="BD53" s="285"/>
      <c r="BE53" s="285"/>
      <c r="BF53" s="285"/>
      <c r="BG53" s="285"/>
      <c r="BH53" s="285"/>
      <c r="BI53" s="285"/>
      <c r="BJ53" s="285"/>
      <c r="BK53" s="285"/>
      <c r="BL53" s="285"/>
      <c r="BM53" s="285"/>
      <c r="BN53" s="285"/>
      <c r="BO53" s="286"/>
      <c r="BP53" s="286"/>
      <c r="BQ53" s="286"/>
      <c r="BR53" s="286"/>
      <c r="BS53" s="286"/>
      <c r="BT53" s="286"/>
      <c r="BU53" s="286"/>
      <c r="BV53" s="285"/>
      <c r="BW53" s="285"/>
      <c r="BX53" s="285"/>
      <c r="BY53" s="285"/>
      <c r="BZ53" s="285"/>
      <c r="CA53" s="285"/>
      <c r="CB53" s="285"/>
      <c r="CC53" s="285"/>
      <c r="CD53" s="285"/>
      <c r="CE53" s="285"/>
      <c r="CF53" s="285"/>
      <c r="CG53" s="285"/>
      <c r="CH53" s="285"/>
      <c r="CI53" s="285"/>
    </row>
    <row r="54" spans="1:87" ht="16.2" hidden="1" outlineLevel="1" x14ac:dyDescent="0.25">
      <c r="A54" s="278" t="str">
        <f t="shared" si="22"/>
        <v>lt827_mthd_usd_instrmnttabela</v>
      </c>
      <c r="B54" s="142" t="s">
        <v>26</v>
      </c>
      <c r="C54" s="138" t="s">
        <v>26</v>
      </c>
      <c r="D54" s="236" t="s">
        <v>40</v>
      </c>
      <c r="E54" s="239" t="s">
        <v>1956</v>
      </c>
      <c r="F54" s="239"/>
      <c r="G54" s="239" t="s">
        <v>392</v>
      </c>
      <c r="H54" s="236" t="str">
        <f>VLOOKUP(A54,'2. Status Detalhe Campos'!$A$7:$G$574,7,0)</f>
        <v>1. Concluído</v>
      </c>
      <c r="I54" s="314">
        <v>45603</v>
      </c>
      <c r="J54" s="333">
        <v>45611</v>
      </c>
      <c r="K54" s="333">
        <v>45611</v>
      </c>
      <c r="L54" s="294">
        <f t="array" ref="L54">MIN(IF(W54:CI54&gt;0,$W$16:$CI$16))</f>
        <v>45624</v>
      </c>
      <c r="M54" s="295">
        <f t="array" ref="M54">MAX(IF(W54:CI54&gt;0,$W$16:$CI$16))</f>
        <v>45624</v>
      </c>
      <c r="N54" s="295"/>
      <c r="O54" s="249">
        <f>VLOOKUP(H54,Auxiliar!$B$16:$E$24,4,0)</f>
        <v>1</v>
      </c>
      <c r="P54" s="249">
        <f t="shared" ca="1" si="23"/>
        <v>1</v>
      </c>
      <c r="Q54" s="248">
        <f t="shared" ca="1" si="21"/>
        <v>0</v>
      </c>
      <c r="R54" s="266" t="s">
        <v>38</v>
      </c>
      <c r="S54" s="284"/>
      <c r="T54" s="274">
        <v>4.0999999999999996</v>
      </c>
      <c r="U54" s="274">
        <f t="shared" si="24"/>
        <v>0.5</v>
      </c>
      <c r="V54" s="274">
        <f t="shared" si="25"/>
        <v>0</v>
      </c>
      <c r="W54" s="285"/>
      <c r="X54" s="285"/>
      <c r="Y54" s="285"/>
      <c r="Z54" s="293"/>
      <c r="AA54" s="285"/>
      <c r="AB54" s="285"/>
      <c r="AC54" s="285"/>
      <c r="AD54" s="286"/>
      <c r="AE54" s="285"/>
      <c r="AF54" s="285"/>
      <c r="AG54" s="285"/>
      <c r="AH54" s="293"/>
      <c r="AI54" s="285"/>
      <c r="AJ54" s="285"/>
      <c r="AK54" s="285"/>
      <c r="AL54" s="285"/>
      <c r="AM54" s="285"/>
      <c r="AN54" s="292"/>
      <c r="AO54" s="285"/>
      <c r="AP54" s="285"/>
      <c r="AQ54" s="285"/>
      <c r="AR54" s="285"/>
      <c r="AS54" s="285"/>
      <c r="AT54" s="285"/>
      <c r="AU54" s="285"/>
      <c r="AV54" s="285"/>
      <c r="AW54" s="285">
        <v>0.5</v>
      </c>
      <c r="AX54" s="285"/>
      <c r="AY54" s="285"/>
      <c r="AZ54" s="285"/>
      <c r="BA54" s="285"/>
      <c r="BB54" s="285"/>
      <c r="BC54" s="285"/>
      <c r="BD54" s="285"/>
      <c r="BE54" s="285"/>
      <c r="BF54" s="285"/>
      <c r="BG54" s="285"/>
      <c r="BH54" s="285"/>
      <c r="BI54" s="285"/>
      <c r="BJ54" s="285"/>
      <c r="BK54" s="285"/>
      <c r="BL54" s="285"/>
      <c r="BM54" s="285"/>
      <c r="BN54" s="285"/>
      <c r="BO54" s="286"/>
      <c r="BP54" s="286"/>
      <c r="BQ54" s="286"/>
      <c r="BR54" s="286"/>
      <c r="BS54" s="286"/>
      <c r="BT54" s="286"/>
      <c r="BU54" s="286"/>
      <c r="BV54" s="285"/>
      <c r="BW54" s="285"/>
      <c r="BX54" s="285"/>
      <c r="BY54" s="285"/>
      <c r="BZ54" s="285"/>
      <c r="CA54" s="285"/>
      <c r="CB54" s="285"/>
      <c r="CC54" s="285"/>
      <c r="CD54" s="285"/>
      <c r="CE54" s="285"/>
      <c r="CF54" s="285"/>
      <c r="CG54" s="285"/>
      <c r="CH54" s="285"/>
      <c r="CI54" s="285"/>
    </row>
    <row r="55" spans="1:87" ht="16.2" hidden="1" outlineLevel="1" x14ac:dyDescent="0.25">
      <c r="A55" s="278" t="str">
        <f t="shared" si="22"/>
        <v>lt827_mthd_usd_instrmntorigem_scp1_emss</v>
      </c>
      <c r="B55" s="142" t="s">
        <v>26</v>
      </c>
      <c r="C55" s="138" t="s">
        <v>26</v>
      </c>
      <c r="D55" s="236" t="s">
        <v>40</v>
      </c>
      <c r="E55" s="239" t="s">
        <v>1956</v>
      </c>
      <c r="F55" s="239"/>
      <c r="G55" s="239" t="s">
        <v>320</v>
      </c>
      <c r="H55" s="236" t="str">
        <f>VLOOKUP(A55,'2. Status Detalhe Campos'!$A$7:$G$574,7,0)</f>
        <v>1. Concluído</v>
      </c>
      <c r="I55" s="314">
        <v>45603</v>
      </c>
      <c r="J55" s="333">
        <v>45611</v>
      </c>
      <c r="K55" s="333">
        <v>45611</v>
      </c>
      <c r="L55" s="294">
        <f t="array" ref="L55">MIN(IF(W55:CI55&gt;0,$W$16:$CI$16))</f>
        <v>45624</v>
      </c>
      <c r="M55" s="295">
        <f t="array" ref="M55">MAX(IF(W55:CI55&gt;0,$W$16:$CI$16))</f>
        <v>45624</v>
      </c>
      <c r="N55" s="295"/>
      <c r="O55" s="249">
        <f>VLOOKUP(H55,Auxiliar!$B$16:$E$24,4,0)</f>
        <v>1</v>
      </c>
      <c r="P55" s="249">
        <f t="shared" ca="1" si="23"/>
        <v>1</v>
      </c>
      <c r="Q55" s="248">
        <f t="shared" ca="1" si="21"/>
        <v>0</v>
      </c>
      <c r="R55" s="266" t="s">
        <v>38</v>
      </c>
      <c r="S55" s="284"/>
      <c r="T55" s="274">
        <v>4.0999999999999996</v>
      </c>
      <c r="U55" s="274">
        <f t="shared" si="24"/>
        <v>0.5</v>
      </c>
      <c r="V55" s="274">
        <f t="shared" si="25"/>
        <v>0</v>
      </c>
      <c r="W55" s="285"/>
      <c r="X55" s="285"/>
      <c r="Y55" s="285"/>
      <c r="Z55" s="293"/>
      <c r="AA55" s="285"/>
      <c r="AB55" s="285"/>
      <c r="AC55" s="285"/>
      <c r="AD55" s="286"/>
      <c r="AE55" s="285"/>
      <c r="AF55" s="285"/>
      <c r="AG55" s="285"/>
      <c r="AH55" s="293"/>
      <c r="AI55" s="285"/>
      <c r="AJ55" s="285"/>
      <c r="AK55" s="285"/>
      <c r="AL55" s="285"/>
      <c r="AM55" s="285"/>
      <c r="AN55" s="292"/>
      <c r="AO55" s="285"/>
      <c r="AP55" s="285"/>
      <c r="AQ55" s="285"/>
      <c r="AR55" s="285"/>
      <c r="AS55" s="285"/>
      <c r="AT55" s="285"/>
      <c r="AU55" s="285"/>
      <c r="AV55" s="285"/>
      <c r="AW55" s="285">
        <v>0.5</v>
      </c>
      <c r="AX55" s="285"/>
      <c r="AY55" s="285"/>
      <c r="AZ55" s="285"/>
      <c r="BA55" s="285"/>
      <c r="BB55" s="285"/>
      <c r="BC55" s="285"/>
      <c r="BD55" s="285"/>
      <c r="BE55" s="285"/>
      <c r="BF55" s="285"/>
      <c r="BG55" s="285"/>
      <c r="BH55" s="285"/>
      <c r="BI55" s="285"/>
      <c r="BJ55" s="285"/>
      <c r="BK55" s="285"/>
      <c r="BL55" s="285"/>
      <c r="BM55" s="285"/>
      <c r="BN55" s="285"/>
      <c r="BO55" s="286"/>
      <c r="BP55" s="286"/>
      <c r="BQ55" s="286"/>
      <c r="BR55" s="286"/>
      <c r="BS55" s="286"/>
      <c r="BT55" s="286"/>
      <c r="BU55" s="286"/>
      <c r="BV55" s="285"/>
      <c r="BW55" s="285"/>
      <c r="BX55" s="285"/>
      <c r="BY55" s="285"/>
      <c r="BZ55" s="285"/>
      <c r="CA55" s="285"/>
      <c r="CB55" s="285"/>
      <c r="CC55" s="285"/>
      <c r="CD55" s="285"/>
      <c r="CE55" s="285"/>
      <c r="CF55" s="285"/>
      <c r="CG55" s="285"/>
      <c r="CH55" s="285"/>
      <c r="CI55" s="285"/>
    </row>
    <row r="56" spans="1:87" ht="16.2" hidden="1" outlineLevel="1" x14ac:dyDescent="0.25">
      <c r="A56" s="278" t="str">
        <f t="shared" si="22"/>
        <v>lt827_mthd_usd_instrmntorigem_scp2_emss</v>
      </c>
      <c r="B56" s="142" t="s">
        <v>26</v>
      </c>
      <c r="C56" s="138" t="s">
        <v>26</v>
      </c>
      <c r="D56" s="236" t="s">
        <v>40</v>
      </c>
      <c r="E56" s="239" t="s">
        <v>1956</v>
      </c>
      <c r="F56" s="239"/>
      <c r="G56" s="239" t="s">
        <v>321</v>
      </c>
      <c r="H56" s="236" t="str">
        <f>VLOOKUP(A56,'2. Status Detalhe Campos'!$A$7:$G$574,7,0)</f>
        <v>1. Concluído</v>
      </c>
      <c r="I56" s="314">
        <v>45603</v>
      </c>
      <c r="J56" s="333">
        <v>45611</v>
      </c>
      <c r="K56" s="333">
        <v>45611</v>
      </c>
      <c r="L56" s="294">
        <f t="array" ref="L56">MIN(IF(W56:CI56&gt;0,$W$16:$CI$16))</f>
        <v>45624</v>
      </c>
      <c r="M56" s="295">
        <f t="array" ref="M56">MAX(IF(W56:CI56&gt;0,$W$16:$CI$16))</f>
        <v>45624</v>
      </c>
      <c r="N56" s="295"/>
      <c r="O56" s="249">
        <f>VLOOKUP(H56,Auxiliar!$B$16:$E$24,4,0)</f>
        <v>1</v>
      </c>
      <c r="P56" s="249">
        <f t="shared" ca="1" si="23"/>
        <v>1</v>
      </c>
      <c r="Q56" s="248">
        <f t="shared" ca="1" si="21"/>
        <v>0</v>
      </c>
      <c r="R56" s="266" t="s">
        <v>38</v>
      </c>
      <c r="S56" s="284"/>
      <c r="T56" s="274">
        <v>4.0999999999999996</v>
      </c>
      <c r="U56" s="274">
        <f t="shared" si="24"/>
        <v>0.5</v>
      </c>
      <c r="V56" s="274">
        <f t="shared" si="25"/>
        <v>0</v>
      </c>
      <c r="W56" s="285"/>
      <c r="X56" s="285"/>
      <c r="Y56" s="285"/>
      <c r="Z56" s="293"/>
      <c r="AA56" s="285"/>
      <c r="AB56" s="285"/>
      <c r="AC56" s="285"/>
      <c r="AD56" s="286"/>
      <c r="AE56" s="285"/>
      <c r="AF56" s="285"/>
      <c r="AG56" s="285"/>
      <c r="AH56" s="293"/>
      <c r="AI56" s="285"/>
      <c r="AJ56" s="285"/>
      <c r="AK56" s="285"/>
      <c r="AL56" s="285"/>
      <c r="AM56" s="285"/>
      <c r="AN56" s="292"/>
      <c r="AO56" s="285"/>
      <c r="AP56" s="285"/>
      <c r="AQ56" s="285"/>
      <c r="AR56" s="285"/>
      <c r="AS56" s="285"/>
      <c r="AT56" s="285"/>
      <c r="AU56" s="285"/>
      <c r="AV56" s="285"/>
      <c r="AW56" s="285">
        <v>0.5</v>
      </c>
      <c r="AX56" s="285"/>
      <c r="AY56" s="285"/>
      <c r="AZ56" s="285"/>
      <c r="BA56" s="285"/>
      <c r="BB56" s="285"/>
      <c r="BC56" s="285"/>
      <c r="BD56" s="285"/>
      <c r="BE56" s="285"/>
      <c r="BF56" s="285"/>
      <c r="BG56" s="285"/>
      <c r="BH56" s="285"/>
      <c r="BI56" s="285"/>
      <c r="BJ56" s="285"/>
      <c r="BK56" s="285"/>
      <c r="BL56" s="285"/>
      <c r="BM56" s="285"/>
      <c r="BN56" s="285"/>
      <c r="BO56" s="286"/>
      <c r="BP56" s="286"/>
      <c r="BQ56" s="286"/>
      <c r="BR56" s="286"/>
      <c r="BS56" s="286"/>
      <c r="BT56" s="286"/>
      <c r="BU56" s="286"/>
      <c r="BV56" s="285"/>
      <c r="BW56" s="285"/>
      <c r="BX56" s="285"/>
      <c r="BY56" s="285"/>
      <c r="BZ56" s="285"/>
      <c r="CA56" s="285"/>
      <c r="CB56" s="285"/>
      <c r="CC56" s="285"/>
      <c r="CD56" s="285"/>
      <c r="CE56" s="285"/>
      <c r="CF56" s="285"/>
      <c r="CG56" s="285"/>
      <c r="CH56" s="285"/>
      <c r="CI56" s="285"/>
    </row>
    <row r="57" spans="1:87" ht="16.2" hidden="1" outlineLevel="1" x14ac:dyDescent="0.25">
      <c r="A57" s="278" t="str">
        <f t="shared" si="22"/>
        <v>lt827_mthd_usd_instrmntorigem_scp3_emss</v>
      </c>
      <c r="B57" s="142" t="s">
        <v>26</v>
      </c>
      <c r="C57" s="138" t="s">
        <v>26</v>
      </c>
      <c r="D57" s="236" t="s">
        <v>40</v>
      </c>
      <c r="E57" s="239" t="s">
        <v>1956</v>
      </c>
      <c r="F57" s="239"/>
      <c r="G57" s="239" t="s">
        <v>322</v>
      </c>
      <c r="H57" s="236" t="str">
        <f>VLOOKUP(A57,'2. Status Detalhe Campos'!$A$7:$G$574,7,0)</f>
        <v>1. Concluído</v>
      </c>
      <c r="I57" s="314">
        <v>45603</v>
      </c>
      <c r="J57" s="333">
        <v>45611</v>
      </c>
      <c r="K57" s="333">
        <v>45611</v>
      </c>
      <c r="L57" s="294">
        <f t="array" ref="L57">MIN(IF(W57:CI57&gt;0,$W$16:$CI$16))</f>
        <v>45624</v>
      </c>
      <c r="M57" s="295">
        <f t="array" ref="M57">MAX(IF(W57:CI57&gt;0,$W$16:$CI$16))</f>
        <v>45624</v>
      </c>
      <c r="N57" s="295"/>
      <c r="O57" s="249">
        <f>VLOOKUP(H57,Auxiliar!$B$16:$E$24,4,0)</f>
        <v>1</v>
      </c>
      <c r="P57" s="249">
        <f t="shared" ca="1" si="23"/>
        <v>1</v>
      </c>
      <c r="Q57" s="248">
        <f t="shared" ca="1" si="21"/>
        <v>0</v>
      </c>
      <c r="R57" s="266" t="s">
        <v>38</v>
      </c>
      <c r="S57" s="284"/>
      <c r="T57" s="274">
        <v>4.0999999999999996</v>
      </c>
      <c r="U57" s="274">
        <f t="shared" si="24"/>
        <v>0.5</v>
      </c>
      <c r="V57" s="274">
        <f t="shared" si="25"/>
        <v>0</v>
      </c>
      <c r="W57" s="285"/>
      <c r="X57" s="285"/>
      <c r="Y57" s="285"/>
      <c r="Z57" s="293"/>
      <c r="AA57" s="285"/>
      <c r="AB57" s="285"/>
      <c r="AC57" s="285"/>
      <c r="AD57" s="286"/>
      <c r="AE57" s="285"/>
      <c r="AF57" s="285"/>
      <c r="AG57" s="285"/>
      <c r="AH57" s="293"/>
      <c r="AI57" s="285"/>
      <c r="AJ57" s="285"/>
      <c r="AK57" s="285"/>
      <c r="AL57" s="285"/>
      <c r="AM57" s="285"/>
      <c r="AN57" s="292"/>
      <c r="AO57" s="285"/>
      <c r="AP57" s="285"/>
      <c r="AQ57" s="285"/>
      <c r="AR57" s="285"/>
      <c r="AS57" s="285"/>
      <c r="AT57" s="285"/>
      <c r="AU57" s="285"/>
      <c r="AV57" s="285"/>
      <c r="AW57" s="285">
        <v>0.5</v>
      </c>
      <c r="AX57" s="285"/>
      <c r="AY57" s="285"/>
      <c r="AZ57" s="285"/>
      <c r="BA57" s="285"/>
      <c r="BB57" s="285"/>
      <c r="BC57" s="285"/>
      <c r="BD57" s="285"/>
      <c r="BE57" s="285"/>
      <c r="BF57" s="285"/>
      <c r="BG57" s="285"/>
      <c r="BH57" s="285"/>
      <c r="BI57" s="285"/>
      <c r="BJ57" s="285"/>
      <c r="BK57" s="285"/>
      <c r="BL57" s="285"/>
      <c r="BM57" s="285"/>
      <c r="BN57" s="285"/>
      <c r="BO57" s="286"/>
      <c r="BP57" s="286"/>
      <c r="BQ57" s="286"/>
      <c r="BR57" s="286"/>
      <c r="BS57" s="286"/>
      <c r="BT57" s="286"/>
      <c r="BU57" s="286"/>
      <c r="BV57" s="285"/>
      <c r="BW57" s="285"/>
      <c r="BX57" s="285"/>
      <c r="BY57" s="285"/>
      <c r="BZ57" s="285"/>
      <c r="CA57" s="285"/>
      <c r="CB57" s="285"/>
      <c r="CC57" s="285"/>
      <c r="CD57" s="285"/>
      <c r="CE57" s="285"/>
      <c r="CF57" s="285"/>
      <c r="CG57" s="285"/>
      <c r="CH57" s="285"/>
      <c r="CI57" s="285"/>
    </row>
    <row r="58" spans="1:87" ht="16.2" hidden="1" outlineLevel="1" x14ac:dyDescent="0.25">
      <c r="A58" s="278" t="str">
        <f t="shared" si="22"/>
        <v>lt827_mthd_usd_instrmntmthd_usd_instrmnt_scp_1</v>
      </c>
      <c r="B58" s="142" t="s">
        <v>26</v>
      </c>
      <c r="C58" s="138" t="s">
        <v>26</v>
      </c>
      <c r="D58" s="236" t="s">
        <v>40</v>
      </c>
      <c r="E58" s="239" t="s">
        <v>1956</v>
      </c>
      <c r="F58" s="239"/>
      <c r="G58" s="239" t="s">
        <v>386</v>
      </c>
      <c r="H58" s="236" t="str">
        <f>VLOOKUP(A58,'2. Status Detalhe Campos'!$A$7:$G$574,7,0)</f>
        <v>1. Concluído</v>
      </c>
      <c r="I58" s="314">
        <v>45603</v>
      </c>
      <c r="J58" s="333">
        <v>45611</v>
      </c>
      <c r="K58" s="333">
        <v>45611</v>
      </c>
      <c r="L58" s="294">
        <f t="array" ref="L58">MIN(IF(W58:CI58&gt;0,$W$16:$CI$16))</f>
        <v>45624</v>
      </c>
      <c r="M58" s="295">
        <f t="array" ref="M58">MAX(IF(W58:CI58&gt;0,$W$16:$CI$16))</f>
        <v>45624</v>
      </c>
      <c r="N58" s="295"/>
      <c r="O58" s="249">
        <f>VLOOKUP(H58,Auxiliar!$B$16:$E$24,4,0)</f>
        <v>1</v>
      </c>
      <c r="P58" s="249">
        <f t="shared" ca="1" si="23"/>
        <v>1</v>
      </c>
      <c r="Q58" s="248">
        <f t="shared" ca="1" si="21"/>
        <v>0</v>
      </c>
      <c r="R58" s="266" t="s">
        <v>38</v>
      </c>
      <c r="S58" s="284"/>
      <c r="T58" s="274">
        <v>4.0999999999999996</v>
      </c>
      <c r="U58" s="274">
        <f t="shared" si="24"/>
        <v>0.5</v>
      </c>
      <c r="V58" s="274">
        <f t="shared" si="25"/>
        <v>0</v>
      </c>
      <c r="W58" s="285"/>
      <c r="X58" s="285"/>
      <c r="Y58" s="285"/>
      <c r="Z58" s="293"/>
      <c r="AA58" s="285"/>
      <c r="AB58" s="285"/>
      <c r="AC58" s="285"/>
      <c r="AD58" s="286"/>
      <c r="AE58" s="285"/>
      <c r="AF58" s="285"/>
      <c r="AG58" s="285"/>
      <c r="AH58" s="293"/>
      <c r="AI58" s="285"/>
      <c r="AJ58" s="285"/>
      <c r="AK58" s="285"/>
      <c r="AL58" s="285"/>
      <c r="AM58" s="285"/>
      <c r="AN58" s="292"/>
      <c r="AO58" s="285"/>
      <c r="AP58" s="285"/>
      <c r="AQ58" s="285"/>
      <c r="AR58" s="285"/>
      <c r="AS58" s="285"/>
      <c r="AT58" s="285"/>
      <c r="AU58" s="285"/>
      <c r="AV58" s="285"/>
      <c r="AW58" s="285">
        <v>0.5</v>
      </c>
      <c r="AX58" s="285"/>
      <c r="AY58" s="285"/>
      <c r="AZ58" s="285"/>
      <c r="BA58" s="285"/>
      <c r="BB58" s="285"/>
      <c r="BC58" s="285"/>
      <c r="BD58" s="285"/>
      <c r="BE58" s="285"/>
      <c r="BF58" s="285"/>
      <c r="BG58" s="285"/>
      <c r="BH58" s="285"/>
      <c r="BI58" s="285"/>
      <c r="BJ58" s="285"/>
      <c r="BK58" s="285"/>
      <c r="BL58" s="285"/>
      <c r="BM58" s="285"/>
      <c r="BN58" s="285"/>
      <c r="BO58" s="286"/>
      <c r="BP58" s="286"/>
      <c r="BQ58" s="286"/>
      <c r="BR58" s="286"/>
      <c r="BS58" s="286"/>
      <c r="BT58" s="286"/>
      <c r="BU58" s="286"/>
      <c r="BV58" s="285"/>
      <c r="BW58" s="285"/>
      <c r="BX58" s="285"/>
      <c r="BY58" s="285"/>
      <c r="BZ58" s="285"/>
      <c r="CA58" s="285"/>
      <c r="CB58" s="285"/>
      <c r="CC58" s="285"/>
      <c r="CD58" s="285"/>
      <c r="CE58" s="285"/>
      <c r="CF58" s="285"/>
      <c r="CG58" s="285"/>
      <c r="CH58" s="285"/>
      <c r="CI58" s="285"/>
    </row>
    <row r="59" spans="1:87" ht="16.2" hidden="1" outlineLevel="1" x14ac:dyDescent="0.25">
      <c r="A59" s="278" t="str">
        <f t="shared" si="22"/>
        <v>lt827_mthd_usd_instrmntmthd_usd_instrmnt_scp_2</v>
      </c>
      <c r="B59" s="142" t="s">
        <v>26</v>
      </c>
      <c r="C59" s="138" t="s">
        <v>26</v>
      </c>
      <c r="D59" s="236" t="s">
        <v>40</v>
      </c>
      <c r="E59" s="239" t="s">
        <v>1956</v>
      </c>
      <c r="F59" s="239"/>
      <c r="G59" s="239" t="s">
        <v>387</v>
      </c>
      <c r="H59" s="236" t="str">
        <f>VLOOKUP(A59,'2. Status Detalhe Campos'!$A$7:$G$574,7,0)</f>
        <v>1. Concluído</v>
      </c>
      <c r="I59" s="314">
        <v>45603</v>
      </c>
      <c r="J59" s="333">
        <v>45611</v>
      </c>
      <c r="K59" s="333">
        <v>45611</v>
      </c>
      <c r="L59" s="294">
        <f t="array" ref="L59">MIN(IF(W59:CI59&gt;0,$W$16:$CI$16))</f>
        <v>45624</v>
      </c>
      <c r="M59" s="295">
        <f t="array" ref="M59">MAX(IF(W59:CI59&gt;0,$W$16:$CI$16))</f>
        <v>45624</v>
      </c>
      <c r="N59" s="295"/>
      <c r="O59" s="249">
        <f>VLOOKUP(H59,Auxiliar!$B$16:$E$24,4,0)</f>
        <v>1</v>
      </c>
      <c r="P59" s="249">
        <f t="shared" ca="1" si="23"/>
        <v>1</v>
      </c>
      <c r="Q59" s="248">
        <f t="shared" ca="1" si="21"/>
        <v>0</v>
      </c>
      <c r="R59" s="266" t="s">
        <v>38</v>
      </c>
      <c r="S59" s="284"/>
      <c r="T59" s="274">
        <v>4.0999999999999996</v>
      </c>
      <c r="U59" s="274">
        <f t="shared" si="24"/>
        <v>0.5</v>
      </c>
      <c r="V59" s="274">
        <f t="shared" si="25"/>
        <v>0</v>
      </c>
      <c r="W59" s="285"/>
      <c r="X59" s="285"/>
      <c r="Y59" s="285"/>
      <c r="Z59" s="293"/>
      <c r="AA59" s="285"/>
      <c r="AB59" s="285"/>
      <c r="AC59" s="285"/>
      <c r="AD59" s="286"/>
      <c r="AE59" s="285"/>
      <c r="AF59" s="285"/>
      <c r="AG59" s="285"/>
      <c r="AH59" s="293"/>
      <c r="AI59" s="285"/>
      <c r="AJ59" s="285"/>
      <c r="AK59" s="285"/>
      <c r="AL59" s="285"/>
      <c r="AM59" s="285"/>
      <c r="AN59" s="292"/>
      <c r="AO59" s="285"/>
      <c r="AP59" s="285"/>
      <c r="AQ59" s="285"/>
      <c r="AR59" s="285"/>
      <c r="AS59" s="285"/>
      <c r="AT59" s="285"/>
      <c r="AU59" s="285"/>
      <c r="AV59" s="285"/>
      <c r="AW59" s="285">
        <v>0.5</v>
      </c>
      <c r="AX59" s="285"/>
      <c r="AY59" s="285"/>
      <c r="AZ59" s="285"/>
      <c r="BA59" s="285"/>
      <c r="BB59" s="285"/>
      <c r="BC59" s="285"/>
      <c r="BD59" s="285"/>
      <c r="BE59" s="285"/>
      <c r="BF59" s="285"/>
      <c r="BG59" s="285"/>
      <c r="BH59" s="285"/>
      <c r="BI59" s="285"/>
      <c r="BJ59" s="285"/>
      <c r="BK59" s="285"/>
      <c r="BL59" s="285"/>
      <c r="BM59" s="285"/>
      <c r="BN59" s="285"/>
      <c r="BO59" s="286"/>
      <c r="BP59" s="286"/>
      <c r="BQ59" s="286"/>
      <c r="BR59" s="286"/>
      <c r="BS59" s="286"/>
      <c r="BT59" s="286"/>
      <c r="BU59" s="286"/>
      <c r="BV59" s="285"/>
      <c r="BW59" s="285"/>
      <c r="BX59" s="285"/>
      <c r="BY59" s="285"/>
      <c r="BZ59" s="285"/>
      <c r="CA59" s="285"/>
      <c r="CB59" s="285"/>
      <c r="CC59" s="285"/>
      <c r="CD59" s="285"/>
      <c r="CE59" s="285"/>
      <c r="CF59" s="285"/>
      <c r="CG59" s="285"/>
      <c r="CH59" s="285"/>
      <c r="CI59" s="285"/>
    </row>
    <row r="60" spans="1:87" ht="16.2" hidden="1" outlineLevel="1" x14ac:dyDescent="0.25">
      <c r="A60" s="278" t="str">
        <f t="shared" si="22"/>
        <v>lt827_mthd_usd_instrmntmthd_usd_instrmnt_scp_3</v>
      </c>
      <c r="B60" s="142" t="s">
        <v>26</v>
      </c>
      <c r="C60" s="138" t="s">
        <v>26</v>
      </c>
      <c r="D60" s="236" t="s">
        <v>40</v>
      </c>
      <c r="E60" s="239" t="s">
        <v>1956</v>
      </c>
      <c r="F60" s="239"/>
      <c r="G60" s="239" t="s">
        <v>388</v>
      </c>
      <c r="H60" s="236" t="str">
        <f>VLOOKUP(A60,'2. Status Detalhe Campos'!$A$7:$G$574,7,0)</f>
        <v>1. Concluído</v>
      </c>
      <c r="I60" s="314">
        <v>45603</v>
      </c>
      <c r="J60" s="333">
        <v>45611</v>
      </c>
      <c r="K60" s="333">
        <v>45611</v>
      </c>
      <c r="L60" s="294">
        <f t="array" ref="L60">MIN(IF(W60:CI60&gt;0,$W$16:$CI$16))</f>
        <v>45624</v>
      </c>
      <c r="M60" s="295">
        <f t="array" ref="M60">MAX(IF(W60:CI60&gt;0,$W$16:$CI$16))</f>
        <v>45624</v>
      </c>
      <c r="N60" s="295"/>
      <c r="O60" s="249">
        <f>VLOOKUP(H60,Auxiliar!$B$16:$E$24,4,0)</f>
        <v>1</v>
      </c>
      <c r="P60" s="249">
        <f t="shared" ca="1" si="23"/>
        <v>1</v>
      </c>
      <c r="Q60" s="248">
        <f t="shared" ca="1" si="21"/>
        <v>0</v>
      </c>
      <c r="R60" s="266" t="s">
        <v>38</v>
      </c>
      <c r="S60" s="284"/>
      <c r="T60" s="274">
        <v>4.0999999999999996</v>
      </c>
      <c r="U60" s="274">
        <f t="shared" si="24"/>
        <v>0.5</v>
      </c>
      <c r="V60" s="274">
        <f t="shared" si="25"/>
        <v>0</v>
      </c>
      <c r="W60" s="285"/>
      <c r="X60" s="285"/>
      <c r="Y60" s="285"/>
      <c r="Z60" s="293"/>
      <c r="AA60" s="285"/>
      <c r="AB60" s="285"/>
      <c r="AC60" s="285"/>
      <c r="AD60" s="286"/>
      <c r="AE60" s="285"/>
      <c r="AF60" s="285"/>
      <c r="AG60" s="285"/>
      <c r="AH60" s="293"/>
      <c r="AI60" s="285"/>
      <c r="AJ60" s="285"/>
      <c r="AK60" s="285"/>
      <c r="AL60" s="285"/>
      <c r="AM60" s="285"/>
      <c r="AN60" s="292"/>
      <c r="AO60" s="285"/>
      <c r="AP60" s="285"/>
      <c r="AQ60" s="285"/>
      <c r="AR60" s="285"/>
      <c r="AS60" s="285"/>
      <c r="AT60" s="285"/>
      <c r="AU60" s="285"/>
      <c r="AV60" s="285"/>
      <c r="AW60" s="285">
        <v>0.5</v>
      </c>
      <c r="AX60" s="285"/>
      <c r="AY60" s="285"/>
      <c r="AZ60" s="285"/>
      <c r="BA60" s="285"/>
      <c r="BB60" s="285"/>
      <c r="BC60" s="285"/>
      <c r="BD60" s="285"/>
      <c r="BE60" s="285"/>
      <c r="BF60" s="285"/>
      <c r="BG60" s="285"/>
      <c r="BH60" s="285"/>
      <c r="BI60" s="285"/>
      <c r="BJ60" s="285"/>
      <c r="BK60" s="285"/>
      <c r="BL60" s="285"/>
      <c r="BM60" s="285"/>
      <c r="BN60" s="285"/>
      <c r="BO60" s="286"/>
      <c r="BP60" s="286"/>
      <c r="BQ60" s="286"/>
      <c r="BR60" s="286"/>
      <c r="BS60" s="286"/>
      <c r="BT60" s="286"/>
      <c r="BU60" s="286"/>
      <c r="BV60" s="285"/>
      <c r="BW60" s="285"/>
      <c r="BX60" s="285"/>
      <c r="BY60" s="285"/>
      <c r="BZ60" s="285"/>
      <c r="CA60" s="285"/>
      <c r="CB60" s="285"/>
      <c r="CC60" s="285"/>
      <c r="CD60" s="285"/>
      <c r="CE60" s="285"/>
      <c r="CF60" s="285"/>
      <c r="CG60" s="285"/>
      <c r="CH60" s="285"/>
      <c r="CI60" s="285"/>
    </row>
    <row r="61" spans="1:87" ht="15" customHeight="1" collapsed="1" x14ac:dyDescent="0.25">
      <c r="A61" s="278"/>
      <c r="B61" s="142" t="s">
        <v>26</v>
      </c>
      <c r="C61" s="138" t="s">
        <v>26</v>
      </c>
      <c r="D61" s="134"/>
      <c r="E61" s="242" t="s">
        <v>336</v>
      </c>
      <c r="F61" s="240" t="s">
        <v>1979</v>
      </c>
      <c r="G61" s="241">
        <f>COUNTA(G62:G76)</f>
        <v>15</v>
      </c>
      <c r="H61" s="303" t="s">
        <v>2024</v>
      </c>
      <c r="I61" s="282">
        <f>MAX(I62:I76)</f>
        <v>0</v>
      </c>
      <c r="J61" s="281">
        <f>MIN(J62:J76)</f>
        <v>45596</v>
      </c>
      <c r="K61" s="282">
        <f>MIN(K62:K76)</f>
        <v>45596</v>
      </c>
      <c r="L61" s="281">
        <f>MIN(L62:L76)</f>
        <v>45600</v>
      </c>
      <c r="M61" s="282">
        <f>MAX(M62:M76)</f>
        <v>45624</v>
      </c>
      <c r="N61" s="332">
        <f t="array" ref="N61">MAX(IF(W61:CI61&gt;0,$W$16:$CI$16))</f>
        <v>45625</v>
      </c>
      <c r="O61" s="251">
        <f>SUMPRODUCT(O62:O76,U62:U76)/SUM(U62:U76)</f>
        <v>0.3</v>
      </c>
      <c r="P61" s="251">
        <f ca="1">SUMPRODUCT(P62:P76,U62:U76)/SUM(U62:U76)</f>
        <v>1</v>
      </c>
      <c r="Q61" s="259">
        <f t="shared" ref="Q61:Q75" ca="1" si="26">O61-P61</f>
        <v>-0.7</v>
      </c>
      <c r="R61" s="266" t="s">
        <v>38</v>
      </c>
      <c r="S61" s="284"/>
      <c r="T61" s="274"/>
      <c r="U61" s="274"/>
      <c r="V61" s="274"/>
      <c r="W61" s="285"/>
      <c r="X61" s="285"/>
      <c r="Y61" s="285"/>
      <c r="Z61" s="285"/>
      <c r="AA61" s="285"/>
      <c r="AB61" s="285"/>
      <c r="AC61" s="292"/>
      <c r="AD61" s="286"/>
      <c r="AE61" s="285"/>
      <c r="AF61" s="285"/>
      <c r="AG61" s="285"/>
      <c r="AH61" s="285"/>
      <c r="AI61" s="285"/>
      <c r="AJ61" s="285"/>
      <c r="AK61" s="285"/>
      <c r="AL61" s="285"/>
      <c r="AM61" s="285"/>
      <c r="AN61" s="285"/>
      <c r="AO61" s="285"/>
      <c r="AP61" s="285"/>
      <c r="AQ61" s="285"/>
      <c r="AR61" s="285"/>
      <c r="AS61" s="285"/>
      <c r="AT61" s="285"/>
      <c r="AU61" s="285"/>
      <c r="AV61" s="285"/>
      <c r="AW61" s="285"/>
      <c r="AX61" s="288" t="s">
        <v>444</v>
      </c>
      <c r="AY61" s="285"/>
      <c r="AZ61" s="285"/>
      <c r="BA61" s="285"/>
      <c r="BB61" s="285"/>
      <c r="BC61" s="285"/>
      <c r="BD61" s="285"/>
      <c r="BE61" s="285"/>
      <c r="BF61" s="285"/>
      <c r="BG61" s="285"/>
      <c r="BH61" s="365"/>
      <c r="BI61" s="285"/>
      <c r="BJ61" s="285"/>
      <c r="BK61" s="285"/>
      <c r="BL61" s="285"/>
      <c r="BM61" s="285"/>
      <c r="BN61" s="285"/>
      <c r="BO61" s="286"/>
      <c r="BP61" s="286"/>
      <c r="BQ61" s="286"/>
      <c r="BR61" s="286"/>
      <c r="BS61" s="286"/>
      <c r="BT61" s="286"/>
      <c r="BU61" s="286"/>
      <c r="BV61" s="285"/>
      <c r="BW61" s="285"/>
      <c r="BX61" s="285"/>
      <c r="BY61" s="285"/>
      <c r="BZ61" s="285"/>
      <c r="CA61" s="285"/>
      <c r="CB61" s="285"/>
      <c r="CC61" s="285"/>
      <c r="CD61" s="285"/>
      <c r="CE61" s="285"/>
      <c r="CF61" s="285"/>
      <c r="CG61" s="285"/>
      <c r="CH61" s="285"/>
      <c r="CI61" s="285"/>
    </row>
    <row r="62" spans="1:87" ht="16.2" hidden="1" outlineLevel="1" x14ac:dyDescent="0.25">
      <c r="A62" s="278" t="str">
        <f t="shared" ref="A62:A75" si="27">E62&amp;G62</f>
        <v>lt003_entitytxnmy_elgbl_capex_ccm</v>
      </c>
      <c r="B62" s="142" t="s">
        <v>26</v>
      </c>
      <c r="C62" s="138" t="s">
        <v>26</v>
      </c>
      <c r="D62" s="236" t="s">
        <v>40</v>
      </c>
      <c r="E62" s="239" t="s">
        <v>336</v>
      </c>
      <c r="F62" s="239"/>
      <c r="G62" s="239" t="s">
        <v>339</v>
      </c>
      <c r="H62" s="236" t="str">
        <f>VLOOKUP(A62,'2. Status Detalhe Campos'!$A$7:$G$574,7,0)</f>
        <v>2.1 Em Teste</v>
      </c>
      <c r="I62" s="280" t="s">
        <v>38</v>
      </c>
      <c r="J62" s="289">
        <v>45614</v>
      </c>
      <c r="K62" s="289">
        <v>45596</v>
      </c>
      <c r="L62" s="294">
        <f t="array" ref="L62">MIN(IF(W62:CI62&gt;0,$W$16:$CI$16))</f>
        <v>45615</v>
      </c>
      <c r="M62" s="295">
        <f t="array" ref="M62">MAX(IF(W62:CI62&gt;0,$W$16:$CI$16))</f>
        <v>45615</v>
      </c>
      <c r="N62" s="295"/>
      <c r="O62" s="249">
        <f>VLOOKUP(H62,Auxiliar!$B$16:$E$24,4,0)</f>
        <v>0.25</v>
      </c>
      <c r="P62" s="249">
        <f t="shared" ref="P62:P75" ca="1" si="28">IF(TODAY()&lt;=L62,0,MIN((TODAY()-L62)/(M62-L62+1),100%))</f>
        <v>1</v>
      </c>
      <c r="Q62" s="248">
        <f t="shared" ca="1" si="26"/>
        <v>-0.75</v>
      </c>
      <c r="R62" s="265"/>
      <c r="S62" s="284"/>
      <c r="T62" s="274">
        <v>4.0999999999999996</v>
      </c>
      <c r="U62" s="274">
        <f t="shared" ref="U62:U75" si="29">ROUND(T62/8,1)</f>
        <v>0.5</v>
      </c>
      <c r="V62" s="274">
        <f t="shared" ref="V62:V75" si="30">SUM(W62:CI62)-U62</f>
        <v>0</v>
      </c>
      <c r="W62" s="285"/>
      <c r="X62" s="285"/>
      <c r="Y62" s="285"/>
      <c r="Z62" s="285"/>
      <c r="AA62" s="285"/>
      <c r="AB62" s="285"/>
      <c r="AC62" s="292"/>
      <c r="AD62" s="286"/>
      <c r="AE62" s="285"/>
      <c r="AF62" s="285"/>
      <c r="AG62" s="285"/>
      <c r="AH62" s="285"/>
      <c r="AI62" s="285"/>
      <c r="AJ62" s="285"/>
      <c r="AK62" s="285"/>
      <c r="AL62" s="285"/>
      <c r="AM62" s="285"/>
      <c r="AN62" s="285"/>
      <c r="AO62" s="287"/>
      <c r="AP62" s="285">
        <v>0.5</v>
      </c>
      <c r="AQ62" s="285"/>
      <c r="AR62" s="285"/>
      <c r="AS62" s="285"/>
      <c r="AT62" s="285"/>
      <c r="AU62" s="285"/>
      <c r="AV62" s="285"/>
      <c r="AW62" s="285"/>
      <c r="AX62" s="285"/>
      <c r="AY62" s="285"/>
      <c r="AZ62" s="285"/>
      <c r="BA62" s="285"/>
      <c r="BB62" s="285"/>
      <c r="BC62" s="285"/>
      <c r="BD62" s="285"/>
      <c r="BE62" s="285"/>
      <c r="BF62" s="285"/>
      <c r="BG62" s="285"/>
      <c r="BH62" s="285"/>
      <c r="BI62" s="285"/>
      <c r="BJ62" s="285"/>
      <c r="BK62" s="285"/>
      <c r="BL62" s="285"/>
      <c r="BM62" s="285"/>
      <c r="BN62" s="285"/>
      <c r="BO62" s="286"/>
      <c r="BP62" s="286"/>
      <c r="BQ62" s="286"/>
      <c r="BR62" s="286"/>
      <c r="BS62" s="286"/>
      <c r="BT62" s="286"/>
      <c r="BU62" s="286"/>
      <c r="BV62" s="285"/>
      <c r="BW62" s="285"/>
      <c r="BX62" s="285"/>
      <c r="BY62" s="285"/>
      <c r="BZ62" s="285"/>
      <c r="CA62" s="285"/>
      <c r="CB62" s="285"/>
      <c r="CC62" s="285"/>
      <c r="CD62" s="285"/>
      <c r="CE62" s="285"/>
      <c r="CF62" s="285"/>
      <c r="CG62" s="285"/>
      <c r="CH62" s="285"/>
      <c r="CI62" s="285"/>
    </row>
    <row r="63" spans="1:87" ht="16.2" hidden="1" outlineLevel="1" x14ac:dyDescent="0.25">
      <c r="A63" s="278" t="str">
        <f t="shared" si="27"/>
        <v>lt003_entitytxnmy_elgbl_trnvr_ccm</v>
      </c>
      <c r="B63" s="142" t="s">
        <v>26</v>
      </c>
      <c r="C63" s="138" t="s">
        <v>26</v>
      </c>
      <c r="D63" s="236" t="s">
        <v>40</v>
      </c>
      <c r="E63" s="239" t="s">
        <v>336</v>
      </c>
      <c r="F63" s="239"/>
      <c r="G63" s="239" t="s">
        <v>340</v>
      </c>
      <c r="H63" s="236" t="str">
        <f>VLOOKUP(A63,'2. Status Detalhe Campos'!$A$7:$G$574,7,0)</f>
        <v>2.1 Em Teste</v>
      </c>
      <c r="I63" s="280" t="s">
        <v>38</v>
      </c>
      <c r="J63" s="289">
        <v>45614</v>
      </c>
      <c r="K63" s="289">
        <v>45596</v>
      </c>
      <c r="L63" s="294">
        <f t="array" ref="L63">MIN(IF(W63:CI63&gt;0,$W$16:$CI$16))</f>
        <v>45615</v>
      </c>
      <c r="M63" s="295">
        <f t="array" ref="M63">MAX(IF(W63:CI63&gt;0,$W$16:$CI$16))</f>
        <v>45615</v>
      </c>
      <c r="N63" s="295"/>
      <c r="O63" s="249">
        <f>VLOOKUP(H63,Auxiliar!$B$16:$E$24,4,0)</f>
        <v>0.25</v>
      </c>
      <c r="P63" s="249">
        <f t="shared" ca="1" si="28"/>
        <v>1</v>
      </c>
      <c r="Q63" s="248">
        <f t="shared" ca="1" si="26"/>
        <v>-0.75</v>
      </c>
      <c r="R63" s="265"/>
      <c r="S63" s="284"/>
      <c r="T63" s="274">
        <v>4.0999999999999996</v>
      </c>
      <c r="U63" s="274">
        <f t="shared" si="29"/>
        <v>0.5</v>
      </c>
      <c r="V63" s="274">
        <f t="shared" si="30"/>
        <v>0</v>
      </c>
      <c r="W63" s="285"/>
      <c r="X63" s="285"/>
      <c r="Y63" s="285"/>
      <c r="Z63" s="285"/>
      <c r="AA63" s="285"/>
      <c r="AB63" s="285"/>
      <c r="AC63" s="292"/>
      <c r="AD63" s="286"/>
      <c r="AE63" s="285"/>
      <c r="AF63" s="285"/>
      <c r="AG63" s="285"/>
      <c r="AH63" s="285"/>
      <c r="AI63" s="285"/>
      <c r="AJ63" s="285"/>
      <c r="AK63" s="285"/>
      <c r="AL63" s="285"/>
      <c r="AM63" s="285"/>
      <c r="AN63" s="285"/>
      <c r="AO63" s="287"/>
      <c r="AP63" s="285">
        <v>0.5</v>
      </c>
      <c r="AQ63" s="285"/>
      <c r="AR63" s="285"/>
      <c r="AS63" s="285"/>
      <c r="AT63" s="285"/>
      <c r="AU63" s="285"/>
      <c r="AV63" s="285"/>
      <c r="AW63" s="285"/>
      <c r="AX63" s="285"/>
      <c r="AY63" s="285"/>
      <c r="AZ63" s="285"/>
      <c r="BA63" s="285"/>
      <c r="BB63" s="285"/>
      <c r="BC63" s="285"/>
      <c r="BD63" s="285"/>
      <c r="BE63" s="285"/>
      <c r="BF63" s="285"/>
      <c r="BG63" s="285"/>
      <c r="BH63" s="285"/>
      <c r="BI63" s="285"/>
      <c r="BJ63" s="285"/>
      <c r="BK63" s="285"/>
      <c r="BL63" s="285"/>
      <c r="BM63" s="285"/>
      <c r="BN63" s="285"/>
      <c r="BO63" s="286"/>
      <c r="BP63" s="286"/>
      <c r="BQ63" s="286"/>
      <c r="BR63" s="286"/>
      <c r="BS63" s="286"/>
      <c r="BT63" s="286"/>
      <c r="BU63" s="286"/>
      <c r="BV63" s="285"/>
      <c r="BW63" s="285"/>
      <c r="BX63" s="285"/>
      <c r="BY63" s="285"/>
      <c r="BZ63" s="285"/>
      <c r="CA63" s="285"/>
      <c r="CB63" s="285"/>
      <c r="CC63" s="285"/>
      <c r="CD63" s="285"/>
      <c r="CE63" s="285"/>
      <c r="CF63" s="285"/>
      <c r="CG63" s="285"/>
      <c r="CH63" s="285"/>
      <c r="CI63" s="285"/>
    </row>
    <row r="64" spans="1:87" ht="16.2" hidden="1" outlineLevel="1" x14ac:dyDescent="0.25">
      <c r="A64" s="278" t="str">
        <f t="shared" si="27"/>
        <v>lt003_entitytxnmy_elgbl_capex_cca</v>
      </c>
      <c r="B64" s="142" t="s">
        <v>26</v>
      </c>
      <c r="C64" s="138" t="s">
        <v>26</v>
      </c>
      <c r="D64" s="236" t="s">
        <v>40</v>
      </c>
      <c r="E64" s="239" t="s">
        <v>336</v>
      </c>
      <c r="F64" s="239"/>
      <c r="G64" s="239" t="s">
        <v>341</v>
      </c>
      <c r="H64" s="236" t="str">
        <f>VLOOKUP(A64,'2. Status Detalhe Campos'!$A$7:$G$574,7,0)</f>
        <v>2.1 Em Teste</v>
      </c>
      <c r="I64" s="280" t="s">
        <v>38</v>
      </c>
      <c r="J64" s="289">
        <v>45614</v>
      </c>
      <c r="K64" s="289">
        <v>45596</v>
      </c>
      <c r="L64" s="294">
        <f t="array" ref="L64">MIN(IF(W64:CI64&gt;0,$W$16:$CI$16))</f>
        <v>45616</v>
      </c>
      <c r="M64" s="295">
        <f t="array" ref="M64">MAX(IF(W64:CI64&gt;0,$W$16:$CI$16))</f>
        <v>45616</v>
      </c>
      <c r="N64" s="295"/>
      <c r="O64" s="249">
        <f>VLOOKUP(H64,Auxiliar!$B$16:$E$24,4,0)</f>
        <v>0.25</v>
      </c>
      <c r="P64" s="249">
        <f t="shared" ca="1" si="28"/>
        <v>1</v>
      </c>
      <c r="Q64" s="248">
        <f t="shared" ca="1" si="26"/>
        <v>-0.75</v>
      </c>
      <c r="R64" s="265"/>
      <c r="S64" s="284"/>
      <c r="T64" s="274">
        <v>4.0999999999999996</v>
      </c>
      <c r="U64" s="274">
        <f t="shared" si="29"/>
        <v>0.5</v>
      </c>
      <c r="V64" s="274">
        <f t="shared" si="30"/>
        <v>0</v>
      </c>
      <c r="W64" s="285"/>
      <c r="X64" s="285"/>
      <c r="Y64" s="285"/>
      <c r="Z64" s="285"/>
      <c r="AA64" s="285"/>
      <c r="AB64" s="285"/>
      <c r="AC64" s="292"/>
      <c r="AD64" s="286"/>
      <c r="AE64" s="285"/>
      <c r="AF64" s="285"/>
      <c r="AG64" s="285"/>
      <c r="AH64" s="285"/>
      <c r="AI64" s="285"/>
      <c r="AJ64" s="285"/>
      <c r="AK64" s="285"/>
      <c r="AL64" s="285"/>
      <c r="AM64" s="285"/>
      <c r="AN64" s="285"/>
      <c r="AO64" s="287"/>
      <c r="AP64" s="285"/>
      <c r="AQ64" s="285">
        <v>0.5</v>
      </c>
      <c r="AR64" s="285"/>
      <c r="AS64" s="285"/>
      <c r="AT64" s="285"/>
      <c r="AU64" s="285"/>
      <c r="AV64" s="285"/>
      <c r="AW64" s="285"/>
      <c r="AX64" s="285"/>
      <c r="AY64" s="285"/>
      <c r="AZ64" s="285"/>
      <c r="BA64" s="285"/>
      <c r="BB64" s="285"/>
      <c r="BC64" s="285"/>
      <c r="BD64" s="285"/>
      <c r="BE64" s="285"/>
      <c r="BF64" s="285"/>
      <c r="BG64" s="285"/>
      <c r="BH64" s="285"/>
      <c r="BI64" s="285"/>
      <c r="BJ64" s="285"/>
      <c r="BK64" s="285"/>
      <c r="BL64" s="285"/>
      <c r="BM64" s="285"/>
      <c r="BN64" s="285"/>
      <c r="BO64" s="286"/>
      <c r="BP64" s="286"/>
      <c r="BQ64" s="286"/>
      <c r="BR64" s="286"/>
      <c r="BS64" s="286"/>
      <c r="BT64" s="286"/>
      <c r="BU64" s="286"/>
      <c r="BV64" s="285"/>
      <c r="BW64" s="285"/>
      <c r="BX64" s="285"/>
      <c r="BY64" s="285"/>
      <c r="BZ64" s="285"/>
      <c r="CA64" s="285"/>
      <c r="CB64" s="285"/>
      <c r="CC64" s="285"/>
      <c r="CD64" s="285"/>
      <c r="CE64" s="285"/>
      <c r="CF64" s="285"/>
      <c r="CG64" s="285"/>
      <c r="CH64" s="285"/>
      <c r="CI64" s="285"/>
    </row>
    <row r="65" spans="1:87" ht="16.2" hidden="1" outlineLevel="1" x14ac:dyDescent="0.25">
      <c r="A65" s="278" t="str">
        <f t="shared" si="27"/>
        <v>lt003_entitytxnmy_elgbl_trnvr_cca</v>
      </c>
      <c r="B65" s="142" t="s">
        <v>26</v>
      </c>
      <c r="C65" s="138" t="s">
        <v>26</v>
      </c>
      <c r="D65" s="236" t="s">
        <v>40</v>
      </c>
      <c r="E65" s="239" t="s">
        <v>336</v>
      </c>
      <c r="F65" s="239"/>
      <c r="G65" s="239" t="s">
        <v>342</v>
      </c>
      <c r="H65" s="236" t="str">
        <f>VLOOKUP(A65,'2. Status Detalhe Campos'!$A$7:$G$574,7,0)</f>
        <v>2.1 Em Teste</v>
      </c>
      <c r="I65" s="280" t="s">
        <v>38</v>
      </c>
      <c r="J65" s="289">
        <v>45614</v>
      </c>
      <c r="K65" s="289">
        <v>45596</v>
      </c>
      <c r="L65" s="294">
        <f t="array" ref="L65">MIN(IF(W65:CI65&gt;0,$W$16:$CI$16))</f>
        <v>45616</v>
      </c>
      <c r="M65" s="295">
        <f t="array" ref="M65">MAX(IF(W65:CI65&gt;0,$W$16:$CI$16))</f>
        <v>45616</v>
      </c>
      <c r="N65" s="295"/>
      <c r="O65" s="249">
        <f>VLOOKUP(H65,Auxiliar!$B$16:$E$24,4,0)</f>
        <v>0.25</v>
      </c>
      <c r="P65" s="249">
        <f t="shared" ca="1" si="28"/>
        <v>1</v>
      </c>
      <c r="Q65" s="248">
        <f t="shared" ca="1" si="26"/>
        <v>-0.75</v>
      </c>
      <c r="R65" s="265"/>
      <c r="S65" s="284"/>
      <c r="T65" s="274">
        <v>4.0999999999999996</v>
      </c>
      <c r="U65" s="274">
        <f t="shared" si="29"/>
        <v>0.5</v>
      </c>
      <c r="V65" s="274">
        <f t="shared" si="30"/>
        <v>0</v>
      </c>
      <c r="W65" s="285"/>
      <c r="X65" s="285"/>
      <c r="Y65" s="285"/>
      <c r="Z65" s="285"/>
      <c r="AA65" s="285"/>
      <c r="AB65" s="285"/>
      <c r="AC65" s="292"/>
      <c r="AD65" s="286"/>
      <c r="AE65" s="285"/>
      <c r="AF65" s="285"/>
      <c r="AG65" s="285"/>
      <c r="AH65" s="285"/>
      <c r="AI65" s="285"/>
      <c r="AJ65" s="285"/>
      <c r="AK65" s="285"/>
      <c r="AL65" s="285"/>
      <c r="AM65" s="285"/>
      <c r="AN65" s="285"/>
      <c r="AO65" s="287"/>
      <c r="AP65" s="285"/>
      <c r="AQ65" s="285">
        <v>0.5</v>
      </c>
      <c r="AR65" s="285"/>
      <c r="AS65" s="285"/>
      <c r="AT65" s="285"/>
      <c r="AU65" s="285"/>
      <c r="AV65" s="285"/>
      <c r="AW65" s="285"/>
      <c r="AX65" s="285"/>
      <c r="AY65" s="285"/>
      <c r="AZ65" s="285"/>
      <c r="BA65" s="285"/>
      <c r="BB65" s="285"/>
      <c r="BC65" s="285"/>
      <c r="BD65" s="285"/>
      <c r="BE65" s="285"/>
      <c r="BF65" s="285"/>
      <c r="BG65" s="285"/>
      <c r="BH65" s="285"/>
      <c r="BI65" s="285"/>
      <c r="BJ65" s="285"/>
      <c r="BK65" s="285"/>
      <c r="BL65" s="285"/>
      <c r="BM65" s="285"/>
      <c r="BN65" s="285"/>
      <c r="BO65" s="286"/>
      <c r="BP65" s="286"/>
      <c r="BQ65" s="286"/>
      <c r="BR65" s="286"/>
      <c r="BS65" s="286"/>
      <c r="BT65" s="286"/>
      <c r="BU65" s="286"/>
      <c r="BV65" s="285"/>
      <c r="BW65" s="285"/>
      <c r="BX65" s="285"/>
      <c r="BY65" s="285"/>
      <c r="BZ65" s="285"/>
      <c r="CA65" s="285"/>
      <c r="CB65" s="285"/>
      <c r="CC65" s="285"/>
      <c r="CD65" s="285"/>
      <c r="CE65" s="285"/>
      <c r="CF65" s="285"/>
      <c r="CG65" s="285"/>
      <c r="CH65" s="285"/>
      <c r="CI65" s="285"/>
    </row>
    <row r="66" spans="1:87" ht="16.2" hidden="1" outlineLevel="1" x14ac:dyDescent="0.25">
      <c r="A66" s="278" t="str">
        <f t="shared" si="27"/>
        <v>lt003_entityenblng_capex_ccm</v>
      </c>
      <c r="B66" s="142" t="s">
        <v>26</v>
      </c>
      <c r="C66" s="138" t="s">
        <v>26</v>
      </c>
      <c r="D66" s="236" t="s">
        <v>40</v>
      </c>
      <c r="E66" s="239" t="s">
        <v>336</v>
      </c>
      <c r="F66" s="239"/>
      <c r="G66" s="239" t="s">
        <v>343</v>
      </c>
      <c r="H66" s="236" t="str">
        <f>VLOOKUP(A66,'2. Status Detalhe Campos'!$A$7:$G$574,7,0)</f>
        <v>2.1 Em Teste</v>
      </c>
      <c r="I66" s="280" t="s">
        <v>38</v>
      </c>
      <c r="J66" s="289">
        <v>45614</v>
      </c>
      <c r="K66" s="289">
        <v>45596</v>
      </c>
      <c r="L66" s="294">
        <f t="array" ref="L66">MIN(IF(W66:CI66&gt;0,$W$16:$CI$16))</f>
        <v>45617</v>
      </c>
      <c r="M66" s="295">
        <f t="array" ref="M66">MAX(IF(W66:CI66&gt;0,$W$16:$CI$16))</f>
        <v>45617</v>
      </c>
      <c r="N66" s="295"/>
      <c r="O66" s="249">
        <f>VLOOKUP(H66,Auxiliar!$B$16:$E$24,4,0)</f>
        <v>0.25</v>
      </c>
      <c r="P66" s="249">
        <f t="shared" ca="1" si="28"/>
        <v>1</v>
      </c>
      <c r="Q66" s="248">
        <f t="shared" ca="1" si="26"/>
        <v>-0.75</v>
      </c>
      <c r="R66" s="265"/>
      <c r="S66" s="284"/>
      <c r="T66" s="274">
        <v>4.0999999999999996</v>
      </c>
      <c r="U66" s="274">
        <f t="shared" si="29"/>
        <v>0.5</v>
      </c>
      <c r="V66" s="274">
        <f t="shared" si="30"/>
        <v>0</v>
      </c>
      <c r="W66" s="285"/>
      <c r="X66" s="285"/>
      <c r="Y66" s="285"/>
      <c r="Z66" s="285"/>
      <c r="AA66" s="285"/>
      <c r="AB66" s="285"/>
      <c r="AC66" s="292"/>
      <c r="AD66" s="286"/>
      <c r="AE66" s="285"/>
      <c r="AF66" s="285"/>
      <c r="AG66" s="285"/>
      <c r="AH66" s="285"/>
      <c r="AI66" s="285"/>
      <c r="AJ66" s="285"/>
      <c r="AK66" s="285"/>
      <c r="AL66" s="285"/>
      <c r="AM66" s="285"/>
      <c r="AN66" s="285"/>
      <c r="AO66" s="287"/>
      <c r="AP66" s="285"/>
      <c r="AQ66" s="285"/>
      <c r="AR66" s="285">
        <v>0.5</v>
      </c>
      <c r="AS66" s="285"/>
      <c r="AT66" s="285"/>
      <c r="AU66" s="285"/>
      <c r="AV66" s="285"/>
      <c r="AW66" s="285"/>
      <c r="AX66" s="285"/>
      <c r="AY66" s="285"/>
      <c r="AZ66" s="285"/>
      <c r="BA66" s="285"/>
      <c r="BB66" s="285"/>
      <c r="BC66" s="285"/>
      <c r="BD66" s="285"/>
      <c r="BE66" s="285"/>
      <c r="BF66" s="285"/>
      <c r="BG66" s="285"/>
      <c r="BH66" s="285"/>
      <c r="BI66" s="285"/>
      <c r="BJ66" s="285"/>
      <c r="BK66" s="285"/>
      <c r="BL66" s="285"/>
      <c r="BM66" s="285"/>
      <c r="BN66" s="285"/>
      <c r="BO66" s="286"/>
      <c r="BP66" s="286"/>
      <c r="BQ66" s="286"/>
      <c r="BR66" s="286"/>
      <c r="BS66" s="286"/>
      <c r="BT66" s="286"/>
      <c r="BU66" s="286"/>
      <c r="BV66" s="285"/>
      <c r="BW66" s="285"/>
      <c r="BX66" s="285"/>
      <c r="BY66" s="285"/>
      <c r="BZ66" s="285"/>
      <c r="CA66" s="285"/>
      <c r="CB66" s="285"/>
      <c r="CC66" s="285"/>
      <c r="CD66" s="285"/>
      <c r="CE66" s="285"/>
      <c r="CF66" s="285"/>
      <c r="CG66" s="285"/>
      <c r="CH66" s="285"/>
      <c r="CI66" s="285"/>
    </row>
    <row r="67" spans="1:87" ht="16.2" hidden="1" outlineLevel="1" x14ac:dyDescent="0.25">
      <c r="A67" s="278" t="str">
        <f t="shared" si="27"/>
        <v>lt003_entityenblng_capex_cca</v>
      </c>
      <c r="B67" s="142" t="s">
        <v>26</v>
      </c>
      <c r="C67" s="138" t="s">
        <v>26</v>
      </c>
      <c r="D67" s="236" t="s">
        <v>40</v>
      </c>
      <c r="E67" s="239" t="s">
        <v>336</v>
      </c>
      <c r="F67" s="239"/>
      <c r="G67" s="239" t="s">
        <v>344</v>
      </c>
      <c r="H67" s="236" t="str">
        <f>VLOOKUP(A67,'2. Status Detalhe Campos'!$A$7:$G$574,7,0)</f>
        <v>2.1 Em Teste</v>
      </c>
      <c r="I67" s="280" t="s">
        <v>38</v>
      </c>
      <c r="J67" s="289">
        <v>45614</v>
      </c>
      <c r="K67" s="289">
        <v>45596</v>
      </c>
      <c r="L67" s="294">
        <f t="array" ref="L67">MIN(IF(W67:CI67&gt;0,$W$16:$CI$16))</f>
        <v>45617</v>
      </c>
      <c r="M67" s="295">
        <f t="array" ref="M67">MAX(IF(W67:CI67&gt;0,$W$16:$CI$16))</f>
        <v>45617</v>
      </c>
      <c r="N67" s="295"/>
      <c r="O67" s="249">
        <f>VLOOKUP(H67,Auxiliar!$B$16:$E$24,4,0)</f>
        <v>0.25</v>
      </c>
      <c r="P67" s="249">
        <f t="shared" ca="1" si="28"/>
        <v>1</v>
      </c>
      <c r="Q67" s="248">
        <f t="shared" ca="1" si="26"/>
        <v>-0.75</v>
      </c>
      <c r="R67" s="265"/>
      <c r="S67" s="284"/>
      <c r="T67" s="274">
        <v>4.0999999999999996</v>
      </c>
      <c r="U67" s="274">
        <f t="shared" si="29"/>
        <v>0.5</v>
      </c>
      <c r="V67" s="274">
        <f t="shared" si="30"/>
        <v>0</v>
      </c>
      <c r="W67" s="285"/>
      <c r="X67" s="285"/>
      <c r="Y67" s="285"/>
      <c r="Z67" s="285"/>
      <c r="AA67" s="285"/>
      <c r="AB67" s="285"/>
      <c r="AC67" s="292"/>
      <c r="AD67" s="286"/>
      <c r="AE67" s="285"/>
      <c r="AF67" s="285"/>
      <c r="AG67" s="285"/>
      <c r="AH67" s="285"/>
      <c r="AI67" s="285"/>
      <c r="AJ67" s="285"/>
      <c r="AK67" s="285"/>
      <c r="AL67" s="285"/>
      <c r="AM67" s="285"/>
      <c r="AN67" s="285"/>
      <c r="AO67" s="287"/>
      <c r="AP67" s="285"/>
      <c r="AQ67" s="285"/>
      <c r="AR67" s="285">
        <v>0.5</v>
      </c>
      <c r="AS67" s="285"/>
      <c r="AT67" s="285"/>
      <c r="AU67" s="285"/>
      <c r="AV67" s="285"/>
      <c r="AW67" s="285"/>
      <c r="AX67" s="285"/>
      <c r="AY67" s="285"/>
      <c r="AZ67" s="285"/>
      <c r="BA67" s="285"/>
      <c r="BB67" s="285"/>
      <c r="BC67" s="285"/>
      <c r="BD67" s="285"/>
      <c r="BE67" s="285"/>
      <c r="BF67" s="285"/>
      <c r="BG67" s="285"/>
      <c r="BH67" s="285"/>
      <c r="BI67" s="285"/>
      <c r="BJ67" s="285"/>
      <c r="BK67" s="285"/>
      <c r="BL67" s="285"/>
      <c r="BM67" s="285"/>
      <c r="BN67" s="285"/>
      <c r="BO67" s="286"/>
      <c r="BP67" s="286"/>
      <c r="BQ67" s="286"/>
      <c r="BR67" s="286"/>
      <c r="BS67" s="286"/>
      <c r="BT67" s="286"/>
      <c r="BU67" s="286"/>
      <c r="BV67" s="285"/>
      <c r="BW67" s="285"/>
      <c r="BX67" s="285"/>
      <c r="BY67" s="285"/>
      <c r="BZ67" s="285"/>
      <c r="CA67" s="285"/>
      <c r="CB67" s="285"/>
      <c r="CC67" s="285"/>
      <c r="CD67" s="285"/>
      <c r="CE67" s="285"/>
      <c r="CF67" s="285"/>
      <c r="CG67" s="285"/>
      <c r="CH67" s="285"/>
      <c r="CI67" s="285"/>
    </row>
    <row r="68" spans="1:87" ht="16.2" hidden="1" outlineLevel="1" x14ac:dyDescent="0.25">
      <c r="A68" s="278" t="str">
        <f t="shared" si="27"/>
        <v>lt003_entitytrnstnl_capex</v>
      </c>
      <c r="B68" s="142" t="s">
        <v>26</v>
      </c>
      <c r="C68" s="138" t="s">
        <v>26</v>
      </c>
      <c r="D68" s="236" t="s">
        <v>40</v>
      </c>
      <c r="E68" s="239" t="s">
        <v>336</v>
      </c>
      <c r="F68" s="239"/>
      <c r="G68" s="239" t="s">
        <v>345</v>
      </c>
      <c r="H68" s="236" t="str">
        <f>VLOOKUP(A68,'2. Status Detalhe Campos'!$A$7:$G$574,7,0)</f>
        <v>2.1 Em Teste</v>
      </c>
      <c r="I68" s="280" t="s">
        <v>38</v>
      </c>
      <c r="J68" s="289">
        <v>45614</v>
      </c>
      <c r="K68" s="289">
        <v>45596</v>
      </c>
      <c r="L68" s="294">
        <f t="array" ref="L68">MIN(IF(W68:CI68&gt;0,$W$16:$CI$16))</f>
        <v>45618</v>
      </c>
      <c r="M68" s="295">
        <f t="array" ref="M68">MAX(IF(W68:CI68&gt;0,$W$16:$CI$16))</f>
        <v>45618</v>
      </c>
      <c r="N68" s="295"/>
      <c r="O68" s="249">
        <f>VLOOKUP(H68,Auxiliar!$B$16:$E$24,4,0)</f>
        <v>0.25</v>
      </c>
      <c r="P68" s="249">
        <f t="shared" ca="1" si="28"/>
        <v>1</v>
      </c>
      <c r="Q68" s="248">
        <f t="shared" ca="1" si="26"/>
        <v>-0.75</v>
      </c>
      <c r="R68" s="265"/>
      <c r="S68" s="284"/>
      <c r="T68" s="274">
        <v>4.0999999999999996</v>
      </c>
      <c r="U68" s="274">
        <f t="shared" si="29"/>
        <v>0.5</v>
      </c>
      <c r="V68" s="274">
        <f t="shared" si="30"/>
        <v>0</v>
      </c>
      <c r="W68" s="285"/>
      <c r="X68" s="285"/>
      <c r="Y68" s="285"/>
      <c r="Z68" s="285"/>
      <c r="AA68" s="285"/>
      <c r="AB68" s="285"/>
      <c r="AC68" s="292"/>
      <c r="AD68" s="286"/>
      <c r="AE68" s="285"/>
      <c r="AF68" s="285"/>
      <c r="AG68" s="285"/>
      <c r="AH68" s="285"/>
      <c r="AI68" s="285"/>
      <c r="AJ68" s="285"/>
      <c r="AK68" s="285"/>
      <c r="AL68" s="285"/>
      <c r="AM68" s="285"/>
      <c r="AN68" s="285"/>
      <c r="AO68" s="287"/>
      <c r="AP68" s="285"/>
      <c r="AQ68" s="285"/>
      <c r="AR68" s="285"/>
      <c r="AS68" s="285">
        <v>0.5</v>
      </c>
      <c r="AT68" s="285"/>
      <c r="AU68" s="285"/>
      <c r="AV68" s="285"/>
      <c r="AW68" s="285"/>
      <c r="AX68" s="285"/>
      <c r="AY68" s="285"/>
      <c r="AZ68" s="285"/>
      <c r="BA68" s="285"/>
      <c r="BB68" s="285"/>
      <c r="BC68" s="285"/>
      <c r="BD68" s="285"/>
      <c r="BE68" s="285"/>
      <c r="BF68" s="285"/>
      <c r="BG68" s="285"/>
      <c r="BH68" s="285"/>
      <c r="BI68" s="285"/>
      <c r="BJ68" s="285"/>
      <c r="BK68" s="285"/>
      <c r="BL68" s="285"/>
      <c r="BM68" s="285"/>
      <c r="BN68" s="285"/>
      <c r="BO68" s="286"/>
      <c r="BP68" s="286"/>
      <c r="BQ68" s="286"/>
      <c r="BR68" s="286"/>
      <c r="BS68" s="286"/>
      <c r="BT68" s="286"/>
      <c r="BU68" s="286"/>
      <c r="BV68" s="285"/>
      <c r="BW68" s="285"/>
      <c r="BX68" s="285"/>
      <c r="BY68" s="285"/>
      <c r="BZ68" s="285"/>
      <c r="CA68" s="285"/>
      <c r="CB68" s="285"/>
      <c r="CC68" s="285"/>
      <c r="CD68" s="285"/>
      <c r="CE68" s="285"/>
      <c r="CF68" s="285"/>
      <c r="CG68" s="285"/>
      <c r="CH68" s="285"/>
      <c r="CI68" s="285"/>
    </row>
    <row r="69" spans="1:87" ht="16.2" hidden="1" outlineLevel="1" x14ac:dyDescent="0.25">
      <c r="A69" s="278" t="str">
        <f t="shared" si="27"/>
        <v>lt003_entitypure_capex_ccm</v>
      </c>
      <c r="B69" s="142" t="s">
        <v>26</v>
      </c>
      <c r="C69" s="138" t="s">
        <v>26</v>
      </c>
      <c r="D69" s="236" t="s">
        <v>40</v>
      </c>
      <c r="E69" s="239" t="s">
        <v>336</v>
      </c>
      <c r="F69" s="239"/>
      <c r="G69" s="239" t="s">
        <v>346</v>
      </c>
      <c r="H69" s="236" t="str">
        <f>VLOOKUP(A69,'2. Status Detalhe Campos'!$A$7:$G$574,7,0)</f>
        <v>2.1 Em Teste</v>
      </c>
      <c r="I69" s="280" t="s">
        <v>38</v>
      </c>
      <c r="J69" s="289">
        <v>45614</v>
      </c>
      <c r="K69" s="289">
        <v>45596</v>
      </c>
      <c r="L69" s="294">
        <f t="array" ref="L69">MIN(IF(W69:CI69&gt;0,$W$16:$CI$16))</f>
        <v>45618</v>
      </c>
      <c r="M69" s="295">
        <f t="array" ref="M69">MAX(IF(W69:CI69&gt;0,$W$16:$CI$16))</f>
        <v>45618</v>
      </c>
      <c r="N69" s="295"/>
      <c r="O69" s="249">
        <f>VLOOKUP(H69,Auxiliar!$B$16:$E$24,4,0)</f>
        <v>0.25</v>
      </c>
      <c r="P69" s="249">
        <f t="shared" ca="1" si="28"/>
        <v>1</v>
      </c>
      <c r="Q69" s="248">
        <f t="shared" ca="1" si="26"/>
        <v>-0.75</v>
      </c>
      <c r="R69" s="265"/>
      <c r="S69" s="284"/>
      <c r="T69" s="274">
        <v>4.0999999999999996</v>
      </c>
      <c r="U69" s="274">
        <f t="shared" si="29"/>
        <v>0.5</v>
      </c>
      <c r="V69" s="274">
        <f t="shared" si="30"/>
        <v>0</v>
      </c>
      <c r="W69" s="285"/>
      <c r="X69" s="285"/>
      <c r="Y69" s="285"/>
      <c r="Z69" s="285"/>
      <c r="AA69" s="285"/>
      <c r="AB69" s="285"/>
      <c r="AC69" s="292"/>
      <c r="AD69" s="286"/>
      <c r="AE69" s="285"/>
      <c r="AF69" s="285"/>
      <c r="AG69" s="285"/>
      <c r="AH69" s="285"/>
      <c r="AI69" s="285"/>
      <c r="AJ69" s="285"/>
      <c r="AK69" s="285"/>
      <c r="AL69" s="285"/>
      <c r="AM69" s="285"/>
      <c r="AN69" s="285"/>
      <c r="AO69" s="287"/>
      <c r="AP69" s="285"/>
      <c r="AQ69" s="285"/>
      <c r="AR69" s="285"/>
      <c r="AS69" s="285">
        <v>0.5</v>
      </c>
      <c r="AT69" s="285"/>
      <c r="AU69" s="285"/>
      <c r="AV69" s="285"/>
      <c r="AW69" s="285"/>
      <c r="AX69" s="285"/>
      <c r="AY69" s="285"/>
      <c r="AZ69" s="285"/>
      <c r="BA69" s="285"/>
      <c r="BB69" s="285"/>
      <c r="BC69" s="285"/>
      <c r="BD69" s="285"/>
      <c r="BE69" s="285"/>
      <c r="BF69" s="285"/>
      <c r="BG69" s="285"/>
      <c r="BH69" s="285"/>
      <c r="BI69" s="285"/>
      <c r="BJ69" s="285"/>
      <c r="BK69" s="285"/>
      <c r="BL69" s="285"/>
      <c r="BM69" s="285"/>
      <c r="BN69" s="285"/>
      <c r="BO69" s="286"/>
      <c r="BP69" s="286"/>
      <c r="BQ69" s="286"/>
      <c r="BR69" s="286"/>
      <c r="BS69" s="286"/>
      <c r="BT69" s="286"/>
      <c r="BU69" s="286"/>
      <c r="BV69" s="285"/>
      <c r="BW69" s="285"/>
      <c r="BX69" s="285"/>
      <c r="BY69" s="285"/>
      <c r="BZ69" s="285"/>
      <c r="CA69" s="285"/>
      <c r="CB69" s="285"/>
      <c r="CC69" s="285"/>
      <c r="CD69" s="285"/>
      <c r="CE69" s="285"/>
      <c r="CF69" s="285"/>
      <c r="CG69" s="285"/>
      <c r="CH69" s="285"/>
      <c r="CI69" s="285"/>
    </row>
    <row r="70" spans="1:87" ht="16.2" hidden="1" outlineLevel="1" x14ac:dyDescent="0.25">
      <c r="A70" s="278" t="str">
        <f t="shared" si="27"/>
        <v>lt003_entityenblng_trnvr_ccm</v>
      </c>
      <c r="B70" s="142" t="s">
        <v>26</v>
      </c>
      <c r="C70" s="138" t="s">
        <v>26</v>
      </c>
      <c r="D70" s="236" t="s">
        <v>40</v>
      </c>
      <c r="E70" s="239" t="s">
        <v>336</v>
      </c>
      <c r="F70" s="239"/>
      <c r="G70" s="239" t="s">
        <v>348</v>
      </c>
      <c r="H70" s="236" t="str">
        <f>VLOOKUP(A70,'2. Status Detalhe Campos'!$A$7:$G$574,7,0)</f>
        <v>2.1 Em Teste</v>
      </c>
      <c r="I70" s="280" t="s">
        <v>38</v>
      </c>
      <c r="J70" s="289">
        <v>45614</v>
      </c>
      <c r="K70" s="289">
        <v>45596</v>
      </c>
      <c r="L70" s="294">
        <f t="array" ref="L70">MIN(IF(W70:CI70&gt;0,$W$16:$CI$16))</f>
        <v>45621</v>
      </c>
      <c r="M70" s="295">
        <f t="array" ref="M70">MAX(IF(W70:CI70&gt;0,$W$16:$CI$16))</f>
        <v>45621</v>
      </c>
      <c r="N70" s="295"/>
      <c r="O70" s="249">
        <f>VLOOKUP(H70,Auxiliar!$B$16:$E$24,4,0)</f>
        <v>0.25</v>
      </c>
      <c r="P70" s="249">
        <f t="shared" ca="1" si="28"/>
        <v>1</v>
      </c>
      <c r="Q70" s="248">
        <f t="shared" ca="1" si="26"/>
        <v>-0.75</v>
      </c>
      <c r="R70" s="265"/>
      <c r="S70" s="284"/>
      <c r="T70" s="274">
        <v>4.0999999999999996</v>
      </c>
      <c r="U70" s="274">
        <f t="shared" si="29"/>
        <v>0.5</v>
      </c>
      <c r="V70" s="274">
        <f t="shared" si="30"/>
        <v>0</v>
      </c>
      <c r="W70" s="285"/>
      <c r="X70" s="285"/>
      <c r="Y70" s="285"/>
      <c r="Z70" s="285"/>
      <c r="AA70" s="285"/>
      <c r="AB70" s="285"/>
      <c r="AC70" s="292"/>
      <c r="AD70" s="286"/>
      <c r="AE70" s="285"/>
      <c r="AF70" s="285"/>
      <c r="AG70" s="285"/>
      <c r="AH70" s="285"/>
      <c r="AI70" s="285"/>
      <c r="AJ70" s="285"/>
      <c r="AK70" s="285"/>
      <c r="AL70" s="285"/>
      <c r="AM70" s="285"/>
      <c r="AN70" s="285"/>
      <c r="AO70" s="287"/>
      <c r="AP70" s="285"/>
      <c r="AQ70" s="285"/>
      <c r="AR70" s="285"/>
      <c r="AS70" s="285"/>
      <c r="AT70" s="285">
        <v>0.5</v>
      </c>
      <c r="AU70" s="285"/>
      <c r="AV70" s="285"/>
      <c r="AW70" s="285"/>
      <c r="AX70" s="285"/>
      <c r="AY70" s="285"/>
      <c r="AZ70" s="285"/>
      <c r="BA70" s="285"/>
      <c r="BB70" s="285"/>
      <c r="BC70" s="285"/>
      <c r="BD70" s="285"/>
      <c r="BE70" s="285"/>
      <c r="BF70" s="285"/>
      <c r="BG70" s="285"/>
      <c r="BH70" s="285"/>
      <c r="BI70" s="285"/>
      <c r="BJ70" s="285"/>
      <c r="BK70" s="285"/>
      <c r="BL70" s="285"/>
      <c r="BM70" s="285"/>
      <c r="BN70" s="285"/>
      <c r="BO70" s="286"/>
      <c r="BP70" s="286"/>
      <c r="BQ70" s="286"/>
      <c r="BR70" s="286"/>
      <c r="BS70" s="286"/>
      <c r="BT70" s="286"/>
      <c r="BU70" s="286"/>
      <c r="BV70" s="285"/>
      <c r="BW70" s="285"/>
      <c r="BX70" s="285"/>
      <c r="BY70" s="285"/>
      <c r="BZ70" s="285"/>
      <c r="CA70" s="285"/>
      <c r="CB70" s="285"/>
      <c r="CC70" s="285"/>
      <c r="CD70" s="285"/>
      <c r="CE70" s="285"/>
      <c r="CF70" s="285"/>
      <c r="CG70" s="285"/>
      <c r="CH70" s="285"/>
      <c r="CI70" s="285"/>
    </row>
    <row r="71" spans="1:87" ht="16.2" hidden="1" outlineLevel="1" x14ac:dyDescent="0.25">
      <c r="A71" s="278" t="str">
        <f t="shared" si="27"/>
        <v>lt003_entityenblng_trnvr_cca</v>
      </c>
      <c r="B71" s="142" t="s">
        <v>26</v>
      </c>
      <c r="C71" s="138" t="s">
        <v>26</v>
      </c>
      <c r="D71" s="236" t="s">
        <v>40</v>
      </c>
      <c r="E71" s="239" t="s">
        <v>336</v>
      </c>
      <c r="F71" s="239"/>
      <c r="G71" s="239" t="s">
        <v>349</v>
      </c>
      <c r="H71" s="236" t="str">
        <f>VLOOKUP(A71,'2. Status Detalhe Campos'!$A$7:$G$574,7,0)</f>
        <v>2.1 Em Teste</v>
      </c>
      <c r="I71" s="280" t="s">
        <v>38</v>
      </c>
      <c r="J71" s="289">
        <v>45614</v>
      </c>
      <c r="K71" s="289">
        <v>45596</v>
      </c>
      <c r="L71" s="294">
        <f t="array" ref="L71">MIN(IF(W71:CI71&gt;0,$W$16:$CI$16))</f>
        <v>45621</v>
      </c>
      <c r="M71" s="295">
        <f t="array" ref="M71">MAX(IF(W71:CI71&gt;0,$W$16:$CI$16))</f>
        <v>45621</v>
      </c>
      <c r="N71" s="295"/>
      <c r="O71" s="249">
        <f>VLOOKUP(H71,Auxiliar!$B$16:$E$24,4,0)</f>
        <v>0.25</v>
      </c>
      <c r="P71" s="249">
        <f t="shared" ca="1" si="28"/>
        <v>1</v>
      </c>
      <c r="Q71" s="248">
        <f t="shared" ca="1" si="26"/>
        <v>-0.75</v>
      </c>
      <c r="R71" s="265"/>
      <c r="S71" s="284"/>
      <c r="T71" s="274">
        <v>4.0999999999999996</v>
      </c>
      <c r="U71" s="274">
        <f t="shared" si="29"/>
        <v>0.5</v>
      </c>
      <c r="V71" s="274">
        <f t="shared" si="30"/>
        <v>0</v>
      </c>
      <c r="W71" s="285"/>
      <c r="X71" s="285"/>
      <c r="Y71" s="285"/>
      <c r="Z71" s="285"/>
      <c r="AA71" s="285"/>
      <c r="AB71" s="285"/>
      <c r="AC71" s="292"/>
      <c r="AD71" s="286"/>
      <c r="AE71" s="285"/>
      <c r="AF71" s="285"/>
      <c r="AG71" s="285"/>
      <c r="AH71" s="285"/>
      <c r="AI71" s="285"/>
      <c r="AJ71" s="285"/>
      <c r="AK71" s="285"/>
      <c r="AL71" s="285"/>
      <c r="AM71" s="285"/>
      <c r="AN71" s="285"/>
      <c r="AO71" s="287"/>
      <c r="AP71" s="285"/>
      <c r="AQ71" s="285"/>
      <c r="AR71" s="285"/>
      <c r="AS71" s="285"/>
      <c r="AT71" s="285">
        <v>0.5</v>
      </c>
      <c r="AU71" s="285"/>
      <c r="AV71" s="285"/>
      <c r="AW71" s="285"/>
      <c r="AX71" s="285"/>
      <c r="AY71" s="285"/>
      <c r="AZ71" s="285"/>
      <c r="BA71" s="285"/>
      <c r="BB71" s="285"/>
      <c r="BC71" s="285"/>
      <c r="BD71" s="285"/>
      <c r="BE71" s="285"/>
      <c r="BF71" s="285"/>
      <c r="BG71" s="285"/>
      <c r="BH71" s="285"/>
      <c r="BI71" s="285"/>
      <c r="BJ71" s="285"/>
      <c r="BK71" s="285"/>
      <c r="BL71" s="285"/>
      <c r="BM71" s="285"/>
      <c r="BN71" s="285"/>
      <c r="BO71" s="286"/>
      <c r="BP71" s="286"/>
      <c r="BQ71" s="286"/>
      <c r="BR71" s="286"/>
      <c r="BS71" s="286"/>
      <c r="BT71" s="286"/>
      <c r="BU71" s="286"/>
      <c r="BV71" s="285"/>
      <c r="BW71" s="285"/>
      <c r="BX71" s="285"/>
      <c r="BY71" s="285"/>
      <c r="BZ71" s="285"/>
      <c r="CA71" s="285"/>
      <c r="CB71" s="285"/>
      <c r="CC71" s="285"/>
      <c r="CD71" s="285"/>
      <c r="CE71" s="285"/>
      <c r="CF71" s="285"/>
      <c r="CG71" s="285"/>
      <c r="CH71" s="285"/>
      <c r="CI71" s="285"/>
    </row>
    <row r="72" spans="1:87" ht="16.2" hidden="1" outlineLevel="1" x14ac:dyDescent="0.25">
      <c r="A72" s="278" t="str">
        <f t="shared" si="27"/>
        <v>lt003_entitytrnstnl_trnvr</v>
      </c>
      <c r="B72" s="142" t="s">
        <v>26</v>
      </c>
      <c r="C72" s="138" t="s">
        <v>26</v>
      </c>
      <c r="D72" s="236" t="s">
        <v>40</v>
      </c>
      <c r="E72" s="239" t="s">
        <v>336</v>
      </c>
      <c r="F72" s="239"/>
      <c r="G72" s="239" t="s">
        <v>350</v>
      </c>
      <c r="H72" s="236" t="str">
        <f>VLOOKUP(A72,'2. Status Detalhe Campos'!$A$7:$G$574,7,0)</f>
        <v>2.1 Em Teste</v>
      </c>
      <c r="I72" s="280" t="s">
        <v>38</v>
      </c>
      <c r="J72" s="289">
        <v>45614</v>
      </c>
      <c r="K72" s="289">
        <v>45596</v>
      </c>
      <c r="L72" s="294">
        <f t="array" ref="L72">MIN(IF(W72:CI72&gt;0,$W$16:$CI$16))</f>
        <v>45622</v>
      </c>
      <c r="M72" s="295">
        <f t="array" ref="M72">MAX(IF(W72:CI72&gt;0,$W$16:$CI$16))</f>
        <v>45622</v>
      </c>
      <c r="N72" s="295"/>
      <c r="O72" s="249">
        <f>VLOOKUP(H72,Auxiliar!$B$16:$E$24,4,0)</f>
        <v>0.25</v>
      </c>
      <c r="P72" s="249">
        <f t="shared" ca="1" si="28"/>
        <v>1</v>
      </c>
      <c r="Q72" s="248">
        <f t="shared" ca="1" si="26"/>
        <v>-0.75</v>
      </c>
      <c r="R72" s="265"/>
      <c r="S72" s="284"/>
      <c r="T72" s="274">
        <v>4.0999999999999996</v>
      </c>
      <c r="U72" s="274">
        <f t="shared" si="29"/>
        <v>0.5</v>
      </c>
      <c r="V72" s="274">
        <f t="shared" si="30"/>
        <v>0</v>
      </c>
      <c r="W72" s="285"/>
      <c r="X72" s="285"/>
      <c r="Y72" s="285"/>
      <c r="Z72" s="285"/>
      <c r="AA72" s="285"/>
      <c r="AB72" s="285"/>
      <c r="AC72" s="292"/>
      <c r="AD72" s="286"/>
      <c r="AE72" s="285"/>
      <c r="AF72" s="285"/>
      <c r="AG72" s="285"/>
      <c r="AH72" s="285"/>
      <c r="AI72" s="285"/>
      <c r="AJ72" s="285"/>
      <c r="AK72" s="285"/>
      <c r="AL72" s="285"/>
      <c r="AM72" s="285"/>
      <c r="AN72" s="285"/>
      <c r="AO72" s="287"/>
      <c r="AP72" s="285"/>
      <c r="AQ72" s="285"/>
      <c r="AR72" s="285"/>
      <c r="AS72" s="285"/>
      <c r="AT72" s="285"/>
      <c r="AU72" s="285">
        <v>0.5</v>
      </c>
      <c r="AV72" s="285"/>
      <c r="AW72" s="285"/>
      <c r="AX72" s="285"/>
      <c r="AY72" s="285"/>
      <c r="AZ72" s="285"/>
      <c r="BA72" s="285"/>
      <c r="BB72" s="285"/>
      <c r="BC72" s="285"/>
      <c r="BD72" s="285"/>
      <c r="BE72" s="285"/>
      <c r="BF72" s="285"/>
      <c r="BG72" s="285"/>
      <c r="BH72" s="285"/>
      <c r="BI72" s="285"/>
      <c r="BJ72" s="285"/>
      <c r="BK72" s="285"/>
      <c r="BL72" s="285"/>
      <c r="BM72" s="285"/>
      <c r="BN72" s="285"/>
      <c r="BO72" s="286"/>
      <c r="BP72" s="286"/>
      <c r="BQ72" s="286"/>
      <c r="BR72" s="286"/>
      <c r="BS72" s="286"/>
      <c r="BT72" s="286"/>
      <c r="BU72" s="286"/>
      <c r="BV72" s="285"/>
      <c r="BW72" s="285"/>
      <c r="BX72" s="285"/>
      <c r="BY72" s="285"/>
      <c r="BZ72" s="285"/>
      <c r="CA72" s="285"/>
      <c r="CB72" s="285"/>
      <c r="CC72" s="285"/>
      <c r="CD72" s="285"/>
      <c r="CE72" s="285"/>
      <c r="CF72" s="285"/>
      <c r="CG72" s="285"/>
      <c r="CH72" s="285"/>
      <c r="CI72" s="285"/>
    </row>
    <row r="73" spans="1:87" ht="16.2" hidden="1" outlineLevel="1" x14ac:dyDescent="0.25">
      <c r="A73" s="278" t="str">
        <f t="shared" si="27"/>
        <v>lt003_entitypure_trnvr_ccm</v>
      </c>
      <c r="B73" s="142" t="s">
        <v>26</v>
      </c>
      <c r="C73" s="138" t="s">
        <v>26</v>
      </c>
      <c r="D73" s="236" t="s">
        <v>40</v>
      </c>
      <c r="E73" s="239" t="s">
        <v>336</v>
      </c>
      <c r="F73" s="239"/>
      <c r="G73" s="239" t="s">
        <v>351</v>
      </c>
      <c r="H73" s="236" t="str">
        <f>VLOOKUP(A73,'2. Status Detalhe Campos'!$A$7:$G$574,7,0)</f>
        <v>2.1 Em Teste</v>
      </c>
      <c r="I73" s="280" t="s">
        <v>38</v>
      </c>
      <c r="J73" s="289">
        <v>45614</v>
      </c>
      <c r="K73" s="289">
        <v>45596</v>
      </c>
      <c r="L73" s="294">
        <f t="array" ref="L73">MIN(IF(W73:CI73&gt;0,$W$16:$CI$16))</f>
        <v>45622</v>
      </c>
      <c r="M73" s="295">
        <f t="array" ref="M73">MAX(IF(W73:CI73&gt;0,$W$16:$CI$16))</f>
        <v>45622</v>
      </c>
      <c r="N73" s="295"/>
      <c r="O73" s="249">
        <f>VLOOKUP(H73,Auxiliar!$B$16:$E$24,4,0)</f>
        <v>0.25</v>
      </c>
      <c r="P73" s="249">
        <f t="shared" ca="1" si="28"/>
        <v>1</v>
      </c>
      <c r="Q73" s="248">
        <f t="shared" ca="1" si="26"/>
        <v>-0.75</v>
      </c>
      <c r="R73" s="265"/>
      <c r="S73" s="284"/>
      <c r="T73" s="274">
        <v>4.0999999999999996</v>
      </c>
      <c r="U73" s="274">
        <f t="shared" si="29"/>
        <v>0.5</v>
      </c>
      <c r="V73" s="274">
        <f t="shared" si="30"/>
        <v>0</v>
      </c>
      <c r="W73" s="285"/>
      <c r="X73" s="285"/>
      <c r="Y73" s="285"/>
      <c r="Z73" s="285"/>
      <c r="AA73" s="285"/>
      <c r="AB73" s="285"/>
      <c r="AC73" s="292"/>
      <c r="AD73" s="286"/>
      <c r="AE73" s="285"/>
      <c r="AF73" s="285"/>
      <c r="AG73" s="285"/>
      <c r="AH73" s="285"/>
      <c r="AI73" s="285"/>
      <c r="AJ73" s="285"/>
      <c r="AK73" s="285"/>
      <c r="AL73" s="285"/>
      <c r="AM73" s="285"/>
      <c r="AN73" s="285"/>
      <c r="AO73" s="287"/>
      <c r="AP73" s="285"/>
      <c r="AQ73" s="285"/>
      <c r="AR73" s="285"/>
      <c r="AS73" s="285"/>
      <c r="AT73" s="285"/>
      <c r="AU73" s="285">
        <v>0.5</v>
      </c>
      <c r="AV73" s="285"/>
      <c r="AW73" s="285"/>
      <c r="AX73" s="285"/>
      <c r="AY73" s="285"/>
      <c r="AZ73" s="285"/>
      <c r="BA73" s="285"/>
      <c r="BB73" s="285"/>
      <c r="BC73" s="285"/>
      <c r="BD73" s="285"/>
      <c r="BE73" s="285"/>
      <c r="BF73" s="285"/>
      <c r="BG73" s="285"/>
      <c r="BH73" s="285"/>
      <c r="BI73" s="285"/>
      <c r="BJ73" s="285"/>
      <c r="BK73" s="285"/>
      <c r="BL73" s="285"/>
      <c r="BM73" s="285"/>
      <c r="BN73" s="285"/>
      <c r="BO73" s="286"/>
      <c r="BP73" s="286"/>
      <c r="BQ73" s="286"/>
      <c r="BR73" s="286"/>
      <c r="BS73" s="286"/>
      <c r="BT73" s="286"/>
      <c r="BU73" s="286"/>
      <c r="BV73" s="285"/>
      <c r="BW73" s="285"/>
      <c r="BX73" s="285"/>
      <c r="BY73" s="285"/>
      <c r="BZ73" s="285"/>
      <c r="CA73" s="285"/>
      <c r="CB73" s="285"/>
      <c r="CC73" s="285"/>
      <c r="CD73" s="285"/>
      <c r="CE73" s="285"/>
      <c r="CF73" s="285"/>
      <c r="CG73" s="285"/>
      <c r="CH73" s="285"/>
      <c r="CI73" s="285"/>
    </row>
    <row r="74" spans="1:87" ht="16.2" hidden="1" outlineLevel="1" x14ac:dyDescent="0.25">
      <c r="A74" s="278" t="str">
        <f t="shared" si="27"/>
        <v>lt003_entitypure_trnvr_cca</v>
      </c>
      <c r="B74" s="142" t="s">
        <v>26</v>
      </c>
      <c r="C74" s="138" t="s">
        <v>26</v>
      </c>
      <c r="D74" s="236" t="s">
        <v>40</v>
      </c>
      <c r="E74" s="239" t="s">
        <v>336</v>
      </c>
      <c r="F74" s="239"/>
      <c r="G74" s="239" t="s">
        <v>352</v>
      </c>
      <c r="H74" s="236" t="str">
        <f>VLOOKUP(A74,'2. Status Detalhe Campos'!$A$7:$G$574,7,0)</f>
        <v>2.1 Em Teste</v>
      </c>
      <c r="I74" s="280" t="s">
        <v>38</v>
      </c>
      <c r="J74" s="289">
        <v>45614</v>
      </c>
      <c r="K74" s="289">
        <v>45596</v>
      </c>
      <c r="L74" s="294">
        <f t="array" ref="L74">MIN(IF(W74:CI74&gt;0,$W$16:$CI$16))</f>
        <v>45624</v>
      </c>
      <c r="M74" s="295">
        <f t="array" ref="M74">MAX(IF(W74:CI74&gt;0,$W$16:$CI$16))</f>
        <v>45624</v>
      </c>
      <c r="N74" s="295"/>
      <c r="O74" s="249">
        <f>VLOOKUP(H74,Auxiliar!$B$16:$E$24,4,0)</f>
        <v>0.25</v>
      </c>
      <c r="P74" s="249">
        <f t="shared" ca="1" si="28"/>
        <v>1</v>
      </c>
      <c r="Q74" s="248">
        <f t="shared" ca="1" si="26"/>
        <v>-0.75</v>
      </c>
      <c r="R74" s="265"/>
      <c r="S74" s="284"/>
      <c r="T74" s="274">
        <v>4.0999999999999996</v>
      </c>
      <c r="U74" s="274">
        <f t="shared" si="29"/>
        <v>0.5</v>
      </c>
      <c r="V74" s="274">
        <f t="shared" si="30"/>
        <v>0</v>
      </c>
      <c r="W74" s="285"/>
      <c r="X74" s="285"/>
      <c r="Y74" s="285"/>
      <c r="Z74" s="285"/>
      <c r="AA74" s="285"/>
      <c r="AB74" s="285"/>
      <c r="AC74" s="292"/>
      <c r="AD74" s="286"/>
      <c r="AE74" s="285"/>
      <c r="AF74" s="285"/>
      <c r="AG74" s="285"/>
      <c r="AH74" s="285"/>
      <c r="AI74" s="285"/>
      <c r="AJ74" s="285"/>
      <c r="AK74" s="285"/>
      <c r="AL74" s="285"/>
      <c r="AM74" s="285"/>
      <c r="AN74" s="285"/>
      <c r="AO74" s="287"/>
      <c r="AP74" s="285"/>
      <c r="AQ74" s="285"/>
      <c r="AR74" s="285"/>
      <c r="AS74" s="285"/>
      <c r="AT74" s="285"/>
      <c r="AU74" s="285"/>
      <c r="AV74" s="285"/>
      <c r="AW74" s="285">
        <v>0.5</v>
      </c>
      <c r="AX74" s="285"/>
      <c r="AY74" s="285"/>
      <c r="AZ74" s="285"/>
      <c r="BA74" s="285"/>
      <c r="BB74" s="285"/>
      <c r="BC74" s="285"/>
      <c r="BD74" s="285"/>
      <c r="BE74" s="285"/>
      <c r="BF74" s="285"/>
      <c r="BG74" s="285"/>
      <c r="BH74" s="285"/>
      <c r="BI74" s="285"/>
      <c r="BJ74" s="285"/>
      <c r="BK74" s="285"/>
      <c r="BL74" s="285"/>
      <c r="BM74" s="285"/>
      <c r="BN74" s="285"/>
      <c r="BO74" s="286"/>
      <c r="BP74" s="286"/>
      <c r="BQ74" s="286"/>
      <c r="BR74" s="286"/>
      <c r="BS74" s="286"/>
      <c r="BT74" s="286"/>
      <c r="BU74" s="286"/>
      <c r="BV74" s="285"/>
      <c r="BW74" s="285"/>
      <c r="BX74" s="285"/>
      <c r="BY74" s="285"/>
      <c r="BZ74" s="285"/>
      <c r="CA74" s="285"/>
      <c r="CB74" s="285"/>
      <c r="CC74" s="285"/>
      <c r="CD74" s="285"/>
      <c r="CE74" s="285"/>
      <c r="CF74" s="285"/>
      <c r="CG74" s="285"/>
      <c r="CH74" s="285"/>
      <c r="CI74" s="285"/>
    </row>
    <row r="75" spans="1:87" ht="16.2" hidden="1" outlineLevel="1" x14ac:dyDescent="0.25">
      <c r="A75" s="278" t="str">
        <f t="shared" si="27"/>
        <v>lt003_entityflg_excldd_eu_prs_algnd_bnchmrk</v>
      </c>
      <c r="B75" s="142" t="s">
        <v>26</v>
      </c>
      <c r="C75" s="138" t="s">
        <v>26</v>
      </c>
      <c r="D75" s="236" t="s">
        <v>40</v>
      </c>
      <c r="E75" s="239" t="s">
        <v>336</v>
      </c>
      <c r="F75" s="239"/>
      <c r="G75" s="239" t="s">
        <v>357</v>
      </c>
      <c r="H75" s="236" t="str">
        <f>VLOOKUP(A75,'2. Status Detalhe Campos'!$A$7:$G$574,7,0)</f>
        <v>2.1 Em Teste</v>
      </c>
      <c r="I75" s="280" t="s">
        <v>38</v>
      </c>
      <c r="J75" s="289">
        <v>45614</v>
      </c>
      <c r="K75" s="289">
        <v>45596</v>
      </c>
      <c r="L75" s="294">
        <f t="array" ref="L75">MIN(IF(W75:CI75&gt;0,$W$16:$CI$16))</f>
        <v>45624</v>
      </c>
      <c r="M75" s="295">
        <f t="array" ref="M75">MAX(IF(W75:CI75&gt;0,$W$16:$CI$16))</f>
        <v>45624</v>
      </c>
      <c r="N75" s="295"/>
      <c r="O75" s="249">
        <f>VLOOKUP(H75,Auxiliar!$B$16:$E$24,4,0)</f>
        <v>0.25</v>
      </c>
      <c r="P75" s="249">
        <f t="shared" ca="1" si="28"/>
        <v>1</v>
      </c>
      <c r="Q75" s="248">
        <f t="shared" ca="1" si="26"/>
        <v>-0.75</v>
      </c>
      <c r="R75" s="265"/>
      <c r="S75" s="284"/>
      <c r="T75" s="274">
        <v>4.0999999999999996</v>
      </c>
      <c r="U75" s="274">
        <f t="shared" si="29"/>
        <v>0.5</v>
      </c>
      <c r="V75" s="274">
        <f t="shared" si="30"/>
        <v>0</v>
      </c>
      <c r="W75" s="285"/>
      <c r="X75" s="285"/>
      <c r="Y75" s="285"/>
      <c r="Z75" s="285"/>
      <c r="AA75" s="285"/>
      <c r="AB75" s="285"/>
      <c r="AC75" s="292"/>
      <c r="AD75" s="286"/>
      <c r="AE75" s="285"/>
      <c r="AF75" s="285"/>
      <c r="AG75" s="285"/>
      <c r="AH75" s="285"/>
      <c r="AI75" s="285"/>
      <c r="AJ75" s="285"/>
      <c r="AK75" s="285"/>
      <c r="AL75" s="285"/>
      <c r="AM75" s="285"/>
      <c r="AN75" s="285"/>
      <c r="AO75" s="287"/>
      <c r="AP75" s="285"/>
      <c r="AQ75" s="285"/>
      <c r="AR75" s="285"/>
      <c r="AS75" s="285"/>
      <c r="AT75" s="285"/>
      <c r="AU75" s="285"/>
      <c r="AV75" s="285"/>
      <c r="AW75" s="285">
        <v>0.5</v>
      </c>
      <c r="AX75" s="285"/>
      <c r="AY75" s="285"/>
      <c r="AZ75" s="285"/>
      <c r="BA75" s="285"/>
      <c r="BB75" s="285"/>
      <c r="BC75" s="285"/>
      <c r="BD75" s="285"/>
      <c r="BE75" s="285"/>
      <c r="BF75" s="285"/>
      <c r="BG75" s="285"/>
      <c r="BH75" s="285"/>
      <c r="BI75" s="285"/>
      <c r="BJ75" s="285"/>
      <c r="BK75" s="285"/>
      <c r="BL75" s="285"/>
      <c r="BM75" s="285"/>
      <c r="BN75" s="285"/>
      <c r="BO75" s="286"/>
      <c r="BP75" s="286"/>
      <c r="BQ75" s="286"/>
      <c r="BR75" s="286"/>
      <c r="BS75" s="286"/>
      <c r="BT75" s="286"/>
      <c r="BU75" s="286"/>
      <c r="BV75" s="285"/>
      <c r="BW75" s="285"/>
      <c r="BX75" s="285"/>
      <c r="BY75" s="285"/>
      <c r="BZ75" s="285"/>
      <c r="CA75" s="285"/>
      <c r="CB75" s="285"/>
      <c r="CC75" s="285"/>
      <c r="CD75" s="285"/>
      <c r="CE75" s="285"/>
      <c r="CF75" s="285"/>
      <c r="CG75" s="285"/>
      <c r="CH75" s="285"/>
      <c r="CI75" s="285"/>
    </row>
    <row r="76" spans="1:87" ht="16.2" hidden="1" outlineLevel="1" x14ac:dyDescent="0.25">
      <c r="A76" s="278" t="str">
        <f t="shared" ref="A76" si="31">E76&amp;G76</f>
        <v>lt003_entitypst_cd</v>
      </c>
      <c r="B76" s="142" t="s">
        <v>26</v>
      </c>
      <c r="C76" s="138" t="s">
        <v>26</v>
      </c>
      <c r="D76" s="236" t="s">
        <v>40</v>
      </c>
      <c r="E76" s="239" t="s">
        <v>336</v>
      </c>
      <c r="F76" s="239"/>
      <c r="G76" s="239" t="s">
        <v>360</v>
      </c>
      <c r="H76" s="236" t="str">
        <f>VLOOKUP(A76,'2. Status Detalhe Campos'!$A$7:$G$574,7,0)</f>
        <v>1. Concluído</v>
      </c>
      <c r="I76" s="280" t="s">
        <v>38</v>
      </c>
      <c r="J76" s="289">
        <v>45596</v>
      </c>
      <c r="K76" s="289">
        <v>45596</v>
      </c>
      <c r="L76" s="294">
        <f t="array" ref="L76">MIN(IF(W76:CI76&gt;0,$W$16:$CI$16))</f>
        <v>45600</v>
      </c>
      <c r="M76" s="295">
        <f t="array" ref="M76">MAX(IF(W76:CI76&gt;0,$W$16:$CI$16))</f>
        <v>45600</v>
      </c>
      <c r="N76" s="295"/>
      <c r="O76" s="249">
        <f>VLOOKUP(H76,Auxiliar!$B$16:$E$24,4,0)</f>
        <v>1</v>
      </c>
      <c r="P76" s="249">
        <f t="shared" ref="P76" ca="1" si="32">IF(TODAY()&lt;=L76,0,MIN((TODAY()-L76)/(M76-L76+1),100%))</f>
        <v>1</v>
      </c>
      <c r="Q76" s="248">
        <f t="shared" ref="Q76" ca="1" si="33">O76-P76</f>
        <v>0</v>
      </c>
      <c r="R76" s="265"/>
      <c r="S76" s="284" t="s">
        <v>1305</v>
      </c>
      <c r="T76" s="274">
        <v>4.0999999999999996</v>
      </c>
      <c r="U76" s="274">
        <f t="shared" ref="U76" si="34">ROUND(T76/8,1)</f>
        <v>0.5</v>
      </c>
      <c r="V76" s="274">
        <f t="shared" ref="V76" si="35">SUM(W76:CI76)-U76</f>
        <v>0</v>
      </c>
      <c r="W76" s="285"/>
      <c r="X76" s="285"/>
      <c r="Y76" s="285"/>
      <c r="Z76" s="285"/>
      <c r="AA76" s="285"/>
      <c r="AB76" s="285"/>
      <c r="AC76" s="292"/>
      <c r="AD76" s="286"/>
      <c r="AE76" s="285">
        <v>0.5</v>
      </c>
      <c r="AF76" s="285"/>
      <c r="AG76" s="285"/>
      <c r="AH76" s="285"/>
      <c r="AI76" s="285"/>
      <c r="AJ76" s="285"/>
      <c r="AK76" s="285"/>
      <c r="AL76" s="285"/>
      <c r="AM76" s="285"/>
      <c r="AN76" s="285"/>
      <c r="AO76" s="285"/>
      <c r="AP76" s="285"/>
      <c r="AQ76" s="285"/>
      <c r="AR76" s="285"/>
      <c r="AS76" s="285"/>
      <c r="AT76" s="285"/>
      <c r="AU76" s="285"/>
      <c r="AV76" s="285"/>
      <c r="AW76" s="285"/>
      <c r="AX76" s="285"/>
      <c r="AY76" s="285"/>
      <c r="AZ76" s="285"/>
      <c r="BA76" s="285"/>
      <c r="BB76" s="285"/>
      <c r="BC76" s="285"/>
      <c r="BD76" s="285"/>
      <c r="BE76" s="285"/>
      <c r="BF76" s="285"/>
      <c r="BG76" s="285"/>
      <c r="BH76" s="285"/>
      <c r="BI76" s="285"/>
      <c r="BJ76" s="285"/>
      <c r="BK76" s="285"/>
      <c r="BL76" s="285"/>
      <c r="BM76" s="285"/>
      <c r="BN76" s="285"/>
      <c r="BO76" s="286"/>
      <c r="BP76" s="286"/>
      <c r="BQ76" s="286"/>
      <c r="BR76" s="286"/>
      <c r="BS76" s="286"/>
      <c r="BT76" s="286"/>
      <c r="BU76" s="286"/>
      <c r="BV76" s="285"/>
      <c r="BW76" s="285"/>
      <c r="BX76" s="285"/>
      <c r="BY76" s="285"/>
      <c r="BZ76" s="285"/>
      <c r="CA76" s="285"/>
      <c r="CB76" s="285"/>
      <c r="CC76" s="285"/>
      <c r="CD76" s="285"/>
      <c r="CE76" s="285"/>
      <c r="CF76" s="285"/>
      <c r="CG76" s="285"/>
      <c r="CH76" s="285"/>
      <c r="CI76" s="285"/>
    </row>
    <row r="77" spans="1:87" ht="15" customHeight="1" collapsed="1" x14ac:dyDescent="0.25">
      <c r="A77" s="278"/>
      <c r="B77" s="142" t="s">
        <v>26</v>
      </c>
      <c r="C77" s="138" t="s">
        <v>26</v>
      </c>
      <c r="D77" s="134"/>
      <c r="E77" s="242" t="s">
        <v>380</v>
      </c>
      <c r="F77" s="240" t="s">
        <v>2000</v>
      </c>
      <c r="G77" s="241">
        <f>COUNTA(G78:G79)</f>
        <v>2</v>
      </c>
      <c r="H77" s="303" t="s">
        <v>2024</v>
      </c>
      <c r="I77" s="282">
        <f>MAX(I78:I79)</f>
        <v>45595</v>
      </c>
      <c r="J77" s="281">
        <f>MIN(J78:J79)</f>
        <v>45611</v>
      </c>
      <c r="K77" s="281">
        <f>MIN(K78:K79)</f>
        <v>45611</v>
      </c>
      <c r="L77" s="281">
        <f>MIN(L78:L79)</f>
        <v>45614</v>
      </c>
      <c r="M77" s="282">
        <f>MAX(M78:M79)</f>
        <v>45621</v>
      </c>
      <c r="N77" s="332">
        <f t="array" ref="N77">MAX(IF(W77:CI77&gt;0,$W$16:$CI$16))</f>
        <v>45625</v>
      </c>
      <c r="O77" s="251">
        <f>SUMPRODUCT(O78:O79,U78:U79)/SUM(U78:U79)</f>
        <v>0.25</v>
      </c>
      <c r="P77" s="324">
        <f ca="1">SUMPRODUCT(P78:P221,U78:U221)/SUM(U78:U221)</f>
        <v>0.36035957409670089</v>
      </c>
      <c r="Q77" s="259">
        <f t="shared" ref="Q77:Q79" ca="1" si="36">O77-P77</f>
        <v>-0.11035957409670089</v>
      </c>
      <c r="R77" s="266" t="s">
        <v>38</v>
      </c>
      <c r="S77" s="284"/>
      <c r="T77" s="274"/>
      <c r="U77" s="274"/>
      <c r="V77" s="274"/>
      <c r="W77" s="285"/>
      <c r="X77" s="285"/>
      <c r="Y77" s="285"/>
      <c r="Z77" s="285"/>
      <c r="AA77" s="285"/>
      <c r="AB77" s="285"/>
      <c r="AC77" s="285"/>
      <c r="AD77" s="286"/>
      <c r="AE77" s="285"/>
      <c r="AF77" s="285"/>
      <c r="AG77" s="285"/>
      <c r="AH77" s="285"/>
      <c r="AI77" s="285"/>
      <c r="AJ77" s="285"/>
      <c r="AK77" s="285"/>
      <c r="AL77" s="285"/>
      <c r="AM77" s="285"/>
      <c r="AN77" s="292"/>
      <c r="AO77" s="285"/>
      <c r="AP77" s="285"/>
      <c r="AQ77" s="285"/>
      <c r="AR77" s="285"/>
      <c r="AS77" s="285"/>
      <c r="AT77" s="285"/>
      <c r="AU77" s="285"/>
      <c r="AV77" s="285"/>
      <c r="AW77" s="285"/>
      <c r="AX77" s="288" t="s">
        <v>444</v>
      </c>
      <c r="AY77" s="285"/>
      <c r="AZ77" s="285"/>
      <c r="BA77" s="285"/>
      <c r="BB77" s="285"/>
      <c r="BC77" s="285"/>
      <c r="BD77" s="285"/>
      <c r="BE77" s="285"/>
      <c r="BF77" s="285"/>
      <c r="BG77" s="285"/>
      <c r="BH77" s="285"/>
      <c r="BI77" s="285"/>
      <c r="BJ77" s="285"/>
      <c r="BK77" s="285"/>
      <c r="BL77" s="285"/>
      <c r="BM77" s="285"/>
      <c r="BN77" s="285"/>
      <c r="BO77" s="286"/>
      <c r="BP77" s="286"/>
      <c r="BQ77" s="286"/>
      <c r="BR77" s="286"/>
      <c r="BS77" s="286"/>
      <c r="BT77" s="286"/>
      <c r="BU77" s="286"/>
      <c r="BV77" s="285"/>
      <c r="BW77" s="285"/>
      <c r="BX77" s="285"/>
      <c r="BY77" s="285"/>
      <c r="BZ77" s="285"/>
      <c r="CA77" s="285"/>
      <c r="CB77" s="285"/>
      <c r="CC77" s="285"/>
      <c r="CD77" s="285"/>
      <c r="CE77" s="285"/>
      <c r="CF77" s="285"/>
      <c r="CG77" s="285"/>
      <c r="CH77" s="285"/>
      <c r="CI77" s="285"/>
    </row>
    <row r="78" spans="1:87" ht="16.2" hidden="1" outlineLevel="1" x14ac:dyDescent="0.25">
      <c r="A78" s="278" t="str">
        <f>E78&amp;G78</f>
        <v>lt002_instrumentrsk_mtgtd_cct</v>
      </c>
      <c r="B78" s="142" t="s">
        <v>26</v>
      </c>
      <c r="C78" s="138" t="s">
        <v>26</v>
      </c>
      <c r="D78" s="236" t="s">
        <v>40</v>
      </c>
      <c r="E78" s="239" t="s">
        <v>380</v>
      </c>
      <c r="F78" s="239"/>
      <c r="G78" s="239" t="s">
        <v>381</v>
      </c>
      <c r="H78" s="236" t="str">
        <f>VLOOKUP(A78,'2. Status Detalhe Campos'!$A$7:$G$574,7,0)</f>
        <v>2.1 Em Teste</v>
      </c>
      <c r="I78" s="289">
        <v>45595</v>
      </c>
      <c r="J78" s="333">
        <v>45611</v>
      </c>
      <c r="K78" s="333">
        <v>45611</v>
      </c>
      <c r="L78" s="294">
        <f t="array" ref="L78">MIN(IF(W78:CI78&gt;0,$W$16:$CI$16))</f>
        <v>45621</v>
      </c>
      <c r="M78" s="295">
        <f t="array" ref="M78">MAX(IF(W78:CI78&gt;0,$W$16:$CI$16))</f>
        <v>45621</v>
      </c>
      <c r="N78" s="295"/>
      <c r="O78" s="249">
        <f>VLOOKUP(H78,Auxiliar!$B$16:$E$24,4,0)</f>
        <v>0.25</v>
      </c>
      <c r="P78" s="249">
        <f t="shared" ref="P78:P79" ca="1" si="37">IF(TODAY()&lt;=L78,0,MIN((TODAY()-L78)/(M78-L78+1),100%))</f>
        <v>1</v>
      </c>
      <c r="Q78" s="248">
        <f t="shared" ca="1" si="36"/>
        <v>-0.75</v>
      </c>
      <c r="R78" s="266" t="s">
        <v>38</v>
      </c>
      <c r="S78" s="284"/>
      <c r="T78" s="274">
        <v>4.0999999999999996</v>
      </c>
      <c r="U78" s="274">
        <f>ROUND(T78/8,1)</f>
        <v>0.5</v>
      </c>
      <c r="V78" s="274">
        <f>SUM(W78:CI78)-U78</f>
        <v>0</v>
      </c>
      <c r="W78" s="285"/>
      <c r="X78" s="285"/>
      <c r="Y78" s="285"/>
      <c r="Z78" s="285"/>
      <c r="AA78" s="285"/>
      <c r="AB78" s="293"/>
      <c r="AC78" s="285"/>
      <c r="AD78" s="286"/>
      <c r="AE78" s="285"/>
      <c r="AF78" s="285"/>
      <c r="AG78" s="285"/>
      <c r="AH78" s="285"/>
      <c r="AI78" s="285"/>
      <c r="AJ78" s="285"/>
      <c r="AK78" s="285"/>
      <c r="AL78" s="285"/>
      <c r="AM78" s="285"/>
      <c r="AN78" s="292"/>
      <c r="AO78" s="285"/>
      <c r="AP78" s="285"/>
      <c r="AQ78" s="285"/>
      <c r="AR78" s="285"/>
      <c r="AS78" s="285"/>
      <c r="AT78" s="285">
        <v>0.5</v>
      </c>
      <c r="AU78" s="285"/>
      <c r="AV78" s="285"/>
      <c r="AW78" s="285"/>
      <c r="AX78" s="285"/>
      <c r="AY78" s="285"/>
      <c r="AZ78" s="285"/>
      <c r="BA78" s="285"/>
      <c r="BB78" s="285"/>
      <c r="BC78" s="285"/>
      <c r="BD78" s="285"/>
      <c r="BE78" s="285"/>
      <c r="BF78" s="285"/>
      <c r="BG78" s="285"/>
      <c r="BH78" s="285"/>
      <c r="BI78" s="285"/>
      <c r="BJ78" s="285"/>
      <c r="BK78" s="285"/>
      <c r="BL78" s="285"/>
      <c r="BM78" s="285"/>
      <c r="BN78" s="285"/>
      <c r="BO78" s="286"/>
      <c r="BP78" s="286"/>
      <c r="BQ78" s="286"/>
      <c r="BR78" s="286"/>
      <c r="BS78" s="286"/>
      <c r="BT78" s="286"/>
      <c r="BU78" s="286"/>
      <c r="BV78" s="285"/>
      <c r="BW78" s="285"/>
      <c r="BX78" s="285"/>
      <c r="BY78" s="285"/>
      <c r="BZ78" s="285"/>
      <c r="CA78" s="285"/>
      <c r="CB78" s="285"/>
      <c r="CC78" s="285"/>
      <c r="CD78" s="285"/>
      <c r="CE78" s="285"/>
      <c r="CF78" s="285"/>
      <c r="CG78" s="285"/>
      <c r="CH78" s="285"/>
      <c r="CI78" s="285"/>
    </row>
    <row r="79" spans="1:87" ht="16.2" hidden="1" outlineLevel="1" x14ac:dyDescent="0.25">
      <c r="A79" s="278" t="str">
        <f>E79&amp;G79</f>
        <v>lt002_instrumentsstnbl_ctgry_txnmy</v>
      </c>
      <c r="B79" s="142" t="s">
        <v>26</v>
      </c>
      <c r="C79" s="138" t="s">
        <v>26</v>
      </c>
      <c r="D79" s="236" t="s">
        <v>40</v>
      </c>
      <c r="E79" s="239" t="s">
        <v>380</v>
      </c>
      <c r="F79" s="239"/>
      <c r="G79" s="239" t="s">
        <v>389</v>
      </c>
      <c r="H79" s="236" t="str">
        <f>VLOOKUP(A79,'2. Status Detalhe Campos'!$A$7:$G$574,7,0)</f>
        <v>2.1 Em Teste</v>
      </c>
      <c r="I79" s="289">
        <v>45590</v>
      </c>
      <c r="J79" s="333">
        <v>45611</v>
      </c>
      <c r="K79" s="333">
        <v>45611</v>
      </c>
      <c r="L79" s="294">
        <f t="array" ref="L79">MIN(IF(W79:CI79&gt;0,$W$16:$CI$16))</f>
        <v>45614</v>
      </c>
      <c r="M79" s="295">
        <f t="array" ref="M79">MAX(IF(W79:CI79&gt;0,$W$16:$CI$16))</f>
        <v>45614</v>
      </c>
      <c r="N79" s="295"/>
      <c r="O79" s="249">
        <f>VLOOKUP(H79,Auxiliar!$B$16:$E$24,4,0)</f>
        <v>0.25</v>
      </c>
      <c r="P79" s="249">
        <f t="shared" ca="1" si="37"/>
        <v>1</v>
      </c>
      <c r="Q79" s="248">
        <f t="shared" ca="1" si="36"/>
        <v>-0.75</v>
      </c>
      <c r="R79" s="266" t="s">
        <v>38</v>
      </c>
      <c r="S79" s="284"/>
      <c r="T79" s="274">
        <v>4.0999999999999996</v>
      </c>
      <c r="U79" s="274">
        <f>ROUND(T79/8,1)</f>
        <v>0.5</v>
      </c>
      <c r="V79" s="274">
        <f>SUM(W79:CI79)-U79</f>
        <v>0</v>
      </c>
      <c r="W79" s="285"/>
      <c r="X79" s="285"/>
      <c r="Y79" s="301"/>
      <c r="Z79" s="293"/>
      <c r="AA79" s="285"/>
      <c r="AB79" s="293"/>
      <c r="AC79" s="285"/>
      <c r="AD79" s="286"/>
      <c r="AE79" s="285"/>
      <c r="AF79" s="285"/>
      <c r="AG79" s="285"/>
      <c r="AH79" s="285"/>
      <c r="AI79" s="285"/>
      <c r="AJ79" s="285"/>
      <c r="AK79" s="285"/>
      <c r="AL79" s="285"/>
      <c r="AM79" s="285"/>
      <c r="AN79" s="292"/>
      <c r="AO79" s="285">
        <v>0.5</v>
      </c>
      <c r="AP79" s="285"/>
      <c r="AQ79" s="285"/>
      <c r="AR79" s="285"/>
      <c r="AS79" s="285"/>
      <c r="AT79" s="285"/>
      <c r="AU79" s="285"/>
      <c r="AV79" s="285"/>
      <c r="AW79" s="285"/>
      <c r="AX79" s="285"/>
      <c r="AY79" s="285"/>
      <c r="AZ79" s="285"/>
      <c r="BA79" s="285"/>
      <c r="BB79" s="285"/>
      <c r="BC79" s="285"/>
      <c r="BD79" s="285"/>
      <c r="BE79" s="285"/>
      <c r="BF79" s="285"/>
      <c r="BG79" s="285"/>
      <c r="BH79" s="285"/>
      <c r="BI79" s="285"/>
      <c r="BJ79" s="285"/>
      <c r="BK79" s="285"/>
      <c r="BL79" s="285"/>
      <c r="BM79" s="285"/>
      <c r="BN79" s="285"/>
      <c r="BO79" s="286"/>
      <c r="BP79" s="286"/>
      <c r="BQ79" s="286"/>
      <c r="BR79" s="286"/>
      <c r="BS79" s="286"/>
      <c r="BT79" s="286"/>
      <c r="BU79" s="286"/>
      <c r="BV79" s="285"/>
      <c r="BW79" s="285"/>
      <c r="BX79" s="285"/>
      <c r="BY79" s="285"/>
      <c r="BZ79" s="285"/>
      <c r="CA79" s="285"/>
      <c r="CB79" s="285"/>
      <c r="CC79" s="285"/>
      <c r="CD79" s="285"/>
      <c r="CE79" s="285"/>
      <c r="CF79" s="285"/>
      <c r="CG79" s="285"/>
      <c r="CH79" s="285"/>
      <c r="CI79" s="285"/>
    </row>
    <row r="80" spans="1:87" ht="30" customHeight="1" collapsed="1" x14ac:dyDescent="0.25">
      <c r="A80" s="278"/>
      <c r="B80" s="142" t="s">
        <v>26</v>
      </c>
      <c r="C80" s="138" t="s">
        <v>26</v>
      </c>
      <c r="D80" s="134"/>
      <c r="E80" s="242" t="s">
        <v>369</v>
      </c>
      <c r="F80" s="240" t="s">
        <v>1979</v>
      </c>
      <c r="G80" s="241">
        <f>COUNTA(G81:G85)</f>
        <v>5</v>
      </c>
      <c r="H80" s="279" t="s">
        <v>2025</v>
      </c>
      <c r="I80" s="282" t="s">
        <v>38</v>
      </c>
      <c r="J80" s="281">
        <f>MIN(J81:J85)</f>
        <v>45596</v>
      </c>
      <c r="K80" s="281">
        <f>MIN(K81:K85)</f>
        <v>45596</v>
      </c>
      <c r="L80" s="281">
        <f>MIN(L81:L85)</f>
        <v>45628</v>
      </c>
      <c r="M80" s="282">
        <f>MAX(M81:M85)</f>
        <v>45630</v>
      </c>
      <c r="N80" s="332">
        <f t="array" ref="N80">MAX(IF(W80:CI80&gt;0,$W$16:$CI$16))</f>
        <v>45632</v>
      </c>
      <c r="O80" s="251">
        <f>SUMPRODUCT(O81:O85,U81:U85)/SUM(U81:U85)</f>
        <v>0.15</v>
      </c>
      <c r="P80" s="322">
        <f ca="1">SUMPRODUCT(P81:P85,U81:U85)/SUM(U81:U85)</f>
        <v>0</v>
      </c>
      <c r="Q80" s="320">
        <f ca="1">O80-P80</f>
        <v>0.15</v>
      </c>
      <c r="R80" s="266" t="s">
        <v>2028</v>
      </c>
      <c r="S80" s="284"/>
      <c r="T80" s="274"/>
      <c r="U80" s="274"/>
      <c r="V80" s="274"/>
      <c r="W80" s="285"/>
      <c r="X80" s="285"/>
      <c r="Y80" s="285"/>
      <c r="Z80" s="285"/>
      <c r="AA80" s="285"/>
      <c r="AB80" s="285"/>
      <c r="AC80" s="292"/>
      <c r="AD80" s="286"/>
      <c r="AE80" s="285"/>
      <c r="AF80" s="285"/>
      <c r="AG80" s="285"/>
      <c r="AH80" s="285"/>
      <c r="AI80" s="285"/>
      <c r="AJ80" s="285"/>
      <c r="AK80" s="285"/>
      <c r="AL80" s="285"/>
      <c r="AM80" s="285"/>
      <c r="AN80" s="285"/>
      <c r="AO80" s="285"/>
      <c r="AP80" s="285"/>
      <c r="AQ80" s="285"/>
      <c r="AR80" s="285"/>
      <c r="AS80" s="285"/>
      <c r="AT80" s="285"/>
      <c r="AU80" s="285"/>
      <c r="AV80" s="285"/>
      <c r="AW80" s="285"/>
      <c r="AX80" s="285"/>
      <c r="AY80" s="285"/>
      <c r="AZ80" s="285"/>
      <c r="BA80" s="285"/>
      <c r="BB80" s="285"/>
      <c r="BC80" s="288" t="s">
        <v>444</v>
      </c>
      <c r="BD80" s="285"/>
      <c r="BE80" s="285"/>
      <c r="BF80" s="285"/>
      <c r="BG80" s="285"/>
      <c r="BH80" s="285"/>
      <c r="BI80" s="285"/>
      <c r="BJ80" s="285"/>
      <c r="BK80" s="285"/>
      <c r="BL80" s="285"/>
      <c r="BM80" s="285"/>
      <c r="BN80" s="285"/>
      <c r="BO80" s="286"/>
      <c r="BP80" s="286"/>
      <c r="BQ80" s="286"/>
      <c r="BR80" s="286"/>
      <c r="BS80" s="286"/>
      <c r="BT80" s="286"/>
      <c r="BU80" s="286"/>
      <c r="BV80" s="285"/>
      <c r="BW80" s="285"/>
      <c r="BX80" s="285"/>
      <c r="BY80" s="285"/>
      <c r="BZ80" s="285"/>
      <c r="CA80" s="285"/>
      <c r="CB80" s="285"/>
      <c r="CC80" s="285"/>
      <c r="CD80" s="285"/>
      <c r="CE80" s="285"/>
      <c r="CF80" s="285"/>
      <c r="CG80" s="285"/>
      <c r="CH80" s="285"/>
      <c r="CI80" s="285"/>
    </row>
    <row r="81" spans="1:87" ht="16.2" hidden="1" outlineLevel="1" x14ac:dyDescent="0.25">
      <c r="A81" s="278" t="str">
        <f>E81&amp;G81</f>
        <v>lt004_protectionep_scr</v>
      </c>
      <c r="B81" s="142" t="s">
        <v>26</v>
      </c>
      <c r="C81" s="138" t="s">
        <v>26</v>
      </c>
      <c r="D81" s="236" t="s">
        <v>40</v>
      </c>
      <c r="E81" s="239" t="s">
        <v>369</v>
      </c>
      <c r="F81" s="239"/>
      <c r="G81" s="243" t="s">
        <v>371</v>
      </c>
      <c r="H81" s="236" t="str">
        <f>VLOOKUP(A81,'2. Status Detalhe Campos'!$A$7:$G$574,7,0)</f>
        <v>2.1 Em Teste</v>
      </c>
      <c r="I81" s="280" t="s">
        <v>38</v>
      </c>
      <c r="J81" s="289">
        <v>45596</v>
      </c>
      <c r="K81" s="289">
        <v>45596</v>
      </c>
      <c r="L81" s="294">
        <f t="array" ref="L81">MIN(IF(W81:CI81&gt;0,$W$16:$CI$16))</f>
        <v>45628</v>
      </c>
      <c r="M81" s="295">
        <f t="array" ref="M81">MAX(IF(W81:CI81&gt;0,$W$16:$CI$16))</f>
        <v>45628</v>
      </c>
      <c r="N81" s="295"/>
      <c r="O81" s="249">
        <f>VLOOKUP(H81,Auxiliar!$B$16:$E$24,4,0)</f>
        <v>0.25</v>
      </c>
      <c r="P81" s="249">
        <f t="shared" ref="P81:P85" ca="1" si="38">IF(TODAY()&lt;=L81,0,MIN((TODAY()-L81)/(M81-L81+1),100%))</f>
        <v>0</v>
      </c>
      <c r="Q81" s="248">
        <f ca="1">O81-P81</f>
        <v>0.25</v>
      </c>
      <c r="R81" s="265"/>
      <c r="S81" s="284" t="s">
        <v>1953</v>
      </c>
      <c r="T81" s="274">
        <v>4.0999999999999996</v>
      </c>
      <c r="U81" s="274">
        <f>ROUND(T81/8,1)</f>
        <v>0.5</v>
      </c>
      <c r="V81" s="274">
        <f>SUM(W81:CI81)-U81</f>
        <v>0</v>
      </c>
      <c r="W81" s="285"/>
      <c r="X81" s="285"/>
      <c r="Y81" s="285"/>
      <c r="Z81" s="285"/>
      <c r="AA81" s="285"/>
      <c r="AB81" s="285"/>
      <c r="AC81" s="292"/>
      <c r="AD81" s="286"/>
      <c r="AE81" s="285"/>
      <c r="AF81" s="285"/>
      <c r="AG81" s="285"/>
      <c r="AH81" s="285"/>
      <c r="AI81" s="285"/>
      <c r="AJ81" s="285"/>
      <c r="AK81" s="285"/>
      <c r="AL81" s="285"/>
      <c r="AM81" s="285"/>
      <c r="AN81" s="285"/>
      <c r="AO81" s="285"/>
      <c r="AP81" s="285"/>
      <c r="AQ81" s="285"/>
      <c r="AR81" s="285"/>
      <c r="AS81" s="285"/>
      <c r="AT81" s="285"/>
      <c r="AU81" s="285"/>
      <c r="AV81" s="285"/>
      <c r="AW81" s="285"/>
      <c r="AX81" s="285"/>
      <c r="AY81" s="285">
        <v>0.5</v>
      </c>
      <c r="AZ81" s="285"/>
      <c r="BA81" s="285"/>
      <c r="BB81" s="285"/>
      <c r="BC81" s="285"/>
      <c r="BD81" s="285"/>
      <c r="BE81" s="285"/>
      <c r="BF81" s="285"/>
      <c r="BG81" s="285"/>
      <c r="BH81" s="285"/>
      <c r="BI81" s="285"/>
      <c r="BJ81" s="285"/>
      <c r="BK81" s="285"/>
      <c r="BL81" s="285"/>
      <c r="BM81" s="285"/>
      <c r="BN81" s="285"/>
      <c r="BO81" s="286"/>
      <c r="BP81" s="286"/>
      <c r="BQ81" s="286"/>
      <c r="BR81" s="286"/>
      <c r="BS81" s="286"/>
      <c r="BT81" s="286"/>
      <c r="BU81" s="286"/>
      <c r="BV81" s="285"/>
      <c r="BW81" s="285"/>
      <c r="BX81" s="285"/>
      <c r="BY81" s="285"/>
      <c r="BZ81" s="285"/>
      <c r="CA81" s="285"/>
      <c r="CB81" s="285"/>
      <c r="CC81" s="285"/>
      <c r="CD81" s="285"/>
      <c r="CE81" s="285"/>
      <c r="CF81" s="285"/>
      <c r="CG81" s="285"/>
      <c r="CH81" s="285"/>
      <c r="CI81" s="285"/>
    </row>
    <row r="82" spans="1:87" ht="16.2" hidden="1" outlineLevel="1" x14ac:dyDescent="0.25">
      <c r="A82" s="278" t="str">
        <f>E82&amp;G82</f>
        <v>lt004_protectiontyp_epc_lbl</v>
      </c>
      <c r="B82" s="142" t="s">
        <v>26</v>
      </c>
      <c r="C82" s="138" t="s">
        <v>26</v>
      </c>
      <c r="D82" s="236" t="s">
        <v>40</v>
      </c>
      <c r="E82" s="239" t="s">
        <v>369</v>
      </c>
      <c r="F82" s="239"/>
      <c r="G82" s="243" t="s">
        <v>372</v>
      </c>
      <c r="H82" s="236" t="str">
        <f>VLOOKUP(A82,'2. Status Detalhe Campos'!$A$7:$G$574,7,0)</f>
        <v>2.1 Em Teste</v>
      </c>
      <c r="I82" s="280" t="s">
        <v>38</v>
      </c>
      <c r="J82" s="289">
        <v>45596</v>
      </c>
      <c r="K82" s="289">
        <v>45596</v>
      </c>
      <c r="L82" s="294">
        <f t="array" ref="L82">MIN(IF(W82:CI82&gt;0,$W$16:$CI$16))</f>
        <v>45628</v>
      </c>
      <c r="M82" s="295">
        <f t="array" ref="M82">MAX(IF(W82:CI82&gt;0,$W$16:$CI$16))</f>
        <v>45628</v>
      </c>
      <c r="N82" s="295"/>
      <c r="O82" s="249">
        <f>VLOOKUP(H82,Auxiliar!$B$16:$E$24,4,0)</f>
        <v>0.25</v>
      </c>
      <c r="P82" s="249">
        <f t="shared" ca="1" si="38"/>
        <v>0</v>
      </c>
      <c r="Q82" s="248">
        <f ca="1">O82-P82</f>
        <v>0.25</v>
      </c>
      <c r="R82" s="265"/>
      <c r="S82" s="284" t="s">
        <v>1953</v>
      </c>
      <c r="T82" s="274">
        <v>4.0999999999999996</v>
      </c>
      <c r="U82" s="274">
        <f>ROUND(T82/8,1)</f>
        <v>0.5</v>
      </c>
      <c r="V82" s="274">
        <f>SUM(W82:CI82)-U82</f>
        <v>0</v>
      </c>
      <c r="W82" s="285"/>
      <c r="X82" s="285"/>
      <c r="Y82" s="285"/>
      <c r="Z82" s="285"/>
      <c r="AA82" s="285"/>
      <c r="AB82" s="285"/>
      <c r="AC82" s="292"/>
      <c r="AD82" s="286"/>
      <c r="AE82" s="285"/>
      <c r="AF82" s="285"/>
      <c r="AG82" s="285"/>
      <c r="AH82" s="285"/>
      <c r="AI82" s="285"/>
      <c r="AJ82" s="285"/>
      <c r="AK82" s="285"/>
      <c r="AL82" s="285"/>
      <c r="AM82" s="285"/>
      <c r="AN82" s="285"/>
      <c r="AO82" s="285"/>
      <c r="AP82" s="285"/>
      <c r="AQ82" s="285"/>
      <c r="AR82" s="285"/>
      <c r="AS82" s="285"/>
      <c r="AT82" s="285"/>
      <c r="AU82" s="285"/>
      <c r="AV82" s="285"/>
      <c r="AW82" s="285"/>
      <c r="AX82" s="285"/>
      <c r="AY82" s="285">
        <v>0.5</v>
      </c>
      <c r="AZ82" s="285"/>
      <c r="BA82" s="285"/>
      <c r="BB82" s="285"/>
      <c r="BC82" s="285"/>
      <c r="BD82" s="285"/>
      <c r="BE82" s="285"/>
      <c r="BF82" s="285"/>
      <c r="BG82" s="285"/>
      <c r="BH82" s="285"/>
      <c r="BI82" s="285"/>
      <c r="BJ82" s="285"/>
      <c r="BK82" s="285"/>
      <c r="BL82" s="285"/>
      <c r="BM82" s="285"/>
      <c r="BN82" s="285"/>
      <c r="BO82" s="286"/>
      <c r="BP82" s="286"/>
      <c r="BQ82" s="286"/>
      <c r="BR82" s="286"/>
      <c r="BS82" s="286"/>
      <c r="BT82" s="286"/>
      <c r="BU82" s="286"/>
      <c r="BV82" s="285"/>
      <c r="BW82" s="285"/>
      <c r="BX82" s="285"/>
      <c r="BY82" s="285"/>
      <c r="BZ82" s="285"/>
      <c r="CA82" s="285"/>
      <c r="CB82" s="285"/>
      <c r="CC82" s="285"/>
      <c r="CD82" s="285"/>
      <c r="CE82" s="285"/>
      <c r="CF82" s="285"/>
      <c r="CG82" s="285"/>
      <c r="CH82" s="285"/>
      <c r="CI82" s="285"/>
    </row>
    <row r="83" spans="1:87" ht="16.2" hidden="1" outlineLevel="1" x14ac:dyDescent="0.25">
      <c r="A83" s="278" t="str">
        <f>E83&amp;G83</f>
        <v>lt004_protectionepc_lbl</v>
      </c>
      <c r="B83" s="142" t="s">
        <v>26</v>
      </c>
      <c r="C83" s="138" t="s">
        <v>26</v>
      </c>
      <c r="D83" s="236" t="s">
        <v>40</v>
      </c>
      <c r="E83" s="239" t="s">
        <v>369</v>
      </c>
      <c r="F83" s="239"/>
      <c r="G83" s="243" t="s">
        <v>373</v>
      </c>
      <c r="H83" s="236" t="str">
        <f>VLOOKUP(A83,'2. Status Detalhe Campos'!$A$7:$G$574,7,0)</f>
        <v>2.1 Em Teste</v>
      </c>
      <c r="I83" s="280" t="s">
        <v>38</v>
      </c>
      <c r="J83" s="289">
        <v>45596</v>
      </c>
      <c r="K83" s="289">
        <v>45596</v>
      </c>
      <c r="L83" s="294">
        <f t="array" ref="L83">MIN(IF(W83:CI83&gt;0,$W$16:$CI$16))</f>
        <v>45629</v>
      </c>
      <c r="M83" s="295">
        <f t="array" ref="M83">MAX(IF(W83:CI83&gt;0,$W$16:$CI$16))</f>
        <v>45629</v>
      </c>
      <c r="N83" s="295"/>
      <c r="O83" s="249">
        <f>VLOOKUP(H83,Auxiliar!$B$16:$E$24,4,0)</f>
        <v>0.25</v>
      </c>
      <c r="P83" s="249">
        <f t="shared" ca="1" si="38"/>
        <v>0</v>
      </c>
      <c r="Q83" s="248">
        <f ca="1">O83-P83</f>
        <v>0.25</v>
      </c>
      <c r="R83" s="265"/>
      <c r="S83" s="284" t="s">
        <v>1953</v>
      </c>
      <c r="T83" s="274">
        <v>4.0999999999999996</v>
      </c>
      <c r="U83" s="274">
        <f>ROUND(T83/8,1)</f>
        <v>0.5</v>
      </c>
      <c r="V83" s="274">
        <f>SUM(W83:CI83)-U83</f>
        <v>0</v>
      </c>
      <c r="W83" s="285"/>
      <c r="X83" s="285"/>
      <c r="Y83" s="285"/>
      <c r="Z83" s="285"/>
      <c r="AA83" s="285"/>
      <c r="AB83" s="285"/>
      <c r="AC83" s="292"/>
      <c r="AD83" s="286"/>
      <c r="AE83" s="285"/>
      <c r="AF83" s="285"/>
      <c r="AG83" s="285"/>
      <c r="AH83" s="285"/>
      <c r="AI83" s="285"/>
      <c r="AJ83" s="285"/>
      <c r="AK83" s="285"/>
      <c r="AL83" s="285"/>
      <c r="AM83" s="285"/>
      <c r="AN83" s="285"/>
      <c r="AO83" s="285"/>
      <c r="AP83" s="285"/>
      <c r="AQ83" s="285"/>
      <c r="AR83" s="285"/>
      <c r="AS83" s="285"/>
      <c r="AT83" s="285"/>
      <c r="AU83" s="285"/>
      <c r="AV83" s="285"/>
      <c r="AW83" s="285"/>
      <c r="AX83" s="285"/>
      <c r="AY83" s="285"/>
      <c r="AZ83" s="285">
        <v>0.5</v>
      </c>
      <c r="BA83" s="285"/>
      <c r="BB83" s="285"/>
      <c r="BC83" s="285"/>
      <c r="BD83" s="285"/>
      <c r="BE83" s="285"/>
      <c r="BF83" s="285"/>
      <c r="BG83" s="285"/>
      <c r="BH83" s="285"/>
      <c r="BI83" s="285"/>
      <c r="BJ83" s="285"/>
      <c r="BK83" s="285"/>
      <c r="BL83" s="285"/>
      <c r="BM83" s="285"/>
      <c r="BN83" s="285"/>
      <c r="BO83" s="286"/>
      <c r="BP83" s="286"/>
      <c r="BQ83" s="286"/>
      <c r="BR83" s="286"/>
      <c r="BS83" s="286"/>
      <c r="BT83" s="286"/>
      <c r="BU83" s="286"/>
      <c r="BV83" s="285"/>
      <c r="BW83" s="285"/>
      <c r="BX83" s="285"/>
      <c r="BY83" s="285"/>
      <c r="BZ83" s="285"/>
      <c r="CA83" s="285"/>
      <c r="CB83" s="285"/>
      <c r="CC83" s="285"/>
      <c r="CD83" s="285"/>
      <c r="CE83" s="285"/>
      <c r="CF83" s="285"/>
      <c r="CG83" s="285"/>
      <c r="CH83" s="285"/>
      <c r="CI83" s="285"/>
    </row>
    <row r="84" spans="1:87" ht="16.2" hidden="1" outlineLevel="1" x14ac:dyDescent="0.25">
      <c r="A84" s="278" t="str">
        <f>E84&amp;G84</f>
        <v>lt004_protectionflg_act_physcl_rsk</v>
      </c>
      <c r="B84" s="142" t="s">
        <v>26</v>
      </c>
      <c r="C84" s="138" t="s">
        <v>26</v>
      </c>
      <c r="D84" s="236" t="s">
        <v>40</v>
      </c>
      <c r="E84" s="239" t="s">
        <v>369</v>
      </c>
      <c r="F84" s="239"/>
      <c r="G84" s="243" t="s">
        <v>358</v>
      </c>
      <c r="H84" s="236" t="str">
        <f>VLOOKUP(A84,'2. Status Detalhe Campos'!$A$7:$G$574,7,0)</f>
        <v>3. Pendente de outros desenvolvimentos</v>
      </c>
      <c r="I84" s="280" t="s">
        <v>38</v>
      </c>
      <c r="J84" s="289">
        <v>45596</v>
      </c>
      <c r="K84" s="289">
        <v>45596</v>
      </c>
      <c r="L84" s="294">
        <f t="array" ref="L84">MIN(IF(W84:CI84&gt;0,$W$16:$CI$16))</f>
        <v>45629</v>
      </c>
      <c r="M84" s="295">
        <f t="array" ref="M84">MAX(IF(W84:CI84&gt;0,$W$16:$CI$16))</f>
        <v>45629</v>
      </c>
      <c r="N84" s="295"/>
      <c r="O84" s="249">
        <f>VLOOKUP(H84,Auxiliar!$B$16:$E$24,4,0)</f>
        <v>0</v>
      </c>
      <c r="P84" s="249">
        <f t="shared" ca="1" si="38"/>
        <v>0</v>
      </c>
      <c r="Q84" s="248">
        <f ca="1">O84-P84</f>
        <v>0</v>
      </c>
      <c r="R84" s="265"/>
      <c r="S84" s="284"/>
      <c r="T84" s="274">
        <v>4.0999999999999996</v>
      </c>
      <c r="U84" s="274">
        <f>ROUND(T84/8,1)</f>
        <v>0.5</v>
      </c>
      <c r="V84" s="274">
        <f>SUM(W84:CI84)-U84</f>
        <v>0</v>
      </c>
      <c r="W84" s="285"/>
      <c r="X84" s="285"/>
      <c r="Y84" s="285"/>
      <c r="Z84" s="285"/>
      <c r="AA84" s="285"/>
      <c r="AB84" s="285"/>
      <c r="AC84" s="292"/>
      <c r="AD84" s="286"/>
      <c r="AE84" s="285"/>
      <c r="AF84" s="285"/>
      <c r="AG84" s="285"/>
      <c r="AH84" s="285"/>
      <c r="AI84" s="285"/>
      <c r="AJ84" s="285"/>
      <c r="AK84" s="285"/>
      <c r="AL84" s="285"/>
      <c r="AM84" s="285"/>
      <c r="AN84" s="285"/>
      <c r="AO84" s="285"/>
      <c r="AP84" s="285"/>
      <c r="AQ84" s="285"/>
      <c r="AR84" s="285"/>
      <c r="AS84" s="285"/>
      <c r="AT84" s="285"/>
      <c r="AU84" s="285"/>
      <c r="AV84" s="285"/>
      <c r="AW84" s="287"/>
      <c r="AX84" s="285"/>
      <c r="AY84" s="285"/>
      <c r="AZ84" s="285">
        <v>0.5</v>
      </c>
      <c r="BA84" s="285"/>
      <c r="BB84" s="285"/>
      <c r="BC84" s="285"/>
      <c r="BD84" s="285"/>
      <c r="BE84" s="285"/>
      <c r="BF84" s="285"/>
      <c r="BG84" s="285"/>
      <c r="BH84" s="285"/>
      <c r="BI84" s="285"/>
      <c r="BJ84" s="285"/>
      <c r="BK84" s="285"/>
      <c r="BL84" s="285"/>
      <c r="BM84" s="285"/>
      <c r="BN84" s="285"/>
      <c r="BO84" s="286"/>
      <c r="BP84" s="286"/>
      <c r="BQ84" s="286"/>
      <c r="BR84" s="286"/>
      <c r="BS84" s="286"/>
      <c r="BT84" s="286"/>
      <c r="BU84" s="286"/>
      <c r="BV84" s="285"/>
      <c r="BW84" s="285"/>
      <c r="BX84" s="285"/>
      <c r="BY84" s="285"/>
      <c r="BZ84" s="285"/>
      <c r="CA84" s="285"/>
      <c r="CB84" s="285"/>
      <c r="CC84" s="285"/>
      <c r="CD84" s="285"/>
      <c r="CE84" s="285"/>
      <c r="CF84" s="285"/>
      <c r="CG84" s="285"/>
      <c r="CH84" s="285"/>
      <c r="CI84" s="285"/>
    </row>
    <row r="85" spans="1:87" ht="16.2" hidden="1" outlineLevel="1" x14ac:dyDescent="0.25">
      <c r="A85" s="278" t="str">
        <f>E85&amp;G85</f>
        <v>lt004_protectionflg_chrnc_physcl_rsk</v>
      </c>
      <c r="B85" s="142" t="s">
        <v>26</v>
      </c>
      <c r="C85" s="138" t="s">
        <v>26</v>
      </c>
      <c r="D85" s="236" t="s">
        <v>40</v>
      </c>
      <c r="E85" s="239" t="s">
        <v>369</v>
      </c>
      <c r="F85" s="239"/>
      <c r="G85" s="243" t="s">
        <v>359</v>
      </c>
      <c r="H85" s="236" t="str">
        <f>VLOOKUP(A85,'2. Status Detalhe Campos'!$A$7:$G$574,7,0)</f>
        <v>3. Pendente de outros desenvolvimentos</v>
      </c>
      <c r="I85" s="280" t="s">
        <v>38</v>
      </c>
      <c r="J85" s="289">
        <v>45596</v>
      </c>
      <c r="K85" s="289">
        <v>45596</v>
      </c>
      <c r="L85" s="294">
        <f t="array" ref="L85">MIN(IF(W85:CI85&gt;0,$W$16:$CI$16))</f>
        <v>45630</v>
      </c>
      <c r="M85" s="295">
        <f t="array" ref="M85">MAX(IF(W85:CI85&gt;0,$W$16:$CI$16))</f>
        <v>45630</v>
      </c>
      <c r="N85" s="295"/>
      <c r="O85" s="249">
        <f>VLOOKUP(H85,Auxiliar!$B$16:$E$24,4,0)</f>
        <v>0</v>
      </c>
      <c r="P85" s="249">
        <f t="shared" ca="1" si="38"/>
        <v>0</v>
      </c>
      <c r="Q85" s="248">
        <f ca="1">O85-P85</f>
        <v>0</v>
      </c>
      <c r="R85" s="265"/>
      <c r="S85" s="284"/>
      <c r="T85" s="274">
        <v>4.0999999999999996</v>
      </c>
      <c r="U85" s="274">
        <f>ROUND(T85/8,1)</f>
        <v>0.5</v>
      </c>
      <c r="V85" s="274">
        <f>SUM(W85:CI85)-U85</f>
        <v>0</v>
      </c>
      <c r="W85" s="285"/>
      <c r="X85" s="285"/>
      <c r="Y85" s="285"/>
      <c r="Z85" s="285"/>
      <c r="AA85" s="285"/>
      <c r="AB85" s="285"/>
      <c r="AC85" s="292"/>
      <c r="AD85" s="286"/>
      <c r="AE85" s="285"/>
      <c r="AF85" s="285"/>
      <c r="AG85" s="285"/>
      <c r="AH85" s="285"/>
      <c r="AI85" s="285"/>
      <c r="AJ85" s="285"/>
      <c r="AK85" s="285"/>
      <c r="AL85" s="285"/>
      <c r="AM85" s="285"/>
      <c r="AN85" s="285"/>
      <c r="AO85" s="285"/>
      <c r="AP85" s="285"/>
      <c r="AQ85" s="285"/>
      <c r="AR85" s="285"/>
      <c r="AS85" s="285"/>
      <c r="AT85" s="285"/>
      <c r="AU85" s="285"/>
      <c r="AV85" s="285"/>
      <c r="AW85" s="287"/>
      <c r="AX85" s="285"/>
      <c r="AY85" s="285"/>
      <c r="AZ85" s="285"/>
      <c r="BA85" s="285">
        <v>0.5</v>
      </c>
      <c r="BB85" s="285"/>
      <c r="BC85" s="285"/>
      <c r="BD85" s="285"/>
      <c r="BE85" s="285"/>
      <c r="BF85" s="285"/>
      <c r="BG85" s="285"/>
      <c r="BH85" s="285"/>
      <c r="BI85" s="285"/>
      <c r="BJ85" s="285"/>
      <c r="BK85" s="285"/>
      <c r="BL85" s="285"/>
      <c r="BM85" s="285"/>
      <c r="BN85" s="285"/>
      <c r="BO85" s="286"/>
      <c r="BP85" s="286"/>
      <c r="BQ85" s="286"/>
      <c r="BR85" s="286"/>
      <c r="BS85" s="286"/>
      <c r="BT85" s="286"/>
      <c r="BU85" s="286"/>
      <c r="BV85" s="285"/>
      <c r="BW85" s="285"/>
      <c r="BX85" s="285"/>
      <c r="BY85" s="285"/>
      <c r="BZ85" s="285"/>
      <c r="CA85" s="285"/>
      <c r="CB85" s="285"/>
      <c r="CC85" s="285"/>
      <c r="CD85" s="285"/>
      <c r="CE85" s="285"/>
      <c r="CF85" s="285"/>
      <c r="CG85" s="285"/>
      <c r="CH85" s="285"/>
      <c r="CI85" s="285"/>
    </row>
    <row r="86" spans="1:87" ht="15" customHeight="1" collapsed="1" x14ac:dyDescent="0.25">
      <c r="A86" s="278"/>
      <c r="B86" s="142" t="s">
        <v>26</v>
      </c>
      <c r="C86" s="138" t="s">
        <v>26</v>
      </c>
      <c r="D86" s="134"/>
      <c r="E86" s="242" t="s">
        <v>336</v>
      </c>
      <c r="F86" s="240" t="s">
        <v>2000</v>
      </c>
      <c r="G86" s="241">
        <f>COUNTA(G87:G91)</f>
        <v>5</v>
      </c>
      <c r="H86" s="303" t="s">
        <v>2024</v>
      </c>
      <c r="I86" s="282">
        <f>MAX(I87:I91)</f>
        <v>45590</v>
      </c>
      <c r="J86" s="281">
        <f>MIN(J87:J91)</f>
        <v>45611</v>
      </c>
      <c r="K86" s="281">
        <f>MIN(K87:K91)</f>
        <v>45611</v>
      </c>
      <c r="L86" s="281">
        <f>MIN(L87:L91)</f>
        <v>45628</v>
      </c>
      <c r="M86" s="282">
        <f>MAX(M87:M91)</f>
        <v>45630</v>
      </c>
      <c r="N86" s="332">
        <f t="array" ref="N86">MAX(IF(W86:CI86&gt;0,$W$16:$CI$16))</f>
        <v>45632</v>
      </c>
      <c r="O86" s="251">
        <f>SUMPRODUCT(O87:O91,U87:U91)/SUM(U87:U91)</f>
        <v>0.25</v>
      </c>
      <c r="P86" s="251">
        <f ca="1">SUMPRODUCT(P87:P91,U87:U91)/SUM(U87:U91)</f>
        <v>0</v>
      </c>
      <c r="Q86" s="259">
        <f ca="1">O86-P86</f>
        <v>0.25</v>
      </c>
      <c r="R86" s="266" t="s">
        <v>38</v>
      </c>
      <c r="S86" s="284"/>
      <c r="T86" s="274"/>
      <c r="U86" s="274"/>
      <c r="V86" s="274"/>
      <c r="W86" s="285"/>
      <c r="X86" s="285"/>
      <c r="Y86" s="285"/>
      <c r="Z86" s="285"/>
      <c r="AA86" s="285"/>
      <c r="AB86" s="285"/>
      <c r="AC86" s="285"/>
      <c r="AD86" s="286"/>
      <c r="AE86" s="285"/>
      <c r="AF86" s="285"/>
      <c r="AG86" s="285"/>
      <c r="AH86" s="285"/>
      <c r="AI86" s="285"/>
      <c r="AJ86" s="285"/>
      <c r="AK86" s="285"/>
      <c r="AL86" s="285"/>
      <c r="AM86" s="285"/>
      <c r="AN86" s="292"/>
      <c r="AO86" s="285"/>
      <c r="AP86" s="285"/>
      <c r="AQ86" s="285"/>
      <c r="AR86" s="285"/>
      <c r="AS86" s="285"/>
      <c r="AT86" s="285"/>
      <c r="AU86" s="285"/>
      <c r="AV86" s="285"/>
      <c r="AW86" s="285"/>
      <c r="AX86" s="285"/>
      <c r="AY86" s="285"/>
      <c r="AZ86" s="285"/>
      <c r="BA86" s="285"/>
      <c r="BB86" s="285"/>
      <c r="BC86" s="288" t="s">
        <v>444</v>
      </c>
      <c r="BD86" s="285"/>
      <c r="BE86" s="285"/>
      <c r="BF86" s="285"/>
      <c r="BG86" s="285"/>
      <c r="BH86" s="285"/>
      <c r="BI86" s="285"/>
      <c r="BJ86" s="285"/>
      <c r="BK86" s="285"/>
      <c r="BL86" s="285"/>
      <c r="BM86" s="285"/>
      <c r="BN86" s="285"/>
      <c r="BO86" s="286"/>
      <c r="BP86" s="286"/>
      <c r="BQ86" s="286"/>
      <c r="BR86" s="286"/>
      <c r="BS86" s="286"/>
      <c r="BT86" s="286"/>
      <c r="BU86" s="286"/>
      <c r="BV86" s="285"/>
      <c r="BW86" s="285"/>
      <c r="BX86" s="285"/>
      <c r="BY86" s="285"/>
      <c r="BZ86" s="285"/>
      <c r="CA86" s="285"/>
      <c r="CB86" s="285"/>
      <c r="CC86" s="285"/>
      <c r="CD86" s="285"/>
      <c r="CE86" s="285"/>
      <c r="CF86" s="285"/>
      <c r="CG86" s="285"/>
      <c r="CH86" s="285"/>
      <c r="CI86" s="285"/>
    </row>
    <row r="87" spans="1:87" ht="16.2" hidden="1" outlineLevel="1" x14ac:dyDescent="0.25">
      <c r="A87" s="278" t="str">
        <f>E87&amp;G87</f>
        <v>lt003_entityflg_nfrd_applcblty</v>
      </c>
      <c r="B87" s="142" t="s">
        <v>26</v>
      </c>
      <c r="C87" s="138" t="s">
        <v>26</v>
      </c>
      <c r="D87" s="236" t="s">
        <v>40</v>
      </c>
      <c r="E87" s="239" t="s">
        <v>336</v>
      </c>
      <c r="F87" s="239"/>
      <c r="G87" s="239" t="s">
        <v>353</v>
      </c>
      <c r="H87" s="236" t="str">
        <f>VLOOKUP(A87,'2. Status Detalhe Campos'!$A$7:$G$574,7,0)</f>
        <v>2.1 Em Teste</v>
      </c>
      <c r="I87" s="280">
        <v>45589</v>
      </c>
      <c r="J87" s="307">
        <v>45611</v>
      </c>
      <c r="K87" s="308">
        <v>45611</v>
      </c>
      <c r="L87" s="294">
        <f t="array" ref="L87">MIN(IF(W87:CI87&gt;0,$W$16:$CI$16))</f>
        <v>45628</v>
      </c>
      <c r="M87" s="295">
        <f t="array" ref="M87">MAX(IF(W87:CI87&gt;0,$W$16:$CI$16))</f>
        <v>45628</v>
      </c>
      <c r="N87" s="295"/>
      <c r="O87" s="249">
        <f>VLOOKUP(H87,Auxiliar!$B$16:$E$24,4,0)</f>
        <v>0.25</v>
      </c>
      <c r="P87" s="249">
        <f t="shared" ref="P87:P91" ca="1" si="39">IF(TODAY()&lt;=L87,0,MIN((TODAY()-L87)/(M87-L87+1),100%))</f>
        <v>0</v>
      </c>
      <c r="Q87" s="248">
        <f ca="1">O87-P87</f>
        <v>0.25</v>
      </c>
      <c r="R87" s="266" t="s">
        <v>38</v>
      </c>
      <c r="S87" s="284"/>
      <c r="T87" s="274">
        <v>4.0999999999999996</v>
      </c>
      <c r="U87" s="274">
        <f>ROUND(T87/8,1)</f>
        <v>0.5</v>
      </c>
      <c r="V87" s="274">
        <f>SUM(W87:CI87)-U87</f>
        <v>0</v>
      </c>
      <c r="W87" s="285"/>
      <c r="X87" s="285"/>
      <c r="Y87" s="285"/>
      <c r="Z87" s="285"/>
      <c r="AA87" s="285"/>
      <c r="AB87" s="285"/>
      <c r="AC87" s="285"/>
      <c r="AD87" s="286"/>
      <c r="AE87" s="285"/>
      <c r="AF87" s="285"/>
      <c r="AG87" s="285"/>
      <c r="AH87" s="285"/>
      <c r="AI87" s="285"/>
      <c r="AJ87" s="285"/>
      <c r="AK87" s="285"/>
      <c r="AL87" s="285"/>
      <c r="AM87" s="285"/>
      <c r="AN87" s="292"/>
      <c r="AO87" s="285"/>
      <c r="AP87" s="285"/>
      <c r="AQ87" s="285"/>
      <c r="AR87" s="285"/>
      <c r="AS87" s="285"/>
      <c r="AT87" s="285"/>
      <c r="AU87" s="285"/>
      <c r="AV87" s="285"/>
      <c r="AW87" s="285"/>
      <c r="AX87" s="285"/>
      <c r="AY87" s="285">
        <v>0.5</v>
      </c>
      <c r="AZ87" s="285"/>
      <c r="BA87" s="285"/>
      <c r="BB87" s="285"/>
      <c r="BC87" s="285"/>
      <c r="BD87" s="285"/>
      <c r="BE87" s="285"/>
      <c r="BF87" s="285"/>
      <c r="BG87" s="285"/>
      <c r="BH87" s="285"/>
      <c r="BI87" s="285"/>
      <c r="BJ87" s="285"/>
      <c r="BK87" s="285"/>
      <c r="BL87" s="285"/>
      <c r="BM87" s="285"/>
      <c r="BN87" s="285"/>
      <c r="BO87" s="286"/>
      <c r="BP87" s="286"/>
      <c r="BQ87" s="286"/>
      <c r="BR87" s="286"/>
      <c r="BS87" s="286"/>
      <c r="BT87" s="286"/>
      <c r="BU87" s="286"/>
      <c r="BV87" s="285"/>
      <c r="BW87" s="285"/>
      <c r="BX87" s="285"/>
      <c r="BY87" s="285"/>
      <c r="BZ87" s="285"/>
      <c r="CA87" s="285"/>
      <c r="CB87" s="285"/>
      <c r="CC87" s="285"/>
      <c r="CD87" s="285"/>
      <c r="CE87" s="285"/>
      <c r="CF87" s="285"/>
      <c r="CG87" s="285"/>
      <c r="CH87" s="285"/>
      <c r="CI87" s="285"/>
    </row>
    <row r="88" spans="1:87" ht="16.2" hidden="1" outlineLevel="1" x14ac:dyDescent="0.25">
      <c r="A88" s="278" t="str">
        <f>E88&amp;G88</f>
        <v>lt003_entitypure_capex_cca</v>
      </c>
      <c r="B88" s="142" t="s">
        <v>26</v>
      </c>
      <c r="C88" s="138" t="s">
        <v>26</v>
      </c>
      <c r="D88" s="236" t="s">
        <v>40</v>
      </c>
      <c r="E88" s="239" t="s">
        <v>336</v>
      </c>
      <c r="F88" s="239"/>
      <c r="G88" s="239" t="s">
        <v>347</v>
      </c>
      <c r="H88" s="236" t="str">
        <f>VLOOKUP(A88,'2. Status Detalhe Campos'!$A$7:$G$574,7,0)</f>
        <v>2.1 Em Teste</v>
      </c>
      <c r="I88" s="280" t="s">
        <v>38</v>
      </c>
      <c r="J88" s="306">
        <v>45611</v>
      </c>
      <c r="K88" s="308">
        <v>45611</v>
      </c>
      <c r="L88" s="294">
        <f t="array" ref="L88">MIN(IF(W88:CI88&gt;0,$W$16:$CI$16))</f>
        <v>45629</v>
      </c>
      <c r="M88" s="295">
        <f t="array" ref="M88">MAX(IF(W88:CI88&gt;0,$W$16:$CI$16))</f>
        <v>45629</v>
      </c>
      <c r="N88" s="295"/>
      <c r="O88" s="249">
        <f>VLOOKUP(H88,Auxiliar!$B$16:$E$24,4,0)</f>
        <v>0.25</v>
      </c>
      <c r="P88" s="249">
        <f t="shared" ca="1" si="39"/>
        <v>0</v>
      </c>
      <c r="Q88" s="248">
        <f ca="1">O88-P88</f>
        <v>0.25</v>
      </c>
      <c r="R88" s="266" t="s">
        <v>38</v>
      </c>
      <c r="S88" s="284"/>
      <c r="T88" s="274">
        <v>4.0999999999999996</v>
      </c>
      <c r="U88" s="274">
        <f>ROUND(T88/8,1)</f>
        <v>0.5</v>
      </c>
      <c r="V88" s="274">
        <f>SUM(W88:CI88)-U88</f>
        <v>0</v>
      </c>
      <c r="W88" s="285"/>
      <c r="X88" s="285"/>
      <c r="Y88" s="285"/>
      <c r="Z88" s="285"/>
      <c r="AA88" s="285"/>
      <c r="AB88" s="285"/>
      <c r="AC88" s="285"/>
      <c r="AD88" s="286"/>
      <c r="AE88" s="285"/>
      <c r="AF88" s="285"/>
      <c r="AG88" s="285"/>
      <c r="AH88" s="285"/>
      <c r="AI88" s="285"/>
      <c r="AJ88" s="285"/>
      <c r="AK88" s="285"/>
      <c r="AL88" s="285"/>
      <c r="AM88" s="285"/>
      <c r="AN88" s="292"/>
      <c r="AO88" s="285"/>
      <c r="AP88" s="285"/>
      <c r="AQ88" s="285"/>
      <c r="AR88" s="285"/>
      <c r="AS88" s="285"/>
      <c r="AT88" s="285"/>
      <c r="AU88" s="285"/>
      <c r="AV88" s="285"/>
      <c r="AW88" s="285"/>
      <c r="AX88" s="285"/>
      <c r="AY88" s="285"/>
      <c r="AZ88" s="285">
        <v>0.5</v>
      </c>
      <c r="BA88" s="285"/>
      <c r="BB88" s="285"/>
      <c r="BC88" s="285"/>
      <c r="BD88" s="285"/>
      <c r="BE88" s="285"/>
      <c r="BF88" s="285"/>
      <c r="BG88" s="285"/>
      <c r="BH88" s="285"/>
      <c r="BI88" s="285"/>
      <c r="BJ88" s="285"/>
      <c r="BK88" s="285"/>
      <c r="BL88" s="285"/>
      <c r="BM88" s="285"/>
      <c r="BN88" s="285"/>
      <c r="BO88" s="286"/>
      <c r="BP88" s="286"/>
      <c r="BQ88" s="286"/>
      <c r="BR88" s="286"/>
      <c r="BS88" s="286"/>
      <c r="BT88" s="286"/>
      <c r="BU88" s="286"/>
      <c r="BV88" s="285"/>
      <c r="BW88" s="285"/>
      <c r="BX88" s="285"/>
      <c r="BY88" s="285"/>
      <c r="BZ88" s="285"/>
      <c r="CA88" s="285"/>
      <c r="CB88" s="285"/>
      <c r="CC88" s="285"/>
      <c r="CD88" s="285"/>
      <c r="CE88" s="285"/>
      <c r="CF88" s="285"/>
      <c r="CG88" s="285"/>
      <c r="CH88" s="285"/>
      <c r="CI88" s="285"/>
    </row>
    <row r="89" spans="1:87" ht="16.2" hidden="1" outlineLevel="1" x14ac:dyDescent="0.25">
      <c r="A89" s="278" t="str">
        <f>E89&amp;G89</f>
        <v>lt003_entityesg_sbsctr</v>
      </c>
      <c r="B89" s="142" t="s">
        <v>26</v>
      </c>
      <c r="C89" s="138" t="s">
        <v>26</v>
      </c>
      <c r="D89" s="236" t="s">
        <v>40</v>
      </c>
      <c r="E89" s="239" t="s">
        <v>336</v>
      </c>
      <c r="F89" s="239"/>
      <c r="G89" s="239" t="s">
        <v>361</v>
      </c>
      <c r="H89" s="236" t="str">
        <f>VLOOKUP(A89,'2. Status Detalhe Campos'!$A$7:$G$574,7,0)</f>
        <v>2.1 Em Teste</v>
      </c>
      <c r="I89" s="280">
        <v>45583</v>
      </c>
      <c r="J89" s="307">
        <v>45611</v>
      </c>
      <c r="K89" s="308">
        <v>45611</v>
      </c>
      <c r="L89" s="294">
        <f t="array" ref="L89">MIN(IF(W89:CI89&gt;0,$W$16:$CI$16))</f>
        <v>45629</v>
      </c>
      <c r="M89" s="295">
        <f t="array" ref="M89">MAX(IF(W89:CI89&gt;0,$W$16:$CI$16))</f>
        <v>45629</v>
      </c>
      <c r="N89" s="295"/>
      <c r="O89" s="249">
        <f>VLOOKUP(H89,Auxiliar!$B$16:$E$24,4,0)</f>
        <v>0.25</v>
      </c>
      <c r="P89" s="249">
        <f t="shared" ca="1" si="39"/>
        <v>0</v>
      </c>
      <c r="Q89" s="248">
        <f ca="1">O89-P89</f>
        <v>0.25</v>
      </c>
      <c r="R89" s="266" t="s">
        <v>38</v>
      </c>
      <c r="S89" s="284"/>
      <c r="T89" s="274">
        <v>4.0999999999999996</v>
      </c>
      <c r="U89" s="274">
        <f>ROUND(T89/8,1)</f>
        <v>0.5</v>
      </c>
      <c r="V89" s="274">
        <f>SUM(W89:CI89)-U89</f>
        <v>0</v>
      </c>
      <c r="W89" s="285"/>
      <c r="X89" s="285"/>
      <c r="Y89" s="285"/>
      <c r="Z89" s="285"/>
      <c r="AA89" s="285"/>
      <c r="AB89" s="285"/>
      <c r="AC89" s="285"/>
      <c r="AD89" s="286"/>
      <c r="AE89" s="285"/>
      <c r="AF89" s="285"/>
      <c r="AG89" s="285"/>
      <c r="AH89" s="285"/>
      <c r="AI89" s="285"/>
      <c r="AJ89" s="285"/>
      <c r="AK89" s="285"/>
      <c r="AL89" s="285"/>
      <c r="AM89" s="285"/>
      <c r="AN89" s="292"/>
      <c r="AO89" s="285"/>
      <c r="AP89" s="285"/>
      <c r="AQ89" s="285"/>
      <c r="AR89" s="285"/>
      <c r="AS89" s="285"/>
      <c r="AT89" s="285"/>
      <c r="AU89" s="285"/>
      <c r="AV89" s="285"/>
      <c r="AW89" s="285"/>
      <c r="AX89" s="285"/>
      <c r="AY89" s="285"/>
      <c r="AZ89" s="285">
        <v>0.5</v>
      </c>
      <c r="BA89" s="285"/>
      <c r="BB89" s="285"/>
      <c r="BC89" s="285"/>
      <c r="BD89" s="285"/>
      <c r="BE89" s="285"/>
      <c r="BF89" s="285"/>
      <c r="BG89" s="285"/>
      <c r="BH89" s="285"/>
      <c r="BI89" s="285"/>
      <c r="BJ89" s="285"/>
      <c r="BK89" s="285"/>
      <c r="BL89" s="285"/>
      <c r="BM89" s="285"/>
      <c r="BN89" s="285"/>
      <c r="BO89" s="286"/>
      <c r="BP89" s="286"/>
      <c r="BQ89" s="286"/>
      <c r="BR89" s="286"/>
      <c r="BS89" s="286"/>
      <c r="BT89" s="286"/>
      <c r="BU89" s="286"/>
      <c r="BV89" s="285"/>
      <c r="BW89" s="285"/>
      <c r="BX89" s="285"/>
      <c r="BY89" s="285"/>
      <c r="BZ89" s="285"/>
      <c r="CA89" s="285"/>
      <c r="CB89" s="285"/>
      <c r="CC89" s="285"/>
      <c r="CD89" s="285"/>
      <c r="CE89" s="285"/>
      <c r="CF89" s="285"/>
      <c r="CG89" s="285"/>
      <c r="CH89" s="285"/>
      <c r="CI89" s="285"/>
    </row>
    <row r="90" spans="1:87" ht="16.2" hidden="1" outlineLevel="1" x14ac:dyDescent="0.25">
      <c r="A90" s="278" t="str">
        <f>E90&amp;G90</f>
        <v>lt003_entitygrp_annl_trnvr_le</v>
      </c>
      <c r="B90" s="142" t="s">
        <v>26</v>
      </c>
      <c r="C90" s="138" t="s">
        <v>26</v>
      </c>
      <c r="D90" s="236" t="s">
        <v>40</v>
      </c>
      <c r="E90" s="239" t="s">
        <v>336</v>
      </c>
      <c r="F90" s="239"/>
      <c r="G90" s="239" t="s">
        <v>363</v>
      </c>
      <c r="H90" s="236" t="str">
        <f>VLOOKUP(A90,'2. Status Detalhe Campos'!$A$7:$G$574,7,0)</f>
        <v>2.1 Em Teste</v>
      </c>
      <c r="I90" s="289">
        <v>45590</v>
      </c>
      <c r="J90" s="307">
        <v>45611</v>
      </c>
      <c r="K90" s="308">
        <v>45611</v>
      </c>
      <c r="L90" s="294">
        <f t="array" ref="L90">MIN(IF(W90:CI90&gt;0,$W$16:$CI$16))</f>
        <v>45630</v>
      </c>
      <c r="M90" s="295">
        <f t="array" ref="M90">MAX(IF(W90:CI90&gt;0,$W$16:$CI$16))</f>
        <v>45630</v>
      </c>
      <c r="N90" s="295"/>
      <c r="O90" s="249">
        <f>VLOOKUP(H90,Auxiliar!$B$16:$E$24,4,0)</f>
        <v>0.25</v>
      </c>
      <c r="P90" s="249">
        <f t="shared" ca="1" si="39"/>
        <v>0</v>
      </c>
      <c r="Q90" s="248">
        <f ca="1">O90-P90</f>
        <v>0.25</v>
      </c>
      <c r="R90" s="266" t="s">
        <v>38</v>
      </c>
      <c r="S90" s="284"/>
      <c r="T90" s="274">
        <v>4.0999999999999996</v>
      </c>
      <c r="U90" s="274">
        <f>ROUND(T90/8,1)</f>
        <v>0.5</v>
      </c>
      <c r="V90" s="274">
        <f>SUM(W90:CI90)-U90</f>
        <v>0</v>
      </c>
      <c r="W90" s="285"/>
      <c r="X90" s="285"/>
      <c r="Y90" s="293"/>
      <c r="Z90" s="285"/>
      <c r="AA90" s="285"/>
      <c r="AB90" s="285"/>
      <c r="AC90" s="285"/>
      <c r="AD90" s="286"/>
      <c r="AE90" s="285"/>
      <c r="AF90" s="285"/>
      <c r="AG90" s="285"/>
      <c r="AH90" s="285"/>
      <c r="AI90" s="285"/>
      <c r="AJ90" s="285"/>
      <c r="AK90" s="285"/>
      <c r="AL90" s="285"/>
      <c r="AM90" s="285"/>
      <c r="AN90" s="292"/>
      <c r="AO90" s="285"/>
      <c r="AP90" s="285"/>
      <c r="AQ90" s="285"/>
      <c r="AR90" s="285"/>
      <c r="AS90" s="285"/>
      <c r="AT90" s="285"/>
      <c r="AU90" s="285"/>
      <c r="AV90" s="285"/>
      <c r="AW90" s="285"/>
      <c r="AX90" s="285"/>
      <c r="AY90" s="285"/>
      <c r="AZ90" s="285"/>
      <c r="BA90" s="285">
        <v>0.5</v>
      </c>
      <c r="BB90" s="285"/>
      <c r="BC90" s="285"/>
      <c r="BD90" s="285"/>
      <c r="BE90" s="285"/>
      <c r="BF90" s="285"/>
      <c r="BG90" s="285"/>
      <c r="BH90" s="285"/>
      <c r="BI90" s="285"/>
      <c r="BJ90" s="285"/>
      <c r="BK90" s="285"/>
      <c r="BL90" s="285"/>
      <c r="BM90" s="285"/>
      <c r="BN90" s="285"/>
      <c r="BO90" s="286"/>
      <c r="BP90" s="286"/>
      <c r="BQ90" s="286"/>
      <c r="BR90" s="286"/>
      <c r="BS90" s="286"/>
      <c r="BT90" s="286"/>
      <c r="BU90" s="286"/>
      <c r="BV90" s="285"/>
      <c r="BW90" s="285"/>
      <c r="BX90" s="285"/>
      <c r="BY90" s="285"/>
      <c r="BZ90" s="285"/>
      <c r="CA90" s="285"/>
      <c r="CB90" s="285"/>
      <c r="CC90" s="285"/>
      <c r="CD90" s="285"/>
      <c r="CE90" s="285"/>
      <c r="CF90" s="285"/>
      <c r="CG90" s="285"/>
      <c r="CH90" s="285"/>
      <c r="CI90" s="285"/>
    </row>
    <row r="91" spans="1:87" ht="16.2" hidden="1" outlineLevel="1" x14ac:dyDescent="0.25">
      <c r="A91" s="278" t="str">
        <f>E91&amp;G91</f>
        <v>lt003_entitygrp_ttl_lblty</v>
      </c>
      <c r="B91" s="142" t="s">
        <v>26</v>
      </c>
      <c r="C91" s="138" t="s">
        <v>26</v>
      </c>
      <c r="D91" s="236" t="s">
        <v>40</v>
      </c>
      <c r="E91" s="239" t="s">
        <v>336</v>
      </c>
      <c r="F91" s="239"/>
      <c r="G91" s="239" t="s">
        <v>364</v>
      </c>
      <c r="H91" s="236" t="str">
        <f>VLOOKUP(A91,'2. Status Detalhe Campos'!$A$7:$G$574,7,0)</f>
        <v>2.1 Em Teste</v>
      </c>
      <c r="I91" s="289">
        <v>45590</v>
      </c>
      <c r="J91" s="307">
        <v>45611</v>
      </c>
      <c r="K91" s="308">
        <v>45611</v>
      </c>
      <c r="L91" s="294">
        <f t="array" ref="L91">MIN(IF(W91:CI91&gt;0,$W$16:$CI$16))</f>
        <v>45630</v>
      </c>
      <c r="M91" s="295">
        <f t="array" ref="M91">MAX(IF(W91:CI91&gt;0,$W$16:$CI$16))</f>
        <v>45630</v>
      </c>
      <c r="N91" s="295"/>
      <c r="O91" s="249">
        <f>VLOOKUP(H91,Auxiliar!$B$16:$E$24,4,0)</f>
        <v>0.25</v>
      </c>
      <c r="P91" s="249">
        <f t="shared" ca="1" si="39"/>
        <v>0</v>
      </c>
      <c r="Q91" s="248">
        <f ca="1">O91-P91</f>
        <v>0.25</v>
      </c>
      <c r="R91" s="266" t="s">
        <v>38</v>
      </c>
      <c r="S91" s="284"/>
      <c r="T91" s="274">
        <v>4.0999999999999996</v>
      </c>
      <c r="U91" s="274">
        <f>ROUND(T91/8,1)</f>
        <v>0.5</v>
      </c>
      <c r="V91" s="274">
        <f>SUM(W91:CI91)-U91</f>
        <v>0</v>
      </c>
      <c r="W91" s="285"/>
      <c r="X91" s="285"/>
      <c r="Y91" s="293"/>
      <c r="Z91" s="285"/>
      <c r="AA91" s="285"/>
      <c r="AB91" s="285"/>
      <c r="AC91" s="285"/>
      <c r="AD91" s="286"/>
      <c r="AE91" s="285"/>
      <c r="AF91" s="285"/>
      <c r="AG91" s="285"/>
      <c r="AH91" s="285"/>
      <c r="AI91" s="285"/>
      <c r="AJ91" s="285"/>
      <c r="AK91" s="285"/>
      <c r="AL91" s="285"/>
      <c r="AM91" s="285"/>
      <c r="AN91" s="292"/>
      <c r="AO91" s="285"/>
      <c r="AP91" s="285"/>
      <c r="AQ91" s="285"/>
      <c r="AR91" s="285"/>
      <c r="AS91" s="285"/>
      <c r="AT91" s="285"/>
      <c r="AU91" s="285"/>
      <c r="AV91" s="285"/>
      <c r="AW91" s="285"/>
      <c r="AX91" s="285"/>
      <c r="AY91" s="285"/>
      <c r="AZ91" s="285"/>
      <c r="BA91" s="285">
        <v>0.5</v>
      </c>
      <c r="BB91" s="285"/>
      <c r="BC91" s="285"/>
      <c r="BD91" s="285"/>
      <c r="BE91" s="285"/>
      <c r="BF91" s="285"/>
      <c r="BG91" s="285"/>
      <c r="BH91" s="285"/>
      <c r="BI91" s="285"/>
      <c r="BJ91" s="285"/>
      <c r="BK91" s="285"/>
      <c r="BL91" s="285"/>
      <c r="BM91" s="285"/>
      <c r="BN91" s="285"/>
      <c r="BO91" s="286"/>
      <c r="BP91" s="286"/>
      <c r="BQ91" s="286"/>
      <c r="BR91" s="286"/>
      <c r="BS91" s="286"/>
      <c r="BT91" s="286"/>
      <c r="BU91" s="286"/>
      <c r="BV91" s="285"/>
      <c r="BW91" s="285"/>
      <c r="BX91" s="285"/>
      <c r="BY91" s="285"/>
      <c r="BZ91" s="285"/>
      <c r="CA91" s="285"/>
      <c r="CB91" s="285"/>
      <c r="CC91" s="285"/>
      <c r="CD91" s="285"/>
      <c r="CE91" s="285"/>
      <c r="CF91" s="285"/>
      <c r="CG91" s="285"/>
      <c r="CH91" s="285"/>
      <c r="CI91" s="285"/>
    </row>
    <row r="92" spans="1:87" ht="15" customHeight="1" collapsed="1" x14ac:dyDescent="0.25">
      <c r="A92" s="278"/>
      <c r="B92" s="142" t="s">
        <v>26</v>
      </c>
      <c r="C92" s="138" t="s">
        <v>26</v>
      </c>
      <c r="D92" s="134"/>
      <c r="E92" s="242" t="s">
        <v>336</v>
      </c>
      <c r="F92" s="240" t="s">
        <v>2010</v>
      </c>
      <c r="G92" s="241">
        <f>COUNTA(G93)</f>
        <v>1</v>
      </c>
      <c r="H92" s="303" t="s">
        <v>2024</v>
      </c>
      <c r="I92" s="282">
        <f>MAX(I93)</f>
        <v>45603</v>
      </c>
      <c r="J92" s="282">
        <f>MAX(J93)</f>
        <v>45611</v>
      </c>
      <c r="K92" s="282">
        <f>MAX(K93)</f>
        <v>45611</v>
      </c>
      <c r="L92" s="281">
        <f>MIN(L93)</f>
        <v>45628</v>
      </c>
      <c r="M92" s="282">
        <f>MAX(M93)</f>
        <v>45628</v>
      </c>
      <c r="N92" s="332">
        <f t="array" ref="N92">MAX(IF(W92:CI92&gt;0,$W$16:$CI$16))</f>
        <v>45632</v>
      </c>
      <c r="O92" s="324">
        <f>O93</f>
        <v>0.25</v>
      </c>
      <c r="P92" s="324">
        <f ca="1">P93</f>
        <v>0</v>
      </c>
      <c r="Q92" s="248">
        <f ca="1">O92-P92</f>
        <v>0.25</v>
      </c>
      <c r="R92" s="266" t="s">
        <v>2012</v>
      </c>
      <c r="S92" s="284"/>
      <c r="T92" s="274"/>
      <c r="U92" s="274"/>
      <c r="V92" s="274"/>
      <c r="W92" s="285"/>
      <c r="X92" s="285"/>
      <c r="Y92" s="285"/>
      <c r="Z92" s="285"/>
      <c r="AA92" s="285"/>
      <c r="AB92" s="285"/>
      <c r="AC92" s="285"/>
      <c r="AD92" s="286"/>
      <c r="AE92" s="285"/>
      <c r="AF92" s="285"/>
      <c r="AG92" s="285"/>
      <c r="AH92" s="293"/>
      <c r="AI92" s="285"/>
      <c r="AJ92" s="285"/>
      <c r="AK92" s="285"/>
      <c r="AL92" s="285"/>
      <c r="AM92" s="285"/>
      <c r="AN92" s="292"/>
      <c r="AO92" s="285"/>
      <c r="AP92" s="285"/>
      <c r="AQ92" s="285"/>
      <c r="AR92" s="285"/>
      <c r="AS92" s="285"/>
      <c r="AT92" s="285"/>
      <c r="AU92" s="285"/>
      <c r="AV92" s="285"/>
      <c r="AW92" s="285"/>
      <c r="AX92" s="285"/>
      <c r="AY92" s="285"/>
      <c r="AZ92" s="285"/>
      <c r="BA92" s="285"/>
      <c r="BB92" s="285"/>
      <c r="BC92" s="288" t="s">
        <v>444</v>
      </c>
      <c r="BD92" s="285"/>
      <c r="BE92" s="285"/>
      <c r="BF92" s="285"/>
      <c r="BG92" s="285"/>
      <c r="BH92" s="285"/>
      <c r="BI92" s="285"/>
      <c r="BJ92" s="285"/>
      <c r="BK92" s="285"/>
      <c r="BL92" s="285"/>
      <c r="BM92" s="285"/>
      <c r="BN92" s="285"/>
      <c r="BO92" s="286"/>
      <c r="BP92" s="286"/>
      <c r="BQ92" s="286"/>
      <c r="BR92" s="286"/>
      <c r="BS92" s="286"/>
      <c r="BT92" s="286"/>
      <c r="BU92" s="286"/>
      <c r="BV92" s="285"/>
      <c r="BW92" s="285"/>
      <c r="BX92" s="285"/>
      <c r="BY92" s="285"/>
      <c r="BZ92" s="285"/>
      <c r="CA92" s="285"/>
      <c r="CB92" s="285"/>
      <c r="CC92" s="285"/>
      <c r="CD92" s="285"/>
      <c r="CE92" s="285"/>
      <c r="CF92" s="285"/>
      <c r="CG92" s="285"/>
      <c r="CH92" s="285"/>
      <c r="CI92" s="285"/>
    </row>
    <row r="93" spans="1:87" ht="16.2" hidden="1" outlineLevel="1" x14ac:dyDescent="0.25">
      <c r="A93" s="278" t="str">
        <f>E93&amp;G93</f>
        <v>lt003_entityisin</v>
      </c>
      <c r="B93" s="142" t="s">
        <v>26</v>
      </c>
      <c r="C93" s="138" t="s">
        <v>26</v>
      </c>
      <c r="D93" s="236" t="s">
        <v>40</v>
      </c>
      <c r="E93" s="239" t="s">
        <v>336</v>
      </c>
      <c r="F93" s="239"/>
      <c r="G93" s="239" t="s">
        <v>239</v>
      </c>
      <c r="H93" s="236" t="str">
        <f>VLOOKUP(A93,'2. Status Detalhe Campos'!$A$7:$G$574,7,0)</f>
        <v>2.1 Em Teste</v>
      </c>
      <c r="I93" s="289">
        <v>45603</v>
      </c>
      <c r="J93" s="289">
        <v>45611</v>
      </c>
      <c r="K93" s="289">
        <v>45611</v>
      </c>
      <c r="L93" s="294">
        <f t="array" ref="L93">MIN(IF(W93:CI93&gt;0,$W$16:$CI$16))</f>
        <v>45628</v>
      </c>
      <c r="M93" s="295">
        <f t="array" ref="M93">MAX(IF(W93:CI93&gt;0,$W$16:$CI$16))</f>
        <v>45628</v>
      </c>
      <c r="N93" s="295"/>
      <c r="O93" s="249">
        <f>VLOOKUP(H93,Auxiliar!$B$16:$E$24,4,0)</f>
        <v>0.25</v>
      </c>
      <c r="P93" s="249">
        <f t="shared" ref="P93" ca="1" si="40">IF(TODAY()&lt;=L93,0,MIN((TODAY()-L93)/(M93-L93+1),100%))</f>
        <v>0</v>
      </c>
      <c r="Q93" s="248">
        <f ca="1">O93-P93</f>
        <v>0.25</v>
      </c>
      <c r="R93" s="265"/>
      <c r="S93" s="284"/>
      <c r="T93" s="274">
        <v>4.0999999999999996</v>
      </c>
      <c r="U93" s="274">
        <f>ROUND(T93/8,1)</f>
        <v>0.5</v>
      </c>
      <c r="V93" s="274">
        <f>SUM(W93:CI93)-U93</f>
        <v>0</v>
      </c>
      <c r="W93" s="285"/>
      <c r="X93" s="293"/>
      <c r="Y93" s="285"/>
      <c r="Z93" s="285"/>
      <c r="AA93" s="285"/>
      <c r="AB93" s="285"/>
      <c r="AC93" s="285"/>
      <c r="AD93" s="286"/>
      <c r="AE93" s="285"/>
      <c r="AF93" s="285"/>
      <c r="AG93" s="285"/>
      <c r="AH93" s="293"/>
      <c r="AI93" s="285"/>
      <c r="AJ93" s="285"/>
      <c r="AK93" s="285"/>
      <c r="AL93" s="285"/>
      <c r="AM93" s="285"/>
      <c r="AN93" s="292"/>
      <c r="AO93" s="285"/>
      <c r="AP93" s="285"/>
      <c r="AQ93" s="285"/>
      <c r="AR93" s="285"/>
      <c r="AS93" s="285"/>
      <c r="AT93" s="285"/>
      <c r="AU93" s="285"/>
      <c r="AV93" s="285"/>
      <c r="AW93" s="285"/>
      <c r="AX93" s="285"/>
      <c r="AY93" s="285">
        <v>0.5</v>
      </c>
      <c r="AZ93" s="285"/>
      <c r="BA93" s="285"/>
      <c r="BB93" s="285"/>
      <c r="BC93" s="285"/>
      <c r="BD93" s="285"/>
      <c r="BE93" s="285"/>
      <c r="BF93" s="285"/>
      <c r="BG93" s="285"/>
      <c r="BH93" s="285"/>
      <c r="BI93" s="285"/>
      <c r="BJ93" s="285"/>
      <c r="BK93" s="285"/>
      <c r="BL93" s="285"/>
      <c r="BM93" s="285"/>
      <c r="BN93" s="285"/>
      <c r="BO93" s="286"/>
      <c r="BP93" s="286"/>
      <c r="BQ93" s="286"/>
      <c r="BR93" s="286"/>
      <c r="BS93" s="286"/>
      <c r="BT93" s="286"/>
      <c r="BU93" s="286"/>
      <c r="BV93" s="285"/>
      <c r="BW93" s="285"/>
      <c r="BX93" s="285"/>
      <c r="BY93" s="285"/>
      <c r="BZ93" s="285"/>
      <c r="CA93" s="285"/>
      <c r="CB93" s="285"/>
      <c r="CC93" s="285"/>
      <c r="CD93" s="285"/>
      <c r="CE93" s="285"/>
      <c r="CF93" s="285"/>
      <c r="CG93" s="285"/>
      <c r="CH93" s="285"/>
      <c r="CI93" s="285"/>
    </row>
    <row r="94" spans="1:87" ht="30" customHeight="1" collapsed="1" x14ac:dyDescent="0.25">
      <c r="A94" s="278"/>
      <c r="B94" s="142" t="s">
        <v>26</v>
      </c>
      <c r="C94" s="138" t="s">
        <v>26</v>
      </c>
      <c r="D94" s="134"/>
      <c r="E94" s="242" t="s">
        <v>369</v>
      </c>
      <c r="F94" s="240" t="s">
        <v>2000</v>
      </c>
      <c r="G94" s="241">
        <f>COUNTA(G95:G99)</f>
        <v>5</v>
      </c>
      <c r="H94" s="303" t="s">
        <v>2024</v>
      </c>
      <c r="I94" s="282">
        <f>MAX(I95:I99)</f>
        <v>45595</v>
      </c>
      <c r="J94" s="281">
        <f>MIN(J95:J99)</f>
        <v>45611</v>
      </c>
      <c r="K94" s="281">
        <f>MIN(K95:K99)</f>
        <v>45611</v>
      </c>
      <c r="L94" s="281">
        <f>MIN(L95:L99)</f>
        <v>45629</v>
      </c>
      <c r="M94" s="282">
        <f>MAX(M95:M99)</f>
        <v>45639</v>
      </c>
      <c r="N94" s="332">
        <f t="array" ref="N94">MAX(IF(W94:CI94&gt;0,$W$16:$CI$16))</f>
        <v>45632</v>
      </c>
      <c r="O94" s="251">
        <f>SUMPRODUCT(O95:O99,U95:U99)/SUM(U95:U99)</f>
        <v>7.1428571428571425E-2</v>
      </c>
      <c r="P94" s="322">
        <f ca="1">SUMPRODUCT(P95:P99,U95:U99)/SUM(U95:U99)</f>
        <v>0</v>
      </c>
      <c r="Q94" s="320">
        <f ca="1">O94-P94</f>
        <v>7.1428571428571425E-2</v>
      </c>
      <c r="R94" s="266" t="s">
        <v>2032</v>
      </c>
      <c r="S94" s="284"/>
      <c r="T94" s="274"/>
      <c r="U94" s="274"/>
      <c r="V94" s="274"/>
      <c r="W94" s="285"/>
      <c r="X94" s="285"/>
      <c r="Y94" s="285"/>
      <c r="Z94" s="285"/>
      <c r="AA94" s="285"/>
      <c r="AB94" s="285"/>
      <c r="AC94" s="285"/>
      <c r="AD94" s="286"/>
      <c r="AE94" s="285"/>
      <c r="AF94" s="285"/>
      <c r="AG94" s="285"/>
      <c r="AH94" s="285"/>
      <c r="AI94" s="285"/>
      <c r="AJ94" s="285"/>
      <c r="AK94" s="285"/>
      <c r="AL94" s="285"/>
      <c r="AM94" s="285"/>
      <c r="AN94" s="292"/>
      <c r="AO94" s="285"/>
      <c r="AP94" s="285"/>
      <c r="AQ94" s="285"/>
      <c r="AR94" s="285"/>
      <c r="AS94" s="285"/>
      <c r="AT94" s="285"/>
      <c r="AU94" s="285"/>
      <c r="AV94" s="285"/>
      <c r="AW94" s="285"/>
      <c r="AX94" s="285"/>
      <c r="AY94" s="285"/>
      <c r="AZ94" s="285"/>
      <c r="BA94" s="285"/>
      <c r="BB94" s="285"/>
      <c r="BC94" s="288" t="s">
        <v>444</v>
      </c>
      <c r="BD94" s="285"/>
      <c r="BE94" s="285"/>
      <c r="BF94" s="285"/>
      <c r="BG94" s="285"/>
      <c r="BH94" s="366"/>
      <c r="BI94" s="285"/>
      <c r="BJ94" s="285"/>
      <c r="BK94" s="285"/>
      <c r="BL94" s="285"/>
      <c r="BM94" s="285"/>
      <c r="BN94" s="285"/>
      <c r="BO94" s="286"/>
      <c r="BP94" s="286"/>
      <c r="BQ94" s="286"/>
      <c r="BR94" s="286"/>
      <c r="BS94" s="286"/>
      <c r="BT94" s="286"/>
      <c r="BU94" s="286"/>
      <c r="BV94" s="285"/>
      <c r="BW94" s="285"/>
      <c r="BX94" s="285"/>
      <c r="BY94" s="285"/>
      <c r="BZ94" s="285"/>
      <c r="CA94" s="285"/>
      <c r="CB94" s="285"/>
      <c r="CC94" s="285"/>
      <c r="CD94" s="285"/>
      <c r="CE94" s="285"/>
      <c r="CF94" s="285"/>
      <c r="CG94" s="285"/>
      <c r="CH94" s="285"/>
      <c r="CI94" s="285"/>
    </row>
    <row r="95" spans="1:87" ht="30" hidden="1" customHeight="1" outlineLevel="1" x14ac:dyDescent="0.25">
      <c r="A95" s="278" t="str">
        <f>E95&amp;G95</f>
        <v>lt004_protectionprtctn_id</v>
      </c>
      <c r="B95" s="142" t="s">
        <v>26</v>
      </c>
      <c r="C95" s="138" t="s">
        <v>26</v>
      </c>
      <c r="D95" s="236" t="s">
        <v>40</v>
      </c>
      <c r="E95" s="239" t="s">
        <v>369</v>
      </c>
      <c r="F95" s="239"/>
      <c r="G95" s="243" t="s">
        <v>434</v>
      </c>
      <c r="H95" s="236" t="str">
        <f>VLOOKUP(A95,'2. Status Detalhe Campos'!$A$7:$G$574,7,0)</f>
        <v>2.1 Em Teste</v>
      </c>
      <c r="I95" s="289">
        <v>45588</v>
      </c>
      <c r="J95" s="333">
        <v>45611</v>
      </c>
      <c r="K95" s="333">
        <v>45611</v>
      </c>
      <c r="L95" s="294">
        <f t="array" ref="L95">MIN(IF(W95:CI95&gt;0,$W$16:$CI$16))</f>
        <v>45629</v>
      </c>
      <c r="M95" s="295">
        <f t="array" ref="M95">MAX(IF(W95:CI95&gt;0,$W$16:$CI$16))</f>
        <v>45629</v>
      </c>
      <c r="N95" s="295"/>
      <c r="O95" s="249">
        <f>VLOOKUP(H95,Auxiliar!$B$16:$E$24,4,0)</f>
        <v>0.25</v>
      </c>
      <c r="P95" s="249">
        <f t="shared" ref="P95:P99" ca="1" si="41">IF(TODAY()&lt;=L95,0,MIN((TODAY()-L95)/(M95-L95+1),100%))</f>
        <v>0</v>
      </c>
      <c r="Q95" s="248">
        <f ca="1">O95-P95</f>
        <v>0.25</v>
      </c>
      <c r="R95" s="266"/>
      <c r="S95" s="284"/>
      <c r="T95" s="274">
        <v>0.1</v>
      </c>
      <c r="U95" s="274">
        <v>0.1</v>
      </c>
      <c r="V95" s="304">
        <f>SUM(W95:CI95)-U95</f>
        <v>0</v>
      </c>
      <c r="W95" s="301"/>
      <c r="X95" s="293"/>
      <c r="Y95" s="285"/>
      <c r="Z95" s="285"/>
      <c r="AA95" s="285"/>
      <c r="AB95" s="285"/>
      <c r="AC95" s="285"/>
      <c r="AD95" s="286"/>
      <c r="AE95" s="285"/>
      <c r="AF95" s="285"/>
      <c r="AG95" s="285"/>
      <c r="AH95" s="285"/>
      <c r="AI95" s="285"/>
      <c r="AJ95" s="285"/>
      <c r="AK95" s="285"/>
      <c r="AL95" s="285"/>
      <c r="AM95" s="285"/>
      <c r="AN95" s="292"/>
      <c r="AO95" s="285"/>
      <c r="AP95" s="285"/>
      <c r="AQ95" s="285"/>
      <c r="AR95" s="285"/>
      <c r="AS95" s="285"/>
      <c r="AT95" s="285"/>
      <c r="AU95" s="285"/>
      <c r="AV95" s="285"/>
      <c r="AW95" s="285"/>
      <c r="AX95" s="285"/>
      <c r="AY95" s="285"/>
      <c r="AZ95" s="285">
        <v>0.1</v>
      </c>
      <c r="BA95" s="285"/>
      <c r="BB95" s="285"/>
      <c r="BC95" s="285"/>
      <c r="BD95" s="285"/>
      <c r="BE95" s="285"/>
      <c r="BF95" s="285"/>
      <c r="BG95" s="285"/>
      <c r="BH95" s="285"/>
      <c r="BI95" s="285"/>
      <c r="BJ95" s="285"/>
      <c r="BK95" s="285"/>
      <c r="BL95" s="285"/>
      <c r="BM95" s="285"/>
      <c r="BN95" s="285"/>
      <c r="BO95" s="286"/>
      <c r="BP95" s="286"/>
      <c r="BQ95" s="286"/>
      <c r="BR95" s="286"/>
      <c r="BS95" s="286"/>
      <c r="BT95" s="286"/>
      <c r="BU95" s="286"/>
      <c r="BV95" s="285"/>
      <c r="BW95" s="285"/>
      <c r="BX95" s="285"/>
      <c r="BY95" s="285"/>
      <c r="BZ95" s="285"/>
      <c r="CA95" s="285"/>
      <c r="CB95" s="285"/>
      <c r="CC95" s="285"/>
      <c r="CD95" s="285"/>
      <c r="CE95" s="285"/>
      <c r="CF95" s="285"/>
      <c r="CG95" s="285"/>
      <c r="CH95" s="285"/>
      <c r="CI95" s="285"/>
    </row>
    <row r="96" spans="1:87" ht="30" hidden="1" customHeight="1" outlineLevel="1" x14ac:dyDescent="0.25">
      <c r="A96" s="278" t="str">
        <f>E96&amp;G96</f>
        <v>lt004_protectionrl_estt_clltrl_lctn</v>
      </c>
      <c r="B96" s="142" t="s">
        <v>26</v>
      </c>
      <c r="C96" s="138" t="s">
        <v>26</v>
      </c>
      <c r="D96" s="236" t="s">
        <v>40</v>
      </c>
      <c r="E96" s="239" t="s">
        <v>369</v>
      </c>
      <c r="F96" s="239"/>
      <c r="G96" s="243" t="s">
        <v>435</v>
      </c>
      <c r="H96" s="236" t="str">
        <f>VLOOKUP(A96,'2. Status Detalhe Campos'!$A$7:$G$574,7,0)</f>
        <v>2.1 Em Teste</v>
      </c>
      <c r="I96" s="289">
        <v>45588</v>
      </c>
      <c r="J96" s="333">
        <v>45611</v>
      </c>
      <c r="K96" s="333">
        <v>45611</v>
      </c>
      <c r="L96" s="294">
        <f t="array" ref="L96">MIN(IF(W96:CI96&gt;0,$W$16:$CI$16))</f>
        <v>45629</v>
      </c>
      <c r="M96" s="295">
        <f t="array" ref="M96">MAX(IF(W96:CI96&gt;0,$W$16:$CI$16))</f>
        <v>45629</v>
      </c>
      <c r="N96" s="295"/>
      <c r="O96" s="249">
        <f>VLOOKUP(H96,Auxiliar!$B$16:$E$24,4,0)</f>
        <v>0.25</v>
      </c>
      <c r="P96" s="249">
        <f t="shared" ca="1" si="41"/>
        <v>0</v>
      </c>
      <c r="Q96" s="248">
        <f ca="1">O96-P96</f>
        <v>0.25</v>
      </c>
      <c r="R96" s="266"/>
      <c r="S96" s="284"/>
      <c r="T96" s="274">
        <v>0.1</v>
      </c>
      <c r="U96" s="274">
        <v>0.1</v>
      </c>
      <c r="V96" s="304">
        <f>SUM(W96:CI96)-U96</f>
        <v>0</v>
      </c>
      <c r="W96" s="301"/>
      <c r="X96" s="293"/>
      <c r="Y96" s="285"/>
      <c r="Z96" s="293"/>
      <c r="AA96" s="285"/>
      <c r="AB96" s="285"/>
      <c r="AC96" s="285"/>
      <c r="AD96" s="286"/>
      <c r="AE96" s="285"/>
      <c r="AF96" s="285"/>
      <c r="AG96" s="285"/>
      <c r="AH96" s="285"/>
      <c r="AI96" s="285"/>
      <c r="AJ96" s="285"/>
      <c r="AK96" s="285"/>
      <c r="AL96" s="285"/>
      <c r="AM96" s="285"/>
      <c r="AN96" s="292"/>
      <c r="AO96" s="285"/>
      <c r="AP96" s="285"/>
      <c r="AQ96" s="285"/>
      <c r="AR96" s="285"/>
      <c r="AS96" s="285"/>
      <c r="AT96" s="285"/>
      <c r="AU96" s="285"/>
      <c r="AV96" s="285"/>
      <c r="AW96" s="285"/>
      <c r="AX96" s="285"/>
      <c r="AY96" s="285"/>
      <c r="AZ96" s="285">
        <v>0.1</v>
      </c>
      <c r="BA96" s="285"/>
      <c r="BB96" s="285"/>
      <c r="BC96" s="285"/>
      <c r="BD96" s="285"/>
      <c r="BE96" s="285"/>
      <c r="BF96" s="285"/>
      <c r="BG96" s="285"/>
      <c r="BH96" s="285"/>
      <c r="BI96" s="285"/>
      <c r="BJ96" s="285"/>
      <c r="BK96" s="285"/>
      <c r="BL96" s="285"/>
      <c r="BM96" s="285"/>
      <c r="BN96" s="285"/>
      <c r="BO96" s="286"/>
      <c r="BP96" s="286"/>
      <c r="BQ96" s="286"/>
      <c r="BR96" s="286"/>
      <c r="BS96" s="286"/>
      <c r="BT96" s="286"/>
      <c r="BU96" s="286"/>
      <c r="BV96" s="285"/>
      <c r="BW96" s="285"/>
      <c r="BX96" s="285"/>
      <c r="BY96" s="285"/>
      <c r="BZ96" s="285"/>
      <c r="CA96" s="285"/>
      <c r="CB96" s="285"/>
      <c r="CC96" s="285"/>
      <c r="CD96" s="285"/>
      <c r="CE96" s="285"/>
      <c r="CF96" s="285"/>
      <c r="CG96" s="285"/>
      <c r="CH96" s="285"/>
      <c r="CI96" s="285"/>
    </row>
    <row r="97" spans="1:87" ht="30" hidden="1" customHeight="1" outlineLevel="1" x14ac:dyDescent="0.25">
      <c r="A97" s="278" t="str">
        <f>E97&amp;G97</f>
        <v>lt004_protectionrl_estt_pst_cd</v>
      </c>
      <c r="B97" s="142" t="s">
        <v>26</v>
      </c>
      <c r="C97" s="138" t="s">
        <v>26</v>
      </c>
      <c r="D97" s="236" t="s">
        <v>40</v>
      </c>
      <c r="E97" s="239" t="s">
        <v>369</v>
      </c>
      <c r="F97" s="239"/>
      <c r="G97" s="243" t="s">
        <v>436</v>
      </c>
      <c r="H97" s="236" t="str">
        <f>VLOOKUP(A97,'2. Status Detalhe Campos'!$A$7:$G$574,7,0)</f>
        <v>2.1 Em Teste</v>
      </c>
      <c r="I97" s="289">
        <v>45588</v>
      </c>
      <c r="J97" s="333">
        <v>45611</v>
      </c>
      <c r="K97" s="333">
        <v>45611</v>
      </c>
      <c r="L97" s="294">
        <f t="array" ref="L97">MIN(IF(W97:CI97&gt;0,$W$16:$CI$16))</f>
        <v>45629</v>
      </c>
      <c r="M97" s="295">
        <f t="array" ref="M97">MAX(IF(W97:CI97&gt;0,$W$16:$CI$16))</f>
        <v>45629</v>
      </c>
      <c r="N97" s="295"/>
      <c r="O97" s="249">
        <f>VLOOKUP(H97,Auxiliar!$B$16:$E$24,4,0)</f>
        <v>0.25</v>
      </c>
      <c r="P97" s="249">
        <f t="shared" ca="1" si="41"/>
        <v>0</v>
      </c>
      <c r="Q97" s="248">
        <f ca="1">O97-P97</f>
        <v>0.25</v>
      </c>
      <c r="R97" s="266"/>
      <c r="S97" s="284"/>
      <c r="T97" s="274">
        <v>0.1</v>
      </c>
      <c r="U97" s="274">
        <v>0.1</v>
      </c>
      <c r="V97" s="304">
        <f>SUM(W97:CI97)-U97</f>
        <v>0</v>
      </c>
      <c r="W97" s="301"/>
      <c r="X97" s="293"/>
      <c r="Y97" s="285"/>
      <c r="Z97" s="285"/>
      <c r="AA97" s="285"/>
      <c r="AB97" s="285"/>
      <c r="AC97" s="285"/>
      <c r="AD97" s="286"/>
      <c r="AE97" s="285"/>
      <c r="AF97" s="285"/>
      <c r="AG97" s="285"/>
      <c r="AH97" s="285"/>
      <c r="AI97" s="285"/>
      <c r="AJ97" s="285"/>
      <c r="AK97" s="285"/>
      <c r="AL97" s="285"/>
      <c r="AM97" s="285"/>
      <c r="AN97" s="292"/>
      <c r="AO97" s="285"/>
      <c r="AP97" s="285"/>
      <c r="AQ97" s="285"/>
      <c r="AR97" s="285"/>
      <c r="AS97" s="285"/>
      <c r="AT97" s="285"/>
      <c r="AU97" s="285"/>
      <c r="AV97" s="285"/>
      <c r="AW97" s="285"/>
      <c r="AX97" s="285"/>
      <c r="AY97" s="285"/>
      <c r="AZ97" s="285">
        <v>0.1</v>
      </c>
      <c r="BA97" s="285"/>
      <c r="BB97" s="285"/>
      <c r="BC97" s="285"/>
      <c r="BD97" s="285"/>
      <c r="BE97" s="285"/>
      <c r="BF97" s="285"/>
      <c r="BG97" s="285"/>
      <c r="BH97" s="285"/>
      <c r="BI97" s="285"/>
      <c r="BJ97" s="285"/>
      <c r="BK97" s="285"/>
      <c r="BL97" s="285"/>
      <c r="BM97" s="285"/>
      <c r="BN97" s="285"/>
      <c r="BO97" s="286"/>
      <c r="BP97" s="286"/>
      <c r="BQ97" s="286"/>
      <c r="BR97" s="286"/>
      <c r="BS97" s="286"/>
      <c r="BT97" s="286"/>
      <c r="BU97" s="286"/>
      <c r="BV97" s="285"/>
      <c r="BW97" s="285"/>
      <c r="BX97" s="285"/>
      <c r="BY97" s="285"/>
      <c r="BZ97" s="285"/>
      <c r="CA97" s="285"/>
      <c r="CB97" s="285"/>
      <c r="CC97" s="285"/>
      <c r="CD97" s="285"/>
      <c r="CE97" s="285"/>
      <c r="CF97" s="285"/>
      <c r="CG97" s="285"/>
      <c r="CH97" s="285"/>
      <c r="CI97" s="285"/>
    </row>
    <row r="98" spans="1:87" ht="16.2" hidden="1" outlineLevel="1" x14ac:dyDescent="0.25">
      <c r="A98" s="278" t="str">
        <f>E98&amp;G98</f>
        <v>lt004_protectionorgnl_prtctn_vl</v>
      </c>
      <c r="B98" s="142" t="s">
        <v>26</v>
      </c>
      <c r="C98" s="138" t="s">
        <v>26</v>
      </c>
      <c r="D98" s="236" t="s">
        <v>40</v>
      </c>
      <c r="E98" s="239" t="s">
        <v>369</v>
      </c>
      <c r="F98" s="239"/>
      <c r="G98" s="243" t="s">
        <v>438</v>
      </c>
      <c r="H98" s="236" t="str">
        <f>VLOOKUP(A98,'2. Status Detalhe Campos'!$A$7:$G$574,7,0)</f>
        <v>3. Pendente de outros desenvolvimentos</v>
      </c>
      <c r="I98" s="289">
        <v>45595</v>
      </c>
      <c r="J98" s="333">
        <v>45611</v>
      </c>
      <c r="K98" s="333">
        <v>45611</v>
      </c>
      <c r="L98" s="294">
        <f t="array" ref="L98">MIN(IF(W98:CI98&gt;0,$W$16:$CI$16))</f>
        <v>45629</v>
      </c>
      <c r="M98" s="295">
        <f t="array" ref="M98">MAX(IF(W98:CI98&gt;0,$W$16:$CI$16))</f>
        <v>45639</v>
      </c>
      <c r="N98" s="295"/>
      <c r="O98" s="249">
        <f>VLOOKUP(H98,Auxiliar!$B$16:$E$24,4,0)</f>
        <v>0</v>
      </c>
      <c r="P98" s="249">
        <f t="shared" ca="1" si="41"/>
        <v>0</v>
      </c>
      <c r="Q98" s="248">
        <f ca="1">O98-P98</f>
        <v>0</v>
      </c>
      <c r="R98" s="266"/>
      <c r="S98" s="284"/>
      <c r="T98" s="312">
        <v>1</v>
      </c>
      <c r="U98" s="274">
        <v>1</v>
      </c>
      <c r="V98" s="274">
        <f>SUM(W98:CI98)-U98</f>
        <v>0</v>
      </c>
      <c r="W98" s="285"/>
      <c r="X98" s="285"/>
      <c r="Y98" s="285"/>
      <c r="Z98" s="285"/>
      <c r="AA98" s="285"/>
      <c r="AB98" s="293"/>
      <c r="AC98" s="285"/>
      <c r="AD98" s="286"/>
      <c r="AE98" s="285"/>
      <c r="AF98" s="285"/>
      <c r="AG98" s="285"/>
      <c r="AH98" s="285"/>
      <c r="AI98" s="285"/>
      <c r="AJ98" s="285"/>
      <c r="AK98" s="285"/>
      <c r="AL98" s="285"/>
      <c r="AM98" s="285"/>
      <c r="AN98" s="292"/>
      <c r="AO98" s="285"/>
      <c r="AP98" s="285"/>
      <c r="AQ98" s="285"/>
      <c r="AR98" s="285"/>
      <c r="AS98" s="285"/>
      <c r="AT98" s="285"/>
      <c r="AU98" s="285"/>
      <c r="AV98" s="285"/>
      <c r="AW98" s="285"/>
      <c r="AX98" s="285"/>
      <c r="AY98" s="285"/>
      <c r="AZ98" s="285">
        <v>0.6</v>
      </c>
      <c r="BA98" s="285">
        <v>0.3</v>
      </c>
      <c r="BB98" s="285"/>
      <c r="BC98" s="285"/>
      <c r="BD98" s="285"/>
      <c r="BE98" s="285"/>
      <c r="BF98" s="285"/>
      <c r="BG98" s="285"/>
      <c r="BH98" s="311">
        <v>0.1</v>
      </c>
      <c r="BI98" s="285"/>
      <c r="BJ98" s="285"/>
      <c r="BK98" s="285"/>
      <c r="BL98" s="285"/>
      <c r="BM98" s="285"/>
      <c r="BN98" s="285"/>
      <c r="BO98" s="286"/>
      <c r="BP98" s="286"/>
      <c r="BQ98" s="286"/>
      <c r="BR98" s="286"/>
      <c r="BS98" s="286"/>
      <c r="BT98" s="286"/>
      <c r="BU98" s="286"/>
      <c r="BV98" s="285"/>
      <c r="BW98" s="285"/>
      <c r="BX98" s="285"/>
      <c r="BY98" s="285"/>
      <c r="BZ98" s="285"/>
      <c r="CA98" s="285"/>
      <c r="CB98" s="285"/>
      <c r="CC98" s="285"/>
      <c r="CD98" s="285"/>
      <c r="CE98" s="285"/>
      <c r="CF98" s="285"/>
      <c r="CG98" s="285"/>
      <c r="CH98" s="285"/>
      <c r="CI98" s="285"/>
    </row>
    <row r="99" spans="1:87" ht="16.2" hidden="1" outlineLevel="1" x14ac:dyDescent="0.25">
      <c r="A99" s="278" t="str">
        <f>E99&amp;G99</f>
        <v>lt004_protectiontyp_ep_scr</v>
      </c>
      <c r="B99" s="142" t="s">
        <v>26</v>
      </c>
      <c r="C99" s="138" t="s">
        <v>26</v>
      </c>
      <c r="D99" s="236"/>
      <c r="E99" s="239" t="s">
        <v>369</v>
      </c>
      <c r="F99" s="239"/>
      <c r="G99" s="243" t="s">
        <v>370</v>
      </c>
      <c r="H99" s="236" t="str">
        <f>VLOOKUP(A99,'2. Status Detalhe Campos'!$A$7:$G$574,7,0)</f>
        <v>2.1 Em Teste</v>
      </c>
      <c r="I99" s="289">
        <v>45595</v>
      </c>
      <c r="J99" s="333">
        <v>45611</v>
      </c>
      <c r="K99" s="333">
        <v>45611</v>
      </c>
      <c r="L99" s="294">
        <f t="array" ref="L99">MIN(IF(W99:CI99&gt;0,$W$16:$CI$16))</f>
        <v>45629</v>
      </c>
      <c r="M99" s="295">
        <f t="array" ref="M99">MAX(IF(W99:CI99&gt;0,$W$16:$CI$16))</f>
        <v>45629</v>
      </c>
      <c r="N99" s="295"/>
      <c r="O99" s="249">
        <f>VLOOKUP(H99,Auxiliar!$B$16:$E$24,4,0)</f>
        <v>0.25</v>
      </c>
      <c r="P99" s="249">
        <f t="shared" ca="1" si="41"/>
        <v>0</v>
      </c>
      <c r="Q99" s="248">
        <f ca="1">O99-P99</f>
        <v>0.25</v>
      </c>
      <c r="R99" s="266"/>
      <c r="S99" s="284"/>
      <c r="T99" s="274">
        <v>0.1</v>
      </c>
      <c r="U99" s="274">
        <v>0.1</v>
      </c>
      <c r="V99" s="304">
        <f>SUM(W99:CI99)-U99</f>
        <v>0</v>
      </c>
      <c r="W99" s="285"/>
      <c r="X99" s="285"/>
      <c r="Y99" s="285"/>
      <c r="Z99" s="285"/>
      <c r="AA99" s="285"/>
      <c r="AB99" s="293"/>
      <c r="AC99" s="285"/>
      <c r="AD99" s="286"/>
      <c r="AE99" s="285"/>
      <c r="AF99" s="285"/>
      <c r="AG99" s="285"/>
      <c r="AH99" s="285"/>
      <c r="AI99" s="285"/>
      <c r="AJ99" s="285"/>
      <c r="AK99" s="285"/>
      <c r="AL99" s="285"/>
      <c r="AM99" s="285"/>
      <c r="AN99" s="292"/>
      <c r="AO99" s="285"/>
      <c r="AP99" s="285"/>
      <c r="AQ99" s="285"/>
      <c r="AR99" s="285"/>
      <c r="AS99" s="285"/>
      <c r="AT99" s="285"/>
      <c r="AU99" s="285"/>
      <c r="AV99" s="285"/>
      <c r="AW99" s="285"/>
      <c r="AX99" s="285"/>
      <c r="AY99" s="285"/>
      <c r="AZ99" s="285">
        <v>0.1</v>
      </c>
      <c r="BA99" s="285"/>
      <c r="BB99" s="285"/>
      <c r="BC99" s="285"/>
      <c r="BD99" s="285"/>
      <c r="BE99" s="285"/>
      <c r="BF99" s="285"/>
      <c r="BG99" s="285"/>
      <c r="BH99" s="285"/>
      <c r="BI99" s="285"/>
      <c r="BJ99" s="285"/>
      <c r="BK99" s="285"/>
      <c r="BL99" s="285"/>
      <c r="BM99" s="285"/>
      <c r="BN99" s="285"/>
      <c r="BO99" s="286"/>
      <c r="BP99" s="286"/>
      <c r="BQ99" s="286"/>
      <c r="BR99" s="286"/>
      <c r="BS99" s="286"/>
      <c r="BT99" s="286"/>
      <c r="BU99" s="286"/>
      <c r="BV99" s="285"/>
      <c r="BW99" s="285"/>
      <c r="BX99" s="285"/>
      <c r="BY99" s="285"/>
      <c r="BZ99" s="285"/>
      <c r="CA99" s="285"/>
      <c r="CB99" s="285"/>
      <c r="CC99" s="285"/>
      <c r="CD99" s="285"/>
      <c r="CE99" s="285"/>
      <c r="CF99" s="285"/>
      <c r="CG99" s="285"/>
      <c r="CH99" s="285"/>
      <c r="CI99" s="285"/>
    </row>
    <row r="100" spans="1:87" ht="15" customHeight="1" collapsed="1" x14ac:dyDescent="0.25">
      <c r="A100" s="278"/>
      <c r="B100" s="142" t="s">
        <v>26</v>
      </c>
      <c r="C100" s="138" t="s">
        <v>311</v>
      </c>
      <c r="D100" s="134"/>
      <c r="E100" s="240" t="s">
        <v>326</v>
      </c>
      <c r="F100" s="240" t="s">
        <v>1979</v>
      </c>
      <c r="G100" s="241">
        <f>COUNTA(G101:G114)</f>
        <v>14</v>
      </c>
      <c r="H100" s="303" t="s">
        <v>2024</v>
      </c>
      <c r="I100" s="280" t="s">
        <v>38</v>
      </c>
      <c r="J100" s="281">
        <f>MIN(J101:J114)</f>
        <v>45614</v>
      </c>
      <c r="K100" s="281">
        <f>MIN(K101:K136)</f>
        <v>45596</v>
      </c>
      <c r="L100" s="281">
        <f>MIN(L101:L136)</f>
        <v>0</v>
      </c>
      <c r="M100" s="282">
        <f>MAX(M101:M136)</f>
        <v>45642</v>
      </c>
      <c r="N100" s="332">
        <f t="array" ref="N100">MAX(IF(W100:CI100&gt;0,$W$16:$CI$16))</f>
        <v>45632</v>
      </c>
      <c r="O100" s="251">
        <f>SUMPRODUCT(O101:O136,U101:U136)/SUM(U101:U136)</f>
        <v>0.19831730769230768</v>
      </c>
      <c r="P100" s="251">
        <f ca="1">SUMPRODUCT(P101:P136,U101:U136)/SUM(U101:U136)</f>
        <v>0.53308823529411764</v>
      </c>
      <c r="Q100" s="259">
        <f ca="1">O100-P100</f>
        <v>-0.33477092760180993</v>
      </c>
      <c r="R100" s="266" t="s">
        <v>38</v>
      </c>
      <c r="S100" s="284"/>
      <c r="T100" s="274"/>
      <c r="U100" s="274"/>
      <c r="V100" s="274"/>
      <c r="W100" s="285"/>
      <c r="X100" s="285"/>
      <c r="Y100" s="285"/>
      <c r="Z100" s="285"/>
      <c r="AA100" s="285"/>
      <c r="AB100" s="285"/>
      <c r="AC100" s="285"/>
      <c r="AD100" s="286"/>
      <c r="AE100" s="285"/>
      <c r="AF100" s="285"/>
      <c r="AG100" s="285"/>
      <c r="AH100" s="285"/>
      <c r="AI100" s="285"/>
      <c r="AJ100" s="285"/>
      <c r="AK100" s="285"/>
      <c r="AL100" s="285"/>
      <c r="AM100" s="285"/>
      <c r="AN100" s="285"/>
      <c r="AO100" s="287"/>
      <c r="AP100" s="292"/>
      <c r="AQ100" s="285"/>
      <c r="AR100" s="285"/>
      <c r="AS100" s="285"/>
      <c r="AT100" s="285"/>
      <c r="AU100" s="285"/>
      <c r="AV100" s="285"/>
      <c r="AW100" s="285"/>
      <c r="AX100" s="285"/>
      <c r="AY100" s="285"/>
      <c r="AZ100" s="285"/>
      <c r="BA100" s="285"/>
      <c r="BB100" s="285"/>
      <c r="BC100" s="285" t="s">
        <v>444</v>
      </c>
      <c r="BD100" s="285"/>
      <c r="BE100" s="285"/>
      <c r="BF100" s="285"/>
      <c r="BG100" s="285"/>
      <c r="BH100" s="285"/>
      <c r="BI100" s="285"/>
      <c r="BJ100" s="285"/>
      <c r="BK100" s="285"/>
      <c r="BL100" s="285"/>
      <c r="BM100" s="285"/>
      <c r="BN100" s="285"/>
      <c r="BO100" s="286"/>
      <c r="BP100" s="286"/>
      <c r="BQ100" s="286"/>
      <c r="BR100" s="286"/>
      <c r="BS100" s="286"/>
      <c r="BT100" s="286"/>
      <c r="BU100" s="286"/>
      <c r="BV100" s="285"/>
      <c r="BW100" s="285"/>
      <c r="BX100" s="285"/>
      <c r="BY100" s="285"/>
      <c r="BZ100" s="285"/>
      <c r="CA100" s="285"/>
      <c r="CB100" s="285"/>
      <c r="CC100" s="285"/>
      <c r="CD100" s="285"/>
      <c r="CE100" s="285"/>
      <c r="CF100" s="285"/>
      <c r="CG100" s="285"/>
      <c r="CH100" s="285"/>
      <c r="CI100" s="285"/>
    </row>
    <row r="101" spans="1:87" ht="16.2" hidden="1" outlineLevel="1" x14ac:dyDescent="0.25">
      <c r="A101" s="278" t="str">
        <f>E101&amp;G101</f>
        <v>modesg_out_empr_info_nfincca_capex_enblng_algnd</v>
      </c>
      <c r="B101" s="142" t="s">
        <v>26</v>
      </c>
      <c r="C101" s="138" t="s">
        <v>311</v>
      </c>
      <c r="D101" s="236" t="s">
        <v>40</v>
      </c>
      <c r="E101" s="237" t="s">
        <v>326</v>
      </c>
      <c r="F101" s="237"/>
      <c r="G101" s="236" t="s">
        <v>250</v>
      </c>
      <c r="H101" s="236" t="str">
        <f>VLOOKUP(A101,'2. Status Detalhe Campos'!$A$7:$G$574,7,0)</f>
        <v>2.1 Em Teste</v>
      </c>
      <c r="I101" s="280" t="s">
        <v>38</v>
      </c>
      <c r="J101" s="289">
        <v>45614</v>
      </c>
      <c r="K101" s="289">
        <v>45615</v>
      </c>
      <c r="L101" s="294">
        <f t="array" ref="L101">MIN(IF(W101:CI101&gt;0,$W$16:$CI$16))</f>
        <v>45615</v>
      </c>
      <c r="M101" s="295">
        <f t="array" ref="M101">MAX(IF(W101:CI101&gt;0,$W$16:$CI$16))</f>
        <v>45631</v>
      </c>
      <c r="N101" s="295"/>
      <c r="O101" s="249">
        <f>VLOOKUP(H101,Auxiliar!$B$16:$E$24,4,0)</f>
        <v>0.25</v>
      </c>
      <c r="P101" s="249">
        <f ca="1">IF(TODAY()&lt;=L101,0,MIN((TODAY()-L101)/(M101-L101+1),100%))</f>
        <v>0.58823529411764708</v>
      </c>
      <c r="Q101" s="248">
        <f ca="1">O101-P101</f>
        <v>-0.33823529411764708</v>
      </c>
      <c r="R101" s="266" t="s">
        <v>38</v>
      </c>
      <c r="S101" s="284"/>
      <c r="T101" s="274">
        <v>16.100000000000001</v>
      </c>
      <c r="U101" s="304">
        <v>1</v>
      </c>
      <c r="V101" s="274">
        <f>SUM(W101:CI101)-U101</f>
        <v>0</v>
      </c>
      <c r="W101" s="285"/>
      <c r="X101" s="285"/>
      <c r="Y101" s="285"/>
      <c r="Z101" s="285"/>
      <c r="AA101" s="285"/>
      <c r="AB101" s="285"/>
      <c r="AC101" s="285"/>
      <c r="AD101" s="286"/>
      <c r="AE101" s="285"/>
      <c r="AF101" s="285"/>
      <c r="AG101" s="285"/>
      <c r="AH101" s="285"/>
      <c r="AI101" s="285"/>
      <c r="AJ101" s="285"/>
      <c r="AK101" s="285"/>
      <c r="AL101" s="285"/>
      <c r="AM101" s="285"/>
      <c r="AN101" s="285"/>
      <c r="AO101" s="287"/>
      <c r="AP101" s="292">
        <v>0.5</v>
      </c>
      <c r="AQ101" s="285"/>
      <c r="AR101" s="285"/>
      <c r="AS101" s="285"/>
      <c r="AT101" s="285"/>
      <c r="AU101" s="285"/>
      <c r="AV101" s="285"/>
      <c r="AW101" s="285"/>
      <c r="AX101" s="285"/>
      <c r="AY101" s="285"/>
      <c r="AZ101" s="285"/>
      <c r="BA101" s="285">
        <v>0.2</v>
      </c>
      <c r="BB101" s="285">
        <v>0.3</v>
      </c>
      <c r="BC101" s="285"/>
      <c r="BD101" s="285"/>
      <c r="BE101" s="285"/>
      <c r="BF101" s="285"/>
      <c r="BG101" s="285"/>
      <c r="BH101" s="285"/>
      <c r="BI101" s="285"/>
      <c r="BJ101" s="285"/>
      <c r="BK101" s="285"/>
      <c r="BL101" s="285"/>
      <c r="BM101" s="285"/>
      <c r="BN101" s="285"/>
      <c r="BO101" s="286"/>
      <c r="BP101" s="286"/>
      <c r="BQ101" s="286"/>
      <c r="BR101" s="286"/>
      <c r="BS101" s="286"/>
      <c r="BT101" s="286"/>
      <c r="BU101" s="286"/>
      <c r="BV101" s="285"/>
      <c r="BW101" s="285"/>
      <c r="BX101" s="285"/>
      <c r="BY101" s="285"/>
      <c r="BZ101" s="285"/>
      <c r="CA101" s="285"/>
      <c r="CB101" s="285"/>
      <c r="CC101" s="285"/>
      <c r="CD101" s="285"/>
      <c r="CE101" s="285"/>
      <c r="CF101" s="285"/>
      <c r="CG101" s="285"/>
      <c r="CH101" s="285"/>
      <c r="CI101" s="285"/>
    </row>
    <row r="102" spans="1:87" ht="16.2" hidden="1" outlineLevel="1" x14ac:dyDescent="0.25">
      <c r="A102" s="278" t="str">
        <f>E102&amp;G102</f>
        <v>modesg_out_empr_info_nfincca_capex_own_prfrmnce_algnd</v>
      </c>
      <c r="B102" s="142" t="s">
        <v>26</v>
      </c>
      <c r="C102" s="138" t="s">
        <v>311</v>
      </c>
      <c r="D102" s="236" t="s">
        <v>40</v>
      </c>
      <c r="E102" s="237" t="s">
        <v>326</v>
      </c>
      <c r="F102" s="237"/>
      <c r="G102" s="236" t="s">
        <v>251</v>
      </c>
      <c r="H102" s="236" t="str">
        <f>VLOOKUP(A102,'2. Status Detalhe Campos'!$A$7:$G$574,7,0)</f>
        <v>2.1 Em Teste</v>
      </c>
      <c r="I102" s="280" t="s">
        <v>38</v>
      </c>
      <c r="J102" s="289">
        <v>45614</v>
      </c>
      <c r="K102" s="289">
        <v>45615</v>
      </c>
      <c r="L102" s="294">
        <f t="array" ref="L102">MIN(IF(W102:CI102&gt;0,$W$16:$CI$16))</f>
        <v>45616</v>
      </c>
      <c r="M102" s="295">
        <f t="array" ref="M102">MAX(IF(W102:CI102&gt;0,$W$16:$CI$16))</f>
        <v>45616</v>
      </c>
      <c r="N102" s="295"/>
      <c r="O102" s="249">
        <f>VLOOKUP(H102,Auxiliar!$B$16:$E$24,4,0)</f>
        <v>0.25</v>
      </c>
      <c r="P102" s="249">
        <f ca="1">IF(TODAY()&lt;=L102,0,MIN((TODAY()-L102)/(M102-L102+1),100%))</f>
        <v>1</v>
      </c>
      <c r="Q102" s="248">
        <f ca="1">O102-P102</f>
        <v>-0.75</v>
      </c>
      <c r="R102" s="266" t="s">
        <v>38</v>
      </c>
      <c r="S102" s="284"/>
      <c r="T102" s="274">
        <v>16.100000000000001</v>
      </c>
      <c r="U102" s="304">
        <v>1</v>
      </c>
      <c r="V102" s="274">
        <f>SUM(W102:CI102)-U102</f>
        <v>0</v>
      </c>
      <c r="W102" s="285"/>
      <c r="X102" s="285"/>
      <c r="Y102" s="285"/>
      <c r="Z102" s="285"/>
      <c r="AA102" s="285"/>
      <c r="AB102" s="285"/>
      <c r="AC102" s="285"/>
      <c r="AD102" s="286"/>
      <c r="AE102" s="285"/>
      <c r="AF102" s="285"/>
      <c r="AG102" s="285"/>
      <c r="AH102" s="285"/>
      <c r="AI102" s="285"/>
      <c r="AJ102" s="285"/>
      <c r="AK102" s="285"/>
      <c r="AL102" s="285"/>
      <c r="AM102" s="285"/>
      <c r="AN102" s="285"/>
      <c r="AO102" s="287"/>
      <c r="AP102" s="292"/>
      <c r="AQ102" s="285">
        <v>1</v>
      </c>
      <c r="AR102" s="285"/>
      <c r="AS102" s="285"/>
      <c r="AT102" s="285"/>
      <c r="AU102" s="285"/>
      <c r="AV102" s="285"/>
      <c r="AW102" s="285"/>
      <c r="AX102" s="285"/>
      <c r="AY102" s="285"/>
      <c r="AZ102" s="285"/>
      <c r="BA102" s="285"/>
      <c r="BB102" s="285"/>
      <c r="BC102" s="285"/>
      <c r="BD102" s="285"/>
      <c r="BE102" s="285"/>
      <c r="BF102" s="285"/>
      <c r="BG102" s="285"/>
      <c r="BH102" s="285"/>
      <c r="BI102" s="285"/>
      <c r="BJ102" s="285"/>
      <c r="BK102" s="285"/>
      <c r="BL102" s="285"/>
      <c r="BM102" s="285"/>
      <c r="BN102" s="285"/>
      <c r="BO102" s="286"/>
      <c r="BP102" s="286"/>
      <c r="BQ102" s="286"/>
      <c r="BR102" s="286"/>
      <c r="BS102" s="286"/>
      <c r="BT102" s="286"/>
      <c r="BU102" s="286"/>
      <c r="BV102" s="285"/>
      <c r="BW102" s="285"/>
      <c r="BX102" s="285"/>
      <c r="BY102" s="285"/>
      <c r="BZ102" s="285"/>
      <c r="CA102" s="285"/>
      <c r="CB102" s="285"/>
      <c r="CC102" s="285"/>
      <c r="CD102" s="285"/>
      <c r="CE102" s="285"/>
      <c r="CF102" s="285"/>
      <c r="CG102" s="285"/>
      <c r="CH102" s="285"/>
      <c r="CI102" s="285"/>
    </row>
    <row r="103" spans="1:87" ht="16.2" hidden="1" outlineLevel="1" x14ac:dyDescent="0.25">
      <c r="A103" s="278" t="str">
        <f>E103&amp;G103</f>
        <v>modesg_out_empr_info_nfincca_capex_ttl_elgbl</v>
      </c>
      <c r="B103" s="142" t="s">
        <v>26</v>
      </c>
      <c r="C103" s="138" t="s">
        <v>311</v>
      </c>
      <c r="D103" s="236" t="s">
        <v>40</v>
      </c>
      <c r="E103" s="237" t="s">
        <v>326</v>
      </c>
      <c r="F103" s="237"/>
      <c r="G103" s="236" t="s">
        <v>249</v>
      </c>
      <c r="H103" s="236" t="str">
        <f>VLOOKUP(A103,'2. Status Detalhe Campos'!$A$7:$G$574,7,0)</f>
        <v>2.1 Em Teste</v>
      </c>
      <c r="I103" s="280" t="s">
        <v>38</v>
      </c>
      <c r="J103" s="289">
        <v>45614</v>
      </c>
      <c r="K103" s="289">
        <v>45615</v>
      </c>
      <c r="L103" s="294">
        <f t="array" ref="L103">MIN(IF(W103:CI103&gt;0,$W$16:$CI$16))</f>
        <v>45617</v>
      </c>
      <c r="M103" s="295">
        <f t="array" ref="M103">MAX(IF(W103:CI103&gt;0,$W$16:$CI$16))</f>
        <v>45617</v>
      </c>
      <c r="N103" s="295"/>
      <c r="O103" s="249">
        <f>VLOOKUP(H103,Auxiliar!$B$16:$E$24,4,0)</f>
        <v>0.25</v>
      </c>
      <c r="P103" s="249">
        <f ca="1">IF(TODAY()&lt;=L103,0,MIN((TODAY()-L103)/(M103-L103+1),100%))</f>
        <v>1</v>
      </c>
      <c r="Q103" s="248">
        <f ca="1">O103-P103</f>
        <v>-0.75</v>
      </c>
      <c r="R103" s="266" t="s">
        <v>38</v>
      </c>
      <c r="S103" s="284"/>
      <c r="T103" s="274">
        <v>16.100000000000001</v>
      </c>
      <c r="U103" s="304">
        <v>1</v>
      </c>
      <c r="V103" s="274">
        <f>SUM(W103:CI103)-U103</f>
        <v>0</v>
      </c>
      <c r="W103" s="285"/>
      <c r="X103" s="285"/>
      <c r="Y103" s="285"/>
      <c r="Z103" s="285"/>
      <c r="AA103" s="285"/>
      <c r="AB103" s="285"/>
      <c r="AC103" s="285"/>
      <c r="AD103" s="286"/>
      <c r="AE103" s="285"/>
      <c r="AF103" s="285"/>
      <c r="AG103" s="285"/>
      <c r="AH103" s="285"/>
      <c r="AI103" s="285"/>
      <c r="AJ103" s="285"/>
      <c r="AK103" s="285"/>
      <c r="AL103" s="285"/>
      <c r="AM103" s="285"/>
      <c r="AN103" s="285"/>
      <c r="AO103" s="287"/>
      <c r="AP103" s="292"/>
      <c r="AQ103" s="285"/>
      <c r="AR103" s="285">
        <v>1</v>
      </c>
      <c r="AS103" s="285"/>
      <c r="AT103" s="285"/>
      <c r="AU103" s="285"/>
      <c r="AV103" s="285"/>
      <c r="AW103" s="285"/>
      <c r="AX103" s="285"/>
      <c r="AY103" s="285"/>
      <c r="AZ103" s="285"/>
      <c r="BA103" s="285"/>
      <c r="BB103" s="285"/>
      <c r="BC103" s="285"/>
      <c r="BD103" s="285"/>
      <c r="BE103" s="285"/>
      <c r="BF103" s="285"/>
      <c r="BG103" s="285"/>
      <c r="BH103" s="285"/>
      <c r="BI103" s="285"/>
      <c r="BJ103" s="285"/>
      <c r="BK103" s="285"/>
      <c r="BL103" s="285"/>
      <c r="BM103" s="285"/>
      <c r="BN103" s="285"/>
      <c r="BO103" s="286"/>
      <c r="BP103" s="286"/>
      <c r="BQ103" s="286"/>
      <c r="BR103" s="286"/>
      <c r="BS103" s="286"/>
      <c r="BT103" s="286"/>
      <c r="BU103" s="286"/>
      <c r="BV103" s="285"/>
      <c r="BW103" s="285"/>
      <c r="BX103" s="285"/>
      <c r="BY103" s="285"/>
      <c r="BZ103" s="285"/>
      <c r="CA103" s="285"/>
      <c r="CB103" s="285"/>
      <c r="CC103" s="285"/>
      <c r="CD103" s="285"/>
      <c r="CE103" s="285"/>
      <c r="CF103" s="285"/>
      <c r="CG103" s="285"/>
      <c r="CH103" s="285"/>
      <c r="CI103" s="285"/>
    </row>
    <row r="104" spans="1:87" ht="16.2" hidden="1" outlineLevel="1" x14ac:dyDescent="0.25">
      <c r="A104" s="278" t="str">
        <f>E104&amp;G104</f>
        <v>modesg_out_empr_info_nfincca_trnvr_enblng_alignd</v>
      </c>
      <c r="B104" s="142" t="s">
        <v>26</v>
      </c>
      <c r="C104" s="138" t="s">
        <v>311</v>
      </c>
      <c r="D104" s="236" t="s">
        <v>40</v>
      </c>
      <c r="E104" s="237" t="s">
        <v>326</v>
      </c>
      <c r="F104" s="237"/>
      <c r="G104" s="236" t="s">
        <v>247</v>
      </c>
      <c r="H104" s="236" t="str">
        <f>VLOOKUP(A104,'2. Status Detalhe Campos'!$A$7:$G$574,7,0)</f>
        <v>2.1 Em Teste</v>
      </c>
      <c r="I104" s="280" t="s">
        <v>38</v>
      </c>
      <c r="J104" s="289">
        <v>45614</v>
      </c>
      <c r="K104" s="289">
        <v>45615</v>
      </c>
      <c r="L104" s="294">
        <f t="array" ref="L104">MIN(IF(W104:CI104&gt;0,$W$16:$CI$16))</f>
        <v>45618</v>
      </c>
      <c r="M104" s="295">
        <f t="array" ref="M104">MAX(IF(W104:CI104&gt;0,$W$16:$CI$16))</f>
        <v>45618</v>
      </c>
      <c r="N104" s="295"/>
      <c r="O104" s="249">
        <f>VLOOKUP(H104,Auxiliar!$B$16:$E$24,4,0)</f>
        <v>0.25</v>
      </c>
      <c r="P104" s="249">
        <f ca="1">IF(TODAY()&lt;=L104,0,MIN((TODAY()-L104)/(M104-L104+1),100%))</f>
        <v>1</v>
      </c>
      <c r="Q104" s="248">
        <f ca="1">O104-P104</f>
        <v>-0.75</v>
      </c>
      <c r="R104" s="266" t="s">
        <v>38</v>
      </c>
      <c r="S104" s="284"/>
      <c r="T104" s="305">
        <v>4</v>
      </c>
      <c r="U104" s="274">
        <f>ROUND(T104/8,1)</f>
        <v>0.5</v>
      </c>
      <c r="V104" s="274">
        <f>SUM(W104:CI104)-U104</f>
        <v>0</v>
      </c>
      <c r="W104" s="285"/>
      <c r="X104" s="285"/>
      <c r="Y104" s="285"/>
      <c r="Z104" s="285"/>
      <c r="AA104" s="285"/>
      <c r="AB104" s="285"/>
      <c r="AC104" s="285"/>
      <c r="AD104" s="286"/>
      <c r="AE104" s="285"/>
      <c r="AF104" s="285"/>
      <c r="AG104" s="285"/>
      <c r="AH104" s="285"/>
      <c r="AI104" s="285"/>
      <c r="AJ104" s="285"/>
      <c r="AK104" s="285"/>
      <c r="AL104" s="285"/>
      <c r="AM104" s="285"/>
      <c r="AN104" s="285"/>
      <c r="AO104" s="287"/>
      <c r="AP104" s="292"/>
      <c r="AQ104" s="285"/>
      <c r="AR104" s="285"/>
      <c r="AS104" s="285">
        <v>0.5</v>
      </c>
      <c r="AT104" s="285"/>
      <c r="AU104" s="285"/>
      <c r="AV104" s="285"/>
      <c r="AW104" s="285"/>
      <c r="AX104" s="285"/>
      <c r="AY104" s="285"/>
      <c r="AZ104" s="285"/>
      <c r="BA104" s="285"/>
      <c r="BB104" s="285"/>
      <c r="BC104" s="285"/>
      <c r="BD104" s="285"/>
      <c r="BE104" s="285"/>
      <c r="BF104" s="285"/>
      <c r="BG104" s="285"/>
      <c r="BH104" s="285"/>
      <c r="BI104" s="285"/>
      <c r="BJ104" s="285"/>
      <c r="BK104" s="285"/>
      <c r="BL104" s="285"/>
      <c r="BM104" s="285"/>
      <c r="BN104" s="285"/>
      <c r="BO104" s="286"/>
      <c r="BP104" s="286"/>
      <c r="BQ104" s="286"/>
      <c r="BR104" s="286"/>
      <c r="BS104" s="286"/>
      <c r="BT104" s="286"/>
      <c r="BU104" s="286"/>
      <c r="BV104" s="285"/>
      <c r="BW104" s="285"/>
      <c r="BX104" s="285"/>
      <c r="BY104" s="285"/>
      <c r="BZ104" s="285"/>
      <c r="CA104" s="285"/>
      <c r="CB104" s="285"/>
      <c r="CC104" s="285"/>
      <c r="CD104" s="285"/>
      <c r="CE104" s="285"/>
      <c r="CF104" s="285"/>
      <c r="CG104" s="285"/>
      <c r="CH104" s="285"/>
      <c r="CI104" s="285"/>
    </row>
    <row r="105" spans="1:87" ht="16.2" hidden="1" outlineLevel="1" x14ac:dyDescent="0.25">
      <c r="A105" s="278" t="str">
        <f>E105&amp;G105</f>
        <v>modesg_out_empr_info_nfincca_trnvr_ttl_elgbl</v>
      </c>
      <c r="B105" s="142" t="s">
        <v>26</v>
      </c>
      <c r="C105" s="138" t="s">
        <v>311</v>
      </c>
      <c r="D105" s="236" t="s">
        <v>40</v>
      </c>
      <c r="E105" s="237" t="s">
        <v>326</v>
      </c>
      <c r="F105" s="237"/>
      <c r="G105" s="236" t="s">
        <v>246</v>
      </c>
      <c r="H105" s="236" t="str">
        <f>VLOOKUP(A105,'2. Status Detalhe Campos'!$A$7:$G$574,7,0)</f>
        <v>2.1 Em Teste</v>
      </c>
      <c r="I105" s="280" t="s">
        <v>38</v>
      </c>
      <c r="J105" s="289">
        <v>45614</v>
      </c>
      <c r="K105" s="289">
        <v>45615</v>
      </c>
      <c r="L105" s="294">
        <f t="array" ref="L105">MIN(IF(W105:CI105&gt;0,$W$16:$CI$16))</f>
        <v>45618</v>
      </c>
      <c r="M105" s="295">
        <f t="array" ref="M105">MAX(IF(W105:CI105&gt;0,$W$16:$CI$16))</f>
        <v>45618</v>
      </c>
      <c r="N105" s="295"/>
      <c r="O105" s="249">
        <f>VLOOKUP(H105,Auxiliar!$B$16:$E$24,4,0)</f>
        <v>0.25</v>
      </c>
      <c r="P105" s="249">
        <f ca="1">IF(TODAY()&lt;=L105,0,MIN((TODAY()-L105)/(M105-L105+1),100%))</f>
        <v>1</v>
      </c>
      <c r="Q105" s="248">
        <f ca="1">O105-P105</f>
        <v>-0.75</v>
      </c>
      <c r="R105" s="266" t="s">
        <v>38</v>
      </c>
      <c r="S105" s="284"/>
      <c r="T105" s="305">
        <v>4</v>
      </c>
      <c r="U105" s="274">
        <f>ROUND(T105/8,1)</f>
        <v>0.5</v>
      </c>
      <c r="V105" s="274">
        <f>SUM(W105:CI105)-U105</f>
        <v>0</v>
      </c>
      <c r="W105" s="285"/>
      <c r="X105" s="285"/>
      <c r="Y105" s="285"/>
      <c r="Z105" s="285"/>
      <c r="AA105" s="285"/>
      <c r="AB105" s="285"/>
      <c r="AC105" s="285"/>
      <c r="AD105" s="286"/>
      <c r="AE105" s="285"/>
      <c r="AF105" s="285"/>
      <c r="AG105" s="285"/>
      <c r="AH105" s="285"/>
      <c r="AI105" s="285"/>
      <c r="AJ105" s="285"/>
      <c r="AK105" s="285"/>
      <c r="AL105" s="285"/>
      <c r="AM105" s="285"/>
      <c r="AN105" s="285"/>
      <c r="AO105" s="287"/>
      <c r="AP105" s="292"/>
      <c r="AQ105" s="285"/>
      <c r="AR105" s="285"/>
      <c r="AS105" s="285">
        <v>0.5</v>
      </c>
      <c r="AT105" s="285"/>
      <c r="AU105" s="285"/>
      <c r="AV105" s="285"/>
      <c r="AW105" s="285"/>
      <c r="AX105" s="285"/>
      <c r="AY105" s="285"/>
      <c r="AZ105" s="285"/>
      <c r="BA105" s="285"/>
      <c r="BB105" s="285"/>
      <c r="BC105" s="285"/>
      <c r="BD105" s="285"/>
      <c r="BE105" s="285"/>
      <c r="BF105" s="285"/>
      <c r="BG105" s="285"/>
      <c r="BH105" s="285"/>
      <c r="BI105" s="285"/>
      <c r="BJ105" s="285"/>
      <c r="BK105" s="285"/>
      <c r="BL105" s="285"/>
      <c r="BM105" s="285"/>
      <c r="BN105" s="285"/>
      <c r="BO105" s="286"/>
      <c r="BP105" s="286"/>
      <c r="BQ105" s="286"/>
      <c r="BR105" s="286"/>
      <c r="BS105" s="286"/>
      <c r="BT105" s="286"/>
      <c r="BU105" s="286"/>
      <c r="BV105" s="285"/>
      <c r="BW105" s="285"/>
      <c r="BX105" s="285"/>
      <c r="BY105" s="285"/>
      <c r="BZ105" s="285"/>
      <c r="CA105" s="285"/>
      <c r="CB105" s="285"/>
      <c r="CC105" s="285"/>
      <c r="CD105" s="285"/>
      <c r="CE105" s="285"/>
      <c r="CF105" s="285"/>
      <c r="CG105" s="285"/>
      <c r="CH105" s="285"/>
      <c r="CI105" s="285"/>
    </row>
    <row r="106" spans="1:87" ht="16.2" hidden="1" outlineLevel="1" x14ac:dyDescent="0.25">
      <c r="A106" s="278" t="str">
        <f>E106&amp;G106</f>
        <v>modesg_out_empr_info_nfincca_turnover_own_prfrmnce_algnd</v>
      </c>
      <c r="B106" s="142" t="s">
        <v>26</v>
      </c>
      <c r="C106" s="138" t="s">
        <v>311</v>
      </c>
      <c r="D106" s="236" t="s">
        <v>40</v>
      </c>
      <c r="E106" s="237" t="s">
        <v>326</v>
      </c>
      <c r="F106" s="237"/>
      <c r="G106" s="236" t="s">
        <v>248</v>
      </c>
      <c r="H106" s="236" t="str">
        <f>VLOOKUP(A106,'2. Status Detalhe Campos'!$A$7:$G$574,7,0)</f>
        <v>2.1 Em Teste</v>
      </c>
      <c r="I106" s="280" t="s">
        <v>38</v>
      </c>
      <c r="J106" s="289">
        <v>45614</v>
      </c>
      <c r="K106" s="289">
        <v>45615</v>
      </c>
      <c r="L106" s="294">
        <f t="array" ref="L106">MIN(IF(W106:CI106&gt;0,$W$16:$CI$16))</f>
        <v>45621</v>
      </c>
      <c r="M106" s="295">
        <f t="array" ref="M106">MAX(IF(W106:CI106&gt;0,$W$16:$CI$16))</f>
        <v>45621</v>
      </c>
      <c r="N106" s="295"/>
      <c r="O106" s="249">
        <f>VLOOKUP(H106,Auxiliar!$B$16:$E$24,4,0)</f>
        <v>0.25</v>
      </c>
      <c r="P106" s="249">
        <f ca="1">IF(TODAY()&lt;=L106,0,MIN((TODAY()-L106)/(M106-L106+1),100%))</f>
        <v>1</v>
      </c>
      <c r="Q106" s="248">
        <f ca="1">O106-P106</f>
        <v>-0.75</v>
      </c>
      <c r="R106" s="266" t="s">
        <v>38</v>
      </c>
      <c r="S106" s="284"/>
      <c r="T106" s="305">
        <v>4</v>
      </c>
      <c r="U106" s="274">
        <f>ROUND(T106/8,1)</f>
        <v>0.5</v>
      </c>
      <c r="V106" s="274">
        <f>SUM(W106:CI106)-U106</f>
        <v>0</v>
      </c>
      <c r="W106" s="285"/>
      <c r="X106" s="285"/>
      <c r="Y106" s="285"/>
      <c r="Z106" s="285"/>
      <c r="AA106" s="285"/>
      <c r="AB106" s="285"/>
      <c r="AC106" s="285"/>
      <c r="AD106" s="286"/>
      <c r="AE106" s="285"/>
      <c r="AF106" s="285"/>
      <c r="AG106" s="285"/>
      <c r="AH106" s="285"/>
      <c r="AI106" s="285"/>
      <c r="AJ106" s="285"/>
      <c r="AK106" s="285"/>
      <c r="AL106" s="285"/>
      <c r="AM106" s="285"/>
      <c r="AN106" s="285"/>
      <c r="AO106" s="287"/>
      <c r="AP106" s="292"/>
      <c r="AQ106" s="285"/>
      <c r="AR106" s="285"/>
      <c r="AS106" s="285"/>
      <c r="AT106" s="285">
        <v>0.5</v>
      </c>
      <c r="AU106" s="285"/>
      <c r="AV106" s="285"/>
      <c r="AW106" s="285"/>
      <c r="AX106" s="285"/>
      <c r="AY106" s="285"/>
      <c r="AZ106" s="285"/>
      <c r="BA106" s="285"/>
      <c r="BB106" s="285"/>
      <c r="BC106" s="285"/>
      <c r="BD106" s="285"/>
      <c r="BE106" s="285"/>
      <c r="BF106" s="285"/>
      <c r="BG106" s="285"/>
      <c r="BH106" s="285"/>
      <c r="BI106" s="285"/>
      <c r="BJ106" s="285"/>
      <c r="BK106" s="285"/>
      <c r="BL106" s="285"/>
      <c r="BM106" s="285"/>
      <c r="BN106" s="285"/>
      <c r="BO106" s="286"/>
      <c r="BP106" s="286"/>
      <c r="BQ106" s="286"/>
      <c r="BR106" s="286"/>
      <c r="BS106" s="286"/>
      <c r="BT106" s="286"/>
      <c r="BU106" s="286"/>
      <c r="BV106" s="285"/>
      <c r="BW106" s="285"/>
      <c r="BX106" s="285"/>
      <c r="BY106" s="285"/>
      <c r="BZ106" s="285"/>
      <c r="CA106" s="285"/>
      <c r="CB106" s="285"/>
      <c r="CC106" s="285"/>
      <c r="CD106" s="285"/>
      <c r="CE106" s="285"/>
      <c r="CF106" s="285"/>
      <c r="CG106" s="285"/>
      <c r="CH106" s="285"/>
      <c r="CI106" s="285"/>
    </row>
    <row r="107" spans="1:87" ht="16.2" hidden="1" outlineLevel="1" x14ac:dyDescent="0.25">
      <c r="A107" s="278" t="str">
        <f>E107&amp;G107</f>
        <v>modesg_out_empr_info_nfinccm_capex_enblng_algnd</v>
      </c>
      <c r="B107" s="142" t="s">
        <v>26</v>
      </c>
      <c r="C107" s="138" t="s">
        <v>311</v>
      </c>
      <c r="D107" s="236" t="s">
        <v>40</v>
      </c>
      <c r="E107" s="237" t="s">
        <v>326</v>
      </c>
      <c r="F107" s="237"/>
      <c r="G107" s="236" t="s">
        <v>257</v>
      </c>
      <c r="H107" s="236" t="str">
        <f>VLOOKUP(A107,'2. Status Detalhe Campos'!$A$7:$G$574,7,0)</f>
        <v>2.1 Em Teste</v>
      </c>
      <c r="I107" s="280" t="s">
        <v>38</v>
      </c>
      <c r="J107" s="289">
        <v>45614</v>
      </c>
      <c r="K107" s="289">
        <v>45615</v>
      </c>
      <c r="L107" s="294">
        <f t="array" ref="L107">MIN(IF(W107:CI107&gt;0,$W$16:$CI$16))</f>
        <v>45621</v>
      </c>
      <c r="M107" s="295">
        <f t="array" ref="M107">MAX(IF(W107:CI107&gt;0,$W$16:$CI$16))</f>
        <v>45621</v>
      </c>
      <c r="N107" s="295"/>
      <c r="O107" s="249">
        <f>VLOOKUP(H107,Auxiliar!$B$16:$E$24,4,0)</f>
        <v>0.25</v>
      </c>
      <c r="P107" s="249">
        <f ca="1">IF(TODAY()&lt;=L107,0,MIN((TODAY()-L107)/(M107-L107+1),100%))</f>
        <v>1</v>
      </c>
      <c r="Q107" s="248">
        <f ca="1">O107-P107</f>
        <v>-0.75</v>
      </c>
      <c r="R107" s="266" t="s">
        <v>38</v>
      </c>
      <c r="S107" s="284"/>
      <c r="T107" s="305">
        <v>4</v>
      </c>
      <c r="U107" s="274">
        <f>ROUND(T107/8,1)</f>
        <v>0.5</v>
      </c>
      <c r="V107" s="274">
        <f>SUM(W107:CI107)-U107</f>
        <v>0</v>
      </c>
      <c r="W107" s="285"/>
      <c r="X107" s="285"/>
      <c r="Y107" s="285"/>
      <c r="Z107" s="285"/>
      <c r="AA107" s="285"/>
      <c r="AB107" s="285"/>
      <c r="AC107" s="285"/>
      <c r="AD107" s="286"/>
      <c r="AE107" s="285"/>
      <c r="AF107" s="285"/>
      <c r="AG107" s="285"/>
      <c r="AH107" s="285"/>
      <c r="AI107" s="285"/>
      <c r="AJ107" s="285"/>
      <c r="AK107" s="285"/>
      <c r="AL107" s="285"/>
      <c r="AM107" s="285"/>
      <c r="AN107" s="285"/>
      <c r="AO107" s="287"/>
      <c r="AP107" s="292"/>
      <c r="AQ107" s="285"/>
      <c r="AR107" s="285"/>
      <c r="AS107" s="285"/>
      <c r="AT107" s="285">
        <v>0.5</v>
      </c>
      <c r="AU107" s="285"/>
      <c r="AV107" s="285"/>
      <c r="AW107" s="285"/>
      <c r="AX107" s="285"/>
      <c r="AY107" s="285"/>
      <c r="AZ107" s="285"/>
      <c r="BA107" s="285"/>
      <c r="BB107" s="285"/>
      <c r="BC107" s="285"/>
      <c r="BD107" s="285"/>
      <c r="BE107" s="285"/>
      <c r="BF107" s="285"/>
      <c r="BG107" s="285"/>
      <c r="BH107" s="285"/>
      <c r="BI107" s="285"/>
      <c r="BJ107" s="285"/>
      <c r="BK107" s="285"/>
      <c r="BL107" s="285"/>
      <c r="BM107" s="285"/>
      <c r="BN107" s="285"/>
      <c r="BO107" s="286"/>
      <c r="BP107" s="286"/>
      <c r="BQ107" s="286"/>
      <c r="BR107" s="286"/>
      <c r="BS107" s="286"/>
      <c r="BT107" s="286"/>
      <c r="BU107" s="286"/>
      <c r="BV107" s="285"/>
      <c r="BW107" s="285"/>
      <c r="BX107" s="285"/>
      <c r="BY107" s="285"/>
      <c r="BZ107" s="285"/>
      <c r="CA107" s="285"/>
      <c r="CB107" s="285"/>
      <c r="CC107" s="285"/>
      <c r="CD107" s="285"/>
      <c r="CE107" s="285"/>
      <c r="CF107" s="285"/>
      <c r="CG107" s="285"/>
      <c r="CH107" s="285"/>
      <c r="CI107" s="285"/>
    </row>
    <row r="108" spans="1:87" ht="16.2" hidden="1" outlineLevel="1" x14ac:dyDescent="0.25">
      <c r="A108" s="278" t="str">
        <f>E108&amp;G108</f>
        <v>modesg_out_empr_info_nfinccm_capex_own_prfrmnce_algnd</v>
      </c>
      <c r="B108" s="142" t="s">
        <v>26</v>
      </c>
      <c r="C108" s="138" t="s">
        <v>311</v>
      </c>
      <c r="D108" s="236" t="s">
        <v>40</v>
      </c>
      <c r="E108" s="237" t="s">
        <v>326</v>
      </c>
      <c r="F108" s="237"/>
      <c r="G108" s="236" t="s">
        <v>259</v>
      </c>
      <c r="H108" s="236" t="str">
        <f>VLOOKUP(A108,'2. Status Detalhe Campos'!$A$7:$G$574,7,0)</f>
        <v>2.1 Em Teste</v>
      </c>
      <c r="I108" s="280" t="s">
        <v>38</v>
      </c>
      <c r="J108" s="289">
        <v>45614</v>
      </c>
      <c r="K108" s="289">
        <v>45615</v>
      </c>
      <c r="L108" s="294">
        <f t="array" ref="L108">MIN(IF(W108:CI108&gt;0,$W$16:$CI$16))</f>
        <v>45622</v>
      </c>
      <c r="M108" s="295">
        <f t="array" ref="M108">MAX(IF(W108:CI108&gt;0,$W$16:$CI$16))</f>
        <v>45622</v>
      </c>
      <c r="N108" s="295"/>
      <c r="O108" s="249">
        <f>VLOOKUP(H108,Auxiliar!$B$16:$E$24,4,0)</f>
        <v>0.25</v>
      </c>
      <c r="P108" s="249">
        <f ca="1">IF(TODAY()&lt;=L108,0,MIN((TODAY()-L108)/(M108-L108+1),100%))</f>
        <v>1</v>
      </c>
      <c r="Q108" s="248">
        <f ca="1">O108-P108</f>
        <v>-0.75</v>
      </c>
      <c r="R108" s="266" t="s">
        <v>38</v>
      </c>
      <c r="S108" s="284"/>
      <c r="T108" s="305">
        <v>4</v>
      </c>
      <c r="U108" s="274">
        <f>ROUND(T108/8,1)</f>
        <v>0.5</v>
      </c>
      <c r="V108" s="274">
        <f>SUM(W108:CI108)-U108</f>
        <v>0</v>
      </c>
      <c r="W108" s="285"/>
      <c r="X108" s="285"/>
      <c r="Y108" s="285"/>
      <c r="Z108" s="285"/>
      <c r="AA108" s="285"/>
      <c r="AB108" s="285"/>
      <c r="AC108" s="285"/>
      <c r="AD108" s="286"/>
      <c r="AE108" s="285"/>
      <c r="AF108" s="285"/>
      <c r="AG108" s="285"/>
      <c r="AH108" s="285"/>
      <c r="AI108" s="285"/>
      <c r="AJ108" s="285"/>
      <c r="AK108" s="285"/>
      <c r="AL108" s="285"/>
      <c r="AM108" s="285"/>
      <c r="AN108" s="285"/>
      <c r="AO108" s="287"/>
      <c r="AP108" s="292"/>
      <c r="AQ108" s="285"/>
      <c r="AR108" s="285"/>
      <c r="AS108" s="285"/>
      <c r="AT108" s="285"/>
      <c r="AU108" s="285">
        <v>0.5</v>
      </c>
      <c r="AV108" s="285"/>
      <c r="AW108" s="285"/>
      <c r="AX108" s="285"/>
      <c r="AY108" s="285"/>
      <c r="AZ108" s="285"/>
      <c r="BA108" s="285"/>
      <c r="BB108" s="285"/>
      <c r="BC108" s="285"/>
      <c r="BD108" s="285"/>
      <c r="BE108" s="285"/>
      <c r="BF108" s="285"/>
      <c r="BG108" s="285"/>
      <c r="BH108" s="285"/>
      <c r="BI108" s="285"/>
      <c r="BJ108" s="285"/>
      <c r="BK108" s="285"/>
      <c r="BL108" s="285"/>
      <c r="BM108" s="285"/>
      <c r="BN108" s="285"/>
      <c r="BO108" s="286"/>
      <c r="BP108" s="286"/>
      <c r="BQ108" s="286"/>
      <c r="BR108" s="286"/>
      <c r="BS108" s="286"/>
      <c r="BT108" s="286"/>
      <c r="BU108" s="286"/>
      <c r="BV108" s="285"/>
      <c r="BW108" s="285"/>
      <c r="BX108" s="285"/>
      <c r="BY108" s="285"/>
      <c r="BZ108" s="285"/>
      <c r="CA108" s="285"/>
      <c r="CB108" s="285"/>
      <c r="CC108" s="285"/>
      <c r="CD108" s="285"/>
      <c r="CE108" s="285"/>
      <c r="CF108" s="285"/>
      <c r="CG108" s="285"/>
      <c r="CH108" s="285"/>
      <c r="CI108" s="285"/>
    </row>
    <row r="109" spans="1:87" ht="16.2" hidden="1" outlineLevel="1" x14ac:dyDescent="0.25">
      <c r="A109" s="278" t="str">
        <f>E109&amp;G109</f>
        <v>modesg_out_empr_info_nfinccm_capex_trnstn_algnd</v>
      </c>
      <c r="B109" s="142" t="s">
        <v>26</v>
      </c>
      <c r="C109" s="138" t="s">
        <v>311</v>
      </c>
      <c r="D109" s="236" t="s">
        <v>40</v>
      </c>
      <c r="E109" s="237" t="s">
        <v>326</v>
      </c>
      <c r="F109" s="237"/>
      <c r="G109" s="236" t="s">
        <v>258</v>
      </c>
      <c r="H109" s="236" t="str">
        <f>VLOOKUP(A109,'2. Status Detalhe Campos'!$A$7:$G$574,7,0)</f>
        <v>2.1 Em Teste</v>
      </c>
      <c r="I109" s="280" t="s">
        <v>38</v>
      </c>
      <c r="J109" s="289">
        <v>45614</v>
      </c>
      <c r="K109" s="289">
        <v>45615</v>
      </c>
      <c r="L109" s="294">
        <f t="array" ref="L109">MIN(IF(W109:CI109&gt;0,$W$16:$CI$16))</f>
        <v>45622</v>
      </c>
      <c r="M109" s="295">
        <f t="array" ref="M109">MAX(IF(W109:CI109&gt;0,$W$16:$CI$16))</f>
        <v>45622</v>
      </c>
      <c r="N109" s="295"/>
      <c r="O109" s="249">
        <f>VLOOKUP(H109,Auxiliar!$B$16:$E$24,4,0)</f>
        <v>0.25</v>
      </c>
      <c r="P109" s="249">
        <f ca="1">IF(TODAY()&lt;=L109,0,MIN((TODAY()-L109)/(M109-L109+1),100%))</f>
        <v>1</v>
      </c>
      <c r="Q109" s="248">
        <f ca="1">O109-P109</f>
        <v>-0.75</v>
      </c>
      <c r="R109" s="266" t="s">
        <v>38</v>
      </c>
      <c r="S109" s="284"/>
      <c r="T109" s="305">
        <v>4</v>
      </c>
      <c r="U109" s="274">
        <f>ROUND(T109/8,1)</f>
        <v>0.5</v>
      </c>
      <c r="V109" s="274">
        <f>SUM(W109:CI109)-U109</f>
        <v>0</v>
      </c>
      <c r="W109" s="285"/>
      <c r="X109" s="285"/>
      <c r="Y109" s="285"/>
      <c r="Z109" s="285"/>
      <c r="AA109" s="285"/>
      <c r="AB109" s="285"/>
      <c r="AC109" s="285"/>
      <c r="AD109" s="286"/>
      <c r="AE109" s="285"/>
      <c r="AF109" s="285"/>
      <c r="AG109" s="285"/>
      <c r="AH109" s="285"/>
      <c r="AI109" s="285"/>
      <c r="AJ109" s="285"/>
      <c r="AK109" s="285"/>
      <c r="AL109" s="285"/>
      <c r="AM109" s="285"/>
      <c r="AN109" s="285"/>
      <c r="AO109" s="287"/>
      <c r="AP109" s="292"/>
      <c r="AQ109" s="285"/>
      <c r="AR109" s="285"/>
      <c r="AS109" s="285"/>
      <c r="AT109" s="285"/>
      <c r="AU109" s="285">
        <v>0.5</v>
      </c>
      <c r="AV109" s="285"/>
      <c r="AW109" s="285"/>
      <c r="AX109" s="285"/>
      <c r="AY109" s="285"/>
      <c r="AZ109" s="285"/>
      <c r="BA109" s="285"/>
      <c r="BB109" s="285"/>
      <c r="BC109" s="285"/>
      <c r="BD109" s="285"/>
      <c r="BE109" s="285"/>
      <c r="BF109" s="285"/>
      <c r="BG109" s="285"/>
      <c r="BH109" s="285"/>
      <c r="BI109" s="285"/>
      <c r="BJ109" s="285"/>
      <c r="BK109" s="285"/>
      <c r="BL109" s="285"/>
      <c r="BM109" s="285"/>
      <c r="BN109" s="285"/>
      <c r="BO109" s="286"/>
      <c r="BP109" s="286"/>
      <c r="BQ109" s="286"/>
      <c r="BR109" s="286"/>
      <c r="BS109" s="286"/>
      <c r="BT109" s="286"/>
      <c r="BU109" s="286"/>
      <c r="BV109" s="285"/>
      <c r="BW109" s="285"/>
      <c r="BX109" s="285"/>
      <c r="BY109" s="285"/>
      <c r="BZ109" s="285"/>
      <c r="CA109" s="285"/>
      <c r="CB109" s="285"/>
      <c r="CC109" s="285"/>
      <c r="CD109" s="285"/>
      <c r="CE109" s="285"/>
      <c r="CF109" s="285"/>
      <c r="CG109" s="285"/>
      <c r="CH109" s="285"/>
      <c r="CI109" s="285"/>
    </row>
    <row r="110" spans="1:87" ht="16.2" hidden="1" outlineLevel="1" x14ac:dyDescent="0.25">
      <c r="A110" s="278" t="str">
        <f>E110&amp;G110</f>
        <v>modesg_out_empr_info_nfinccm_capex_ttl_elgbl</v>
      </c>
      <c r="B110" s="142" t="s">
        <v>26</v>
      </c>
      <c r="C110" s="138" t="s">
        <v>311</v>
      </c>
      <c r="D110" s="236" t="s">
        <v>40</v>
      </c>
      <c r="E110" s="237" t="s">
        <v>326</v>
      </c>
      <c r="F110" s="237"/>
      <c r="G110" s="236" t="s">
        <v>256</v>
      </c>
      <c r="H110" s="236" t="str">
        <f>VLOOKUP(A110,'2. Status Detalhe Campos'!$A$7:$G$574,7,0)</f>
        <v>2.1 Em Teste</v>
      </c>
      <c r="I110" s="280" t="s">
        <v>38</v>
      </c>
      <c r="J110" s="289">
        <v>45614</v>
      </c>
      <c r="K110" s="289">
        <v>45615</v>
      </c>
      <c r="L110" s="294">
        <f t="array" ref="L110">MIN(IF(W110:CI110&gt;0,$W$16:$CI$16))</f>
        <v>45623</v>
      </c>
      <c r="M110" s="295">
        <f t="array" ref="M110">MAX(IF(W110:CI110&gt;0,$W$16:$CI$16))</f>
        <v>45623</v>
      </c>
      <c r="N110" s="295"/>
      <c r="O110" s="249">
        <f>VLOOKUP(H110,Auxiliar!$B$16:$E$24,4,0)</f>
        <v>0.25</v>
      </c>
      <c r="P110" s="249">
        <f ca="1">IF(TODAY()&lt;=L110,0,MIN((TODAY()-L110)/(M110-L110+1),100%))</f>
        <v>1</v>
      </c>
      <c r="Q110" s="248">
        <f ca="1">O110-P110</f>
        <v>-0.75</v>
      </c>
      <c r="R110" s="266" t="s">
        <v>38</v>
      </c>
      <c r="S110" s="284"/>
      <c r="T110" s="305">
        <v>4</v>
      </c>
      <c r="U110" s="274">
        <f>ROUND(T110/8,1)</f>
        <v>0.5</v>
      </c>
      <c r="V110" s="274">
        <f>SUM(W110:CI110)-U110</f>
        <v>0</v>
      </c>
      <c r="W110" s="285"/>
      <c r="X110" s="285"/>
      <c r="Y110" s="285"/>
      <c r="Z110" s="285"/>
      <c r="AA110" s="285"/>
      <c r="AB110" s="285"/>
      <c r="AC110" s="285"/>
      <c r="AD110" s="286"/>
      <c r="AE110" s="285"/>
      <c r="AF110" s="285"/>
      <c r="AG110" s="285"/>
      <c r="AH110" s="285"/>
      <c r="AI110" s="285"/>
      <c r="AJ110" s="285"/>
      <c r="AK110" s="285"/>
      <c r="AL110" s="285"/>
      <c r="AM110" s="285"/>
      <c r="AN110" s="285"/>
      <c r="AO110" s="287"/>
      <c r="AP110" s="292"/>
      <c r="AQ110" s="285"/>
      <c r="AR110" s="285"/>
      <c r="AS110" s="285"/>
      <c r="AT110" s="285"/>
      <c r="AU110" s="285"/>
      <c r="AV110" s="285">
        <v>0.5</v>
      </c>
      <c r="AW110" s="285"/>
      <c r="AX110" s="285"/>
      <c r="AY110" s="285"/>
      <c r="AZ110" s="285"/>
      <c r="BA110" s="285"/>
      <c r="BB110" s="285"/>
      <c r="BC110" s="285"/>
      <c r="BD110" s="285"/>
      <c r="BE110" s="285"/>
      <c r="BF110" s="285"/>
      <c r="BG110" s="285"/>
      <c r="BH110" s="285"/>
      <c r="BI110" s="285"/>
      <c r="BJ110" s="285"/>
      <c r="BK110" s="285"/>
      <c r="BL110" s="285"/>
      <c r="BM110" s="285"/>
      <c r="BN110" s="285"/>
      <c r="BO110" s="286"/>
      <c r="BP110" s="286"/>
      <c r="BQ110" s="286"/>
      <c r="BR110" s="286"/>
      <c r="BS110" s="286"/>
      <c r="BT110" s="286"/>
      <c r="BU110" s="286"/>
      <c r="BV110" s="285"/>
      <c r="BW110" s="285"/>
      <c r="BX110" s="285"/>
      <c r="BY110" s="285"/>
      <c r="BZ110" s="285"/>
      <c r="CA110" s="285"/>
      <c r="CB110" s="285"/>
      <c r="CC110" s="285"/>
      <c r="CD110" s="285"/>
      <c r="CE110" s="285"/>
      <c r="CF110" s="285"/>
      <c r="CG110" s="285"/>
      <c r="CH110" s="285"/>
      <c r="CI110" s="285"/>
    </row>
    <row r="111" spans="1:87" ht="16.2" hidden="1" outlineLevel="1" x14ac:dyDescent="0.25">
      <c r="A111" s="278" t="str">
        <f>E111&amp;G111</f>
        <v>modesg_out_empr_info_nfinccm_trnvr_enblng_algnd</v>
      </c>
      <c r="B111" s="142" t="s">
        <v>26</v>
      </c>
      <c r="C111" s="138" t="s">
        <v>311</v>
      </c>
      <c r="D111" s="236" t="s">
        <v>40</v>
      </c>
      <c r="E111" s="237" t="s">
        <v>326</v>
      </c>
      <c r="F111" s="237"/>
      <c r="G111" s="236" t="s">
        <v>253</v>
      </c>
      <c r="H111" s="236" t="str">
        <f>VLOOKUP(A111,'2. Status Detalhe Campos'!$A$7:$G$574,7,0)</f>
        <v>2.1 Em Teste</v>
      </c>
      <c r="I111" s="280" t="s">
        <v>38</v>
      </c>
      <c r="J111" s="289">
        <v>45614</v>
      </c>
      <c r="K111" s="289">
        <v>45615</v>
      </c>
      <c r="L111" s="294">
        <f t="array" ref="L111">MIN(IF(W111:CI111&gt;0,$W$16:$CI$16))</f>
        <v>45623</v>
      </c>
      <c r="M111" s="295">
        <f t="array" ref="M111">MAX(IF(W111:CI111&gt;0,$W$16:$CI$16))</f>
        <v>45623</v>
      </c>
      <c r="N111" s="295"/>
      <c r="O111" s="249">
        <f>VLOOKUP(H111,Auxiliar!$B$16:$E$24,4,0)</f>
        <v>0.25</v>
      </c>
      <c r="P111" s="249">
        <f ca="1">IF(TODAY()&lt;=L111,0,MIN((TODAY()-L111)/(M111-L111+1),100%))</f>
        <v>1</v>
      </c>
      <c r="Q111" s="248">
        <f ca="1">O111-P111</f>
        <v>-0.75</v>
      </c>
      <c r="R111" s="266" t="s">
        <v>38</v>
      </c>
      <c r="S111" s="284"/>
      <c r="T111" s="305">
        <v>4</v>
      </c>
      <c r="U111" s="274">
        <f>ROUND(T111/8,1)</f>
        <v>0.5</v>
      </c>
      <c r="V111" s="274">
        <f>SUM(W111:CI111)-U111</f>
        <v>0</v>
      </c>
      <c r="W111" s="285"/>
      <c r="X111" s="285"/>
      <c r="Y111" s="285"/>
      <c r="Z111" s="285"/>
      <c r="AA111" s="285"/>
      <c r="AB111" s="285"/>
      <c r="AC111" s="285"/>
      <c r="AD111" s="286"/>
      <c r="AE111" s="285"/>
      <c r="AF111" s="285"/>
      <c r="AG111" s="285"/>
      <c r="AH111" s="285"/>
      <c r="AI111" s="285"/>
      <c r="AJ111" s="285"/>
      <c r="AK111" s="285"/>
      <c r="AL111" s="285"/>
      <c r="AM111" s="285"/>
      <c r="AN111" s="285"/>
      <c r="AO111" s="287"/>
      <c r="AP111" s="292"/>
      <c r="AQ111" s="285"/>
      <c r="AR111" s="285"/>
      <c r="AS111" s="285"/>
      <c r="AT111" s="285"/>
      <c r="AU111" s="285"/>
      <c r="AV111" s="285">
        <v>0.5</v>
      </c>
      <c r="AW111" s="285"/>
      <c r="AX111" s="285"/>
      <c r="AY111" s="285"/>
      <c r="AZ111" s="285"/>
      <c r="BA111" s="285"/>
      <c r="BB111" s="285"/>
      <c r="BC111" s="285"/>
      <c r="BD111" s="285"/>
      <c r="BE111" s="285"/>
      <c r="BF111" s="285"/>
      <c r="BG111" s="285"/>
      <c r="BH111" s="285"/>
      <c r="BI111" s="285"/>
      <c r="BJ111" s="285"/>
      <c r="BK111" s="285"/>
      <c r="BL111" s="285"/>
      <c r="BM111" s="285"/>
      <c r="BN111" s="285"/>
      <c r="BO111" s="286"/>
      <c r="BP111" s="286"/>
      <c r="BQ111" s="286"/>
      <c r="BR111" s="286"/>
      <c r="BS111" s="286"/>
      <c r="BT111" s="286"/>
      <c r="BU111" s="286"/>
      <c r="BV111" s="285"/>
      <c r="BW111" s="285"/>
      <c r="BX111" s="285"/>
      <c r="BY111" s="285"/>
      <c r="BZ111" s="285"/>
      <c r="CA111" s="285"/>
      <c r="CB111" s="285"/>
      <c r="CC111" s="285"/>
      <c r="CD111" s="285"/>
      <c r="CE111" s="285"/>
      <c r="CF111" s="285"/>
      <c r="CG111" s="285"/>
      <c r="CH111" s="285"/>
      <c r="CI111" s="285"/>
    </row>
    <row r="112" spans="1:87" ht="16.2" hidden="1" outlineLevel="1" x14ac:dyDescent="0.25">
      <c r="A112" s="278" t="str">
        <f>E112&amp;G112</f>
        <v>modesg_out_empr_info_nfinccm_trnvr_own_prfrmnce_algnd</v>
      </c>
      <c r="B112" s="142" t="s">
        <v>26</v>
      </c>
      <c r="C112" s="138" t="s">
        <v>311</v>
      </c>
      <c r="D112" s="236" t="s">
        <v>40</v>
      </c>
      <c r="E112" s="237" t="s">
        <v>326</v>
      </c>
      <c r="F112" s="237"/>
      <c r="G112" s="236" t="s">
        <v>255</v>
      </c>
      <c r="H112" s="236" t="str">
        <f>VLOOKUP(A112,'2. Status Detalhe Campos'!$A$7:$G$574,7,0)</f>
        <v>2.1 Em Teste</v>
      </c>
      <c r="I112" s="280" t="s">
        <v>38</v>
      </c>
      <c r="J112" s="289">
        <v>45614</v>
      </c>
      <c r="K112" s="289">
        <v>45615</v>
      </c>
      <c r="L112" s="294">
        <f t="array" ref="L112">MIN(IF(W112:CI112&gt;0,$W$16:$CI$16))</f>
        <v>45624</v>
      </c>
      <c r="M112" s="295">
        <f t="array" ref="M112">MAX(IF(W112:CI112&gt;0,$W$16:$CI$16))</f>
        <v>45624</v>
      </c>
      <c r="N112" s="295"/>
      <c r="O112" s="249">
        <f>VLOOKUP(H112,Auxiliar!$B$16:$E$24,4,0)</f>
        <v>0.25</v>
      </c>
      <c r="P112" s="249">
        <f ca="1">IF(TODAY()&lt;=L112,0,MIN((TODAY()-L112)/(M112-L112+1),100%))</f>
        <v>1</v>
      </c>
      <c r="Q112" s="248">
        <f ca="1">O112-P112</f>
        <v>-0.75</v>
      </c>
      <c r="R112" s="266" t="s">
        <v>38</v>
      </c>
      <c r="S112" s="284"/>
      <c r="T112" s="305">
        <v>4</v>
      </c>
      <c r="U112" s="274">
        <f>ROUND(T112/8,1)</f>
        <v>0.5</v>
      </c>
      <c r="V112" s="274">
        <f>SUM(W112:CI112)-U112</f>
        <v>0</v>
      </c>
      <c r="W112" s="285"/>
      <c r="X112" s="285"/>
      <c r="Y112" s="285"/>
      <c r="Z112" s="285"/>
      <c r="AA112" s="285"/>
      <c r="AB112" s="285"/>
      <c r="AC112" s="285"/>
      <c r="AD112" s="286"/>
      <c r="AE112" s="285"/>
      <c r="AF112" s="285"/>
      <c r="AG112" s="285"/>
      <c r="AH112" s="285"/>
      <c r="AI112" s="285"/>
      <c r="AJ112" s="285"/>
      <c r="AK112" s="285"/>
      <c r="AL112" s="285"/>
      <c r="AM112" s="285"/>
      <c r="AN112" s="285"/>
      <c r="AO112" s="287"/>
      <c r="AP112" s="292"/>
      <c r="AQ112" s="285"/>
      <c r="AR112" s="285"/>
      <c r="AS112" s="285"/>
      <c r="AT112" s="285"/>
      <c r="AU112" s="285"/>
      <c r="AV112" s="285"/>
      <c r="AW112" s="285">
        <v>0.5</v>
      </c>
      <c r="AX112" s="285"/>
      <c r="AY112" s="285"/>
      <c r="AZ112" s="285"/>
      <c r="BA112" s="285"/>
      <c r="BB112" s="285"/>
      <c r="BC112" s="285"/>
      <c r="BD112" s="285"/>
      <c r="BE112" s="285"/>
      <c r="BF112" s="285"/>
      <c r="BG112" s="285"/>
      <c r="BH112" s="285"/>
      <c r="BI112" s="285"/>
      <c r="BJ112" s="285"/>
      <c r="BK112" s="285"/>
      <c r="BL112" s="285"/>
      <c r="BM112" s="285"/>
      <c r="BN112" s="285"/>
      <c r="BO112" s="286"/>
      <c r="BP112" s="286"/>
      <c r="BQ112" s="286"/>
      <c r="BR112" s="286"/>
      <c r="BS112" s="286"/>
      <c r="BT112" s="286"/>
      <c r="BU112" s="286"/>
      <c r="BV112" s="285"/>
      <c r="BW112" s="285"/>
      <c r="BX112" s="285"/>
      <c r="BY112" s="285"/>
      <c r="BZ112" s="285"/>
      <c r="CA112" s="285"/>
      <c r="CB112" s="285"/>
      <c r="CC112" s="285"/>
      <c r="CD112" s="285"/>
      <c r="CE112" s="285"/>
      <c r="CF112" s="285"/>
      <c r="CG112" s="285"/>
      <c r="CH112" s="285"/>
      <c r="CI112" s="285"/>
    </row>
    <row r="113" spans="1:87" ht="16.2" hidden="1" outlineLevel="1" x14ac:dyDescent="0.25">
      <c r="A113" s="278" t="str">
        <f>E113&amp;G113</f>
        <v>modesg_out_empr_info_nfinccm_trnvr_trnstn_alignd</v>
      </c>
      <c r="B113" s="142" t="s">
        <v>26</v>
      </c>
      <c r="C113" s="138" t="s">
        <v>311</v>
      </c>
      <c r="D113" s="236" t="s">
        <v>40</v>
      </c>
      <c r="E113" s="237" t="s">
        <v>326</v>
      </c>
      <c r="F113" s="237"/>
      <c r="G113" s="236" t="s">
        <v>254</v>
      </c>
      <c r="H113" s="236" t="str">
        <f>VLOOKUP(A113,'2. Status Detalhe Campos'!$A$7:$G$574,7,0)</f>
        <v>2.1 Em Teste</v>
      </c>
      <c r="I113" s="280" t="s">
        <v>38</v>
      </c>
      <c r="J113" s="289">
        <v>45614</v>
      </c>
      <c r="K113" s="289">
        <v>45615</v>
      </c>
      <c r="L113" s="294">
        <f t="array" ref="L113">MIN(IF(W113:CI113&gt;0,$W$16:$CI$16))</f>
        <v>45624</v>
      </c>
      <c r="M113" s="295">
        <f t="array" ref="M113">MAX(IF(W113:CI113&gt;0,$W$16:$CI$16))</f>
        <v>45624</v>
      </c>
      <c r="N113" s="295"/>
      <c r="O113" s="249">
        <f>VLOOKUP(H113,Auxiliar!$B$16:$E$24,4,0)</f>
        <v>0.25</v>
      </c>
      <c r="P113" s="249">
        <f ca="1">IF(TODAY()&lt;=L113,0,MIN((TODAY()-L113)/(M113-L113+1),100%))</f>
        <v>1</v>
      </c>
      <c r="Q113" s="248">
        <f ca="1">O113-P113</f>
        <v>-0.75</v>
      </c>
      <c r="R113" s="266" t="s">
        <v>38</v>
      </c>
      <c r="S113" s="284"/>
      <c r="T113" s="305">
        <v>4</v>
      </c>
      <c r="U113" s="274">
        <f>ROUND(T113/8,1)</f>
        <v>0.5</v>
      </c>
      <c r="V113" s="274">
        <f>SUM(W113:CI113)-U113</f>
        <v>0</v>
      </c>
      <c r="W113" s="285"/>
      <c r="X113" s="285"/>
      <c r="Y113" s="285"/>
      <c r="Z113" s="285"/>
      <c r="AA113" s="285"/>
      <c r="AB113" s="285"/>
      <c r="AC113" s="285"/>
      <c r="AD113" s="286"/>
      <c r="AE113" s="285"/>
      <c r="AF113" s="285"/>
      <c r="AG113" s="285"/>
      <c r="AH113" s="285"/>
      <c r="AI113" s="285"/>
      <c r="AJ113" s="285"/>
      <c r="AK113" s="285"/>
      <c r="AL113" s="285"/>
      <c r="AM113" s="285"/>
      <c r="AN113" s="285"/>
      <c r="AO113" s="287"/>
      <c r="AP113" s="292"/>
      <c r="AQ113" s="285"/>
      <c r="AR113" s="285"/>
      <c r="AS113" s="285"/>
      <c r="AT113" s="285"/>
      <c r="AU113" s="285"/>
      <c r="AV113" s="285"/>
      <c r="AW113" s="285">
        <v>0.5</v>
      </c>
      <c r="AX113" s="285"/>
      <c r="AY113" s="285"/>
      <c r="AZ113" s="285"/>
      <c r="BA113" s="285"/>
      <c r="BB113" s="285"/>
      <c r="BC113" s="285"/>
      <c r="BD113" s="285"/>
      <c r="BE113" s="285"/>
      <c r="BF113" s="285"/>
      <c r="BG113" s="285"/>
      <c r="BH113" s="285"/>
      <c r="BI113" s="285"/>
      <c r="BJ113" s="285"/>
      <c r="BK113" s="285"/>
      <c r="BL113" s="285"/>
      <c r="BM113" s="285"/>
      <c r="BN113" s="285"/>
      <c r="BO113" s="286"/>
      <c r="BP113" s="286"/>
      <c r="BQ113" s="286"/>
      <c r="BR113" s="286"/>
      <c r="BS113" s="286"/>
      <c r="BT113" s="286"/>
      <c r="BU113" s="286"/>
      <c r="BV113" s="285"/>
      <c r="BW113" s="285"/>
      <c r="BX113" s="285"/>
      <c r="BY113" s="285"/>
      <c r="BZ113" s="285"/>
      <c r="CA113" s="285"/>
      <c r="CB113" s="285"/>
      <c r="CC113" s="285"/>
      <c r="CD113" s="285"/>
      <c r="CE113" s="285"/>
      <c r="CF113" s="285"/>
      <c r="CG113" s="285"/>
      <c r="CH113" s="285"/>
      <c r="CI113" s="285"/>
    </row>
    <row r="114" spans="1:87" ht="16.2" hidden="1" outlineLevel="1" x14ac:dyDescent="0.25">
      <c r="A114" s="278" t="str">
        <f>E114&amp;G114</f>
        <v>modesg_out_empr_info_nfinccm_trnvr_ttl_elgbl</v>
      </c>
      <c r="B114" s="142" t="s">
        <v>26</v>
      </c>
      <c r="C114" s="138" t="s">
        <v>311</v>
      </c>
      <c r="D114" s="236" t="s">
        <v>40</v>
      </c>
      <c r="E114" s="237" t="s">
        <v>326</v>
      </c>
      <c r="F114" s="237"/>
      <c r="G114" s="236" t="s">
        <v>252</v>
      </c>
      <c r="H114" s="236" t="str">
        <f>VLOOKUP(A114,'2. Status Detalhe Campos'!$A$7:$G$574,7,0)</f>
        <v>2.1 Em Teste</v>
      </c>
      <c r="I114" s="280" t="s">
        <v>38</v>
      </c>
      <c r="J114" s="289">
        <v>45614</v>
      </c>
      <c r="K114" s="289">
        <v>45615</v>
      </c>
      <c r="L114" s="294">
        <f t="array" ref="L114">MIN(IF(W114:CI114&gt;0,$W$16:$CI$16))</f>
        <v>45625</v>
      </c>
      <c r="M114" s="295">
        <f t="array" ref="M114">MAX(IF(W114:CI114&gt;0,$W$16:$CI$16))</f>
        <v>45625</v>
      </c>
      <c r="N114" s="295"/>
      <c r="O114" s="249">
        <f>VLOOKUP(H114,Auxiliar!$B$16:$E$24,4,0)</f>
        <v>0.25</v>
      </c>
      <c r="P114" s="249">
        <f ca="1">IF(TODAY()&lt;=L114,0,MIN((TODAY()-L114)/(M114-L114+1),100%))</f>
        <v>0</v>
      </c>
      <c r="Q114" s="248">
        <f ca="1">O114-P114</f>
        <v>0.25</v>
      </c>
      <c r="R114" s="266" t="s">
        <v>38</v>
      </c>
      <c r="S114" s="284"/>
      <c r="T114" s="305">
        <v>4</v>
      </c>
      <c r="U114" s="274">
        <f>ROUND(T114/8,1)</f>
        <v>0.5</v>
      </c>
      <c r="V114" s="274">
        <f>SUM(W114:CI114)-U114</f>
        <v>0</v>
      </c>
      <c r="W114" s="285"/>
      <c r="X114" s="285"/>
      <c r="Y114" s="285"/>
      <c r="Z114" s="285"/>
      <c r="AA114" s="285"/>
      <c r="AB114" s="285"/>
      <c r="AC114" s="285"/>
      <c r="AD114" s="286"/>
      <c r="AE114" s="285"/>
      <c r="AF114" s="285"/>
      <c r="AG114" s="285"/>
      <c r="AH114" s="285"/>
      <c r="AI114" s="285"/>
      <c r="AJ114" s="285"/>
      <c r="AK114" s="285"/>
      <c r="AL114" s="285"/>
      <c r="AM114" s="285"/>
      <c r="AN114" s="285"/>
      <c r="AO114" s="287"/>
      <c r="AP114" s="292"/>
      <c r="AQ114" s="285"/>
      <c r="AR114" s="285"/>
      <c r="AS114" s="285"/>
      <c r="AT114" s="285"/>
      <c r="AU114" s="285"/>
      <c r="AV114" s="285"/>
      <c r="AW114" s="285"/>
      <c r="AX114" s="285">
        <v>0.5</v>
      </c>
      <c r="AY114" s="285"/>
      <c r="AZ114" s="285"/>
      <c r="BA114" s="285"/>
      <c r="BB114" s="285"/>
      <c r="BC114" s="285"/>
      <c r="BD114" s="285"/>
      <c r="BE114" s="285"/>
      <c r="BF114" s="285"/>
      <c r="BG114" s="285"/>
      <c r="BH114" s="285"/>
      <c r="BI114" s="285"/>
      <c r="BJ114" s="285"/>
      <c r="BK114" s="285"/>
      <c r="BL114" s="285"/>
      <c r="BM114" s="285"/>
      <c r="BN114" s="285"/>
      <c r="BO114" s="286"/>
      <c r="BP114" s="286"/>
      <c r="BQ114" s="286"/>
      <c r="BR114" s="286"/>
      <c r="BS114" s="286"/>
      <c r="BT114" s="286"/>
      <c r="BU114" s="286"/>
      <c r="BV114" s="285"/>
      <c r="BW114" s="285"/>
      <c r="BX114" s="285"/>
      <c r="BY114" s="285"/>
      <c r="BZ114" s="285"/>
      <c r="CA114" s="285"/>
      <c r="CB114" s="285"/>
      <c r="CC114" s="285"/>
      <c r="CD114" s="285"/>
      <c r="CE114" s="285"/>
      <c r="CF114" s="285"/>
      <c r="CG114" s="285"/>
      <c r="CH114" s="285"/>
      <c r="CI114" s="285"/>
    </row>
    <row r="115" spans="1:87" ht="15" customHeight="1" collapsed="1" x14ac:dyDescent="0.25">
      <c r="A115" s="278"/>
      <c r="B115" s="142" t="s">
        <v>26</v>
      </c>
      <c r="C115" s="138" t="s">
        <v>26</v>
      </c>
      <c r="D115" s="134"/>
      <c r="E115" s="242" t="s">
        <v>336</v>
      </c>
      <c r="F115" s="240" t="s">
        <v>2002</v>
      </c>
      <c r="G115" s="241">
        <f>COUNTA(G116)</f>
        <v>1</v>
      </c>
      <c r="H115" s="279" t="s">
        <v>2023</v>
      </c>
      <c r="I115" s="282">
        <f>MAX(I116)</f>
        <v>45590</v>
      </c>
      <c r="J115" s="281">
        <f>MIN(J116)</f>
        <v>45624</v>
      </c>
      <c r="K115" s="280"/>
      <c r="L115" s="281">
        <f>MIN(L116)</f>
        <v>45631</v>
      </c>
      <c r="M115" s="282">
        <f>MAX(M116)</f>
        <v>45631</v>
      </c>
      <c r="N115" s="332">
        <f t="array" ref="N115">MAX(IF(W115:CI115&gt;0,$W$16:$CI$16))</f>
        <v>45632</v>
      </c>
      <c r="O115" s="324">
        <f>O116</f>
        <v>0</v>
      </c>
      <c r="P115" s="324">
        <f ca="1">P116</f>
        <v>0</v>
      </c>
      <c r="Q115" s="248">
        <f ca="1">O115-P115</f>
        <v>0</v>
      </c>
      <c r="R115" s="266" t="s">
        <v>38</v>
      </c>
      <c r="S115" s="284"/>
      <c r="T115" s="274"/>
      <c r="U115" s="274"/>
      <c r="V115" s="274"/>
      <c r="W115" s="285"/>
      <c r="X115" s="285"/>
      <c r="Y115" s="285"/>
      <c r="Z115" s="285"/>
      <c r="AA115" s="285"/>
      <c r="AB115" s="285"/>
      <c r="AC115" s="285"/>
      <c r="AD115" s="286"/>
      <c r="AE115" s="285"/>
      <c r="AF115" s="285"/>
      <c r="AG115" s="285"/>
      <c r="AH115" s="285"/>
      <c r="AI115" s="285"/>
      <c r="AJ115" s="285"/>
      <c r="AK115" s="285"/>
      <c r="AL115" s="285"/>
      <c r="AM115" s="285"/>
      <c r="AN115" s="285"/>
      <c r="AO115" s="285"/>
      <c r="AP115" s="285"/>
      <c r="AQ115" s="285"/>
      <c r="AR115" s="285"/>
      <c r="AS115" s="285"/>
      <c r="AT115" s="285"/>
      <c r="AU115" s="285"/>
      <c r="AV115" s="285"/>
      <c r="AW115" s="287"/>
      <c r="AX115" s="285"/>
      <c r="AY115" s="285"/>
      <c r="AZ115" s="285"/>
      <c r="BA115" s="285"/>
      <c r="BB115" s="285"/>
      <c r="BC115" s="288" t="s">
        <v>444</v>
      </c>
      <c r="BD115" s="285"/>
      <c r="BE115" s="285"/>
      <c r="BF115" s="285"/>
      <c r="BG115" s="285"/>
      <c r="BH115" s="285"/>
      <c r="BI115" s="285"/>
      <c r="BJ115" s="285"/>
      <c r="BK115" s="285"/>
      <c r="BL115" s="285"/>
      <c r="BM115" s="285"/>
      <c r="BN115" s="285"/>
      <c r="BO115" s="286"/>
      <c r="BP115" s="286"/>
      <c r="BQ115" s="286"/>
      <c r="BR115" s="286"/>
      <c r="BS115" s="286"/>
      <c r="BT115" s="286"/>
      <c r="BU115" s="286"/>
      <c r="BV115" s="285"/>
      <c r="BW115" s="285"/>
      <c r="BX115" s="285"/>
      <c r="BY115" s="285"/>
      <c r="BZ115" s="285"/>
      <c r="CA115" s="285"/>
      <c r="CB115" s="285"/>
      <c r="CC115" s="285"/>
      <c r="CD115" s="285"/>
      <c r="CE115" s="285"/>
      <c r="CF115" s="285"/>
      <c r="CG115" s="285"/>
      <c r="CH115" s="285"/>
      <c r="CI115" s="285"/>
    </row>
    <row r="116" spans="1:87" ht="16.2" hidden="1" outlineLevel="1" x14ac:dyDescent="0.25">
      <c r="A116" s="278" t="str">
        <f t="shared" ref="A116" si="42">E116&amp;G116</f>
        <v>lt003_entityttl_lblty</v>
      </c>
      <c r="B116" s="142" t="s">
        <v>26</v>
      </c>
      <c r="C116" s="138" t="s">
        <v>26</v>
      </c>
      <c r="D116" s="236" t="s">
        <v>40</v>
      </c>
      <c r="E116" s="239" t="s">
        <v>336</v>
      </c>
      <c r="F116" s="239"/>
      <c r="G116" s="239" t="s">
        <v>362</v>
      </c>
      <c r="H116" s="236" t="str">
        <f>VLOOKUP(A116,'2. Status Detalhe Campos'!$A$7:$G$574,7,0)</f>
        <v>6. Em implementação (re-especificação)</v>
      </c>
      <c r="I116" s="289">
        <v>45590</v>
      </c>
      <c r="J116" s="333">
        <v>45624</v>
      </c>
      <c r="K116" s="334"/>
      <c r="L116" s="294">
        <f t="array" ref="L116">MIN(IF(W116:CI116&gt;0,$W$16:$CI$16))</f>
        <v>45631</v>
      </c>
      <c r="M116" s="295">
        <f t="array" ref="M116">MAX(IF(W116:CI116&gt;0,$W$16:$CI$16))</f>
        <v>45631</v>
      </c>
      <c r="N116" s="295"/>
      <c r="O116" s="249">
        <f>VLOOKUP(H116,Auxiliar!$B$16:$E$24,4,0)</f>
        <v>0</v>
      </c>
      <c r="P116" s="249">
        <f t="shared" ref="P116" ca="1" si="43">IF(TODAY()&lt;=L116,0,MIN((TODAY()-L116)/(M116-L116+1),100%))</f>
        <v>0</v>
      </c>
      <c r="Q116" s="248">
        <f ca="1">O116-P116</f>
        <v>0</v>
      </c>
      <c r="R116" s="266" t="s">
        <v>38</v>
      </c>
      <c r="S116" s="284"/>
      <c r="T116" s="274">
        <v>4.0999999999999996</v>
      </c>
      <c r="U116" s="274">
        <f>ROUND(T116/8,1)</f>
        <v>0.5</v>
      </c>
      <c r="V116" s="274">
        <f>SUM(W116:CI116)-U116</f>
        <v>0</v>
      </c>
      <c r="W116" s="285"/>
      <c r="X116" s="293"/>
      <c r="Y116" s="285"/>
      <c r="Z116" s="293"/>
      <c r="AA116" s="285"/>
      <c r="AB116" s="285"/>
      <c r="AC116" s="285"/>
      <c r="AD116" s="286"/>
      <c r="AE116" s="285"/>
      <c r="AF116" s="285"/>
      <c r="AG116" s="285"/>
      <c r="AH116" s="285"/>
      <c r="AI116" s="285"/>
      <c r="AJ116" s="285"/>
      <c r="AK116" s="285"/>
      <c r="AL116" s="285"/>
      <c r="AM116" s="285"/>
      <c r="AN116" s="285"/>
      <c r="AO116" s="285"/>
      <c r="AP116" s="285"/>
      <c r="AQ116" s="285"/>
      <c r="AR116" s="285"/>
      <c r="AS116" s="285"/>
      <c r="AT116" s="285"/>
      <c r="AU116" s="285"/>
      <c r="AV116" s="285"/>
      <c r="AW116" s="287"/>
      <c r="AX116" s="285"/>
      <c r="AY116" s="285"/>
      <c r="AZ116" s="285"/>
      <c r="BA116" s="285"/>
      <c r="BB116" s="285">
        <v>0.5</v>
      </c>
      <c r="BC116" s="285"/>
      <c r="BD116" s="285"/>
      <c r="BE116" s="285"/>
      <c r="BF116" s="285"/>
      <c r="BG116" s="285"/>
      <c r="BH116" s="285"/>
      <c r="BI116" s="285"/>
      <c r="BJ116" s="285"/>
      <c r="BK116" s="285"/>
      <c r="BL116" s="285"/>
      <c r="BM116" s="285"/>
      <c r="BN116" s="285"/>
      <c r="BO116" s="286"/>
      <c r="BP116" s="286"/>
      <c r="BQ116" s="286"/>
      <c r="BR116" s="286"/>
      <c r="BS116" s="286"/>
      <c r="BT116" s="286"/>
      <c r="BU116" s="286"/>
      <c r="BV116" s="285"/>
      <c r="BW116" s="285"/>
      <c r="BX116" s="285"/>
      <c r="BY116" s="285"/>
      <c r="BZ116" s="285"/>
      <c r="CA116" s="285"/>
      <c r="CB116" s="285"/>
      <c r="CC116" s="285"/>
      <c r="CD116" s="285"/>
      <c r="CE116" s="285"/>
      <c r="CF116" s="285"/>
      <c r="CG116" s="285"/>
      <c r="CH116" s="285"/>
      <c r="CI116" s="285"/>
    </row>
    <row r="117" spans="1:87" ht="16.2" collapsed="1" x14ac:dyDescent="0.25">
      <c r="A117" s="278"/>
      <c r="B117" s="142" t="s">
        <v>26</v>
      </c>
      <c r="C117" s="138" t="s">
        <v>311</v>
      </c>
      <c r="D117" s="134"/>
      <c r="E117" s="240" t="s">
        <v>332</v>
      </c>
      <c r="F117" s="240" t="s">
        <v>2046</v>
      </c>
      <c r="G117" s="241">
        <f>COUNTA(G118:G121)</f>
        <v>4</v>
      </c>
      <c r="H117" s="279" t="s">
        <v>2045</v>
      </c>
      <c r="I117" s="280" t="s">
        <v>38</v>
      </c>
      <c r="J117" s="318">
        <f>MIN(J118:J121)</f>
        <v>45625</v>
      </c>
      <c r="K117" s="281"/>
      <c r="L117" s="281">
        <f>MIN(L118:L121)</f>
        <v>45628</v>
      </c>
      <c r="M117" s="282">
        <f>MAX(M118:M121)</f>
        <v>45632</v>
      </c>
      <c r="N117" s="332">
        <f t="array" ref="N117">MAX(IF(W117:CI117&gt;0,$W$16:$CI$16))</f>
        <v>45632</v>
      </c>
      <c r="O117" s="251">
        <f>SUMPRODUCT(O118:O121,U118:U121)/SUM(U118:U121)</f>
        <v>0</v>
      </c>
      <c r="P117" s="252">
        <f ca="1">SUMPRODUCT(P118:P121,U118:U121)/SUM(U118:U121)</f>
        <v>0</v>
      </c>
      <c r="Q117" s="320">
        <f ca="1">O117-P117</f>
        <v>0</v>
      </c>
      <c r="R117" s="264" t="s">
        <v>2047</v>
      </c>
      <c r="S117" s="284"/>
      <c r="T117" s="274"/>
      <c r="U117" s="274"/>
      <c r="V117" s="274"/>
      <c r="W117" s="285"/>
      <c r="X117" s="285"/>
      <c r="Y117" s="285"/>
      <c r="Z117" s="285"/>
      <c r="AA117" s="285"/>
      <c r="AB117" s="285"/>
      <c r="AC117" s="285"/>
      <c r="AD117" s="286"/>
      <c r="AE117" s="285"/>
      <c r="AF117" s="285"/>
      <c r="AG117" s="285"/>
      <c r="AH117" s="285"/>
      <c r="AI117" s="285"/>
      <c r="AJ117" s="287"/>
      <c r="AK117" s="285"/>
      <c r="AL117" s="285"/>
      <c r="AM117" s="285"/>
      <c r="AN117" s="285"/>
      <c r="AO117" s="285"/>
      <c r="AP117" s="285"/>
      <c r="AQ117" s="285"/>
      <c r="AR117" s="285"/>
      <c r="AS117" s="285"/>
      <c r="AT117" s="285"/>
      <c r="AU117" s="285"/>
      <c r="AV117" s="285"/>
      <c r="AW117" s="285"/>
      <c r="AX117" s="287"/>
      <c r="AY117" s="285"/>
      <c r="AZ117" s="285"/>
      <c r="BA117" s="285"/>
      <c r="BB117" s="285"/>
      <c r="BC117" s="285" t="s">
        <v>444</v>
      </c>
      <c r="BD117" s="285"/>
      <c r="BE117" s="285"/>
      <c r="BF117" s="285"/>
      <c r="BG117" s="285"/>
      <c r="BH117" s="285"/>
      <c r="BI117" s="285"/>
      <c r="BJ117" s="285"/>
      <c r="BK117" s="285"/>
      <c r="BL117" s="285"/>
      <c r="BM117" s="285"/>
      <c r="BN117" s="285"/>
      <c r="BO117" s="286"/>
      <c r="BP117" s="286"/>
      <c r="BQ117" s="286"/>
      <c r="BR117" s="286"/>
      <c r="BS117" s="286"/>
      <c r="BT117" s="286"/>
      <c r="BU117" s="286"/>
      <c r="BV117" s="285"/>
      <c r="BW117" s="285"/>
      <c r="BX117" s="285"/>
      <c r="BY117" s="285"/>
      <c r="BZ117" s="285"/>
      <c r="CA117" s="285"/>
      <c r="CB117" s="285"/>
      <c r="CC117" s="285"/>
      <c r="CD117" s="285"/>
      <c r="CE117" s="285"/>
      <c r="CF117" s="285"/>
      <c r="CG117" s="285"/>
      <c r="CH117" s="285"/>
      <c r="CI117" s="285"/>
    </row>
    <row r="118" spans="1:87" ht="16.2" hidden="1" outlineLevel="1" x14ac:dyDescent="0.25">
      <c r="A118" s="278" t="str">
        <f>E118&amp;G118</f>
        <v>modesg_out_emss_vclsorigem_scp1_emss</v>
      </c>
      <c r="B118" s="142" t="s">
        <v>26</v>
      </c>
      <c r="C118" s="138" t="s">
        <v>311</v>
      </c>
      <c r="D118" s="236" t="s">
        <v>40</v>
      </c>
      <c r="E118" s="237" t="s">
        <v>332</v>
      </c>
      <c r="F118" s="237"/>
      <c r="G118" s="236" t="s">
        <v>320</v>
      </c>
      <c r="H118" s="236" t="str">
        <f>VLOOKUP(A118,'2. Status Detalhe Campos'!$A$7:$G$574,7,0)</f>
        <v>5. Em Correção</v>
      </c>
      <c r="I118" s="280" t="s">
        <v>38</v>
      </c>
      <c r="J118" s="289">
        <v>45625</v>
      </c>
      <c r="K118" s="289"/>
      <c r="L118" s="294">
        <f t="array" ref="L118">MIN(IF(W118:CI118&gt;0,$W$16:$CI$16))</f>
        <v>45628</v>
      </c>
      <c r="M118" s="295">
        <f t="array" ref="M118">MAX(IF(W118:CI118&gt;0,$W$16:$CI$16))</f>
        <v>45628</v>
      </c>
      <c r="N118" s="295"/>
      <c r="O118" s="249">
        <f>VLOOKUP(H118,Auxiliar!$B$16:$E$24,4,0)</f>
        <v>0</v>
      </c>
      <c r="P118" s="249">
        <f t="shared" ref="P118:P121" ca="1" si="44">IF(TODAY()&lt;=L118,0,MIN((TODAY()-L118)/(M118-L118+1),100%))</f>
        <v>0</v>
      </c>
      <c r="Q118" s="248">
        <f ca="1">O118-P118</f>
        <v>0</v>
      </c>
      <c r="R118" s="266" t="s">
        <v>38</v>
      </c>
      <c r="S118" s="284" t="s">
        <v>1952</v>
      </c>
      <c r="T118" s="305">
        <v>3</v>
      </c>
      <c r="U118" s="274">
        <f>ROUND(T118/8,1)</f>
        <v>0.4</v>
      </c>
      <c r="V118" s="274">
        <f t="shared" ref="V118:V121" si="45">SUM(W118:CI118)-U118</f>
        <v>0</v>
      </c>
      <c r="W118" s="285"/>
      <c r="X118" s="285"/>
      <c r="Y118" s="285"/>
      <c r="Z118" s="285"/>
      <c r="AA118" s="285"/>
      <c r="AB118" s="285"/>
      <c r="AC118" s="285"/>
      <c r="AD118" s="286"/>
      <c r="AE118" s="285"/>
      <c r="AF118" s="285"/>
      <c r="AG118" s="285"/>
      <c r="AH118" s="285"/>
      <c r="AI118" s="285"/>
      <c r="AJ118" s="287"/>
      <c r="AK118" s="285"/>
      <c r="AL118" s="285"/>
      <c r="AM118" s="285"/>
      <c r="AN118" s="285"/>
      <c r="AO118" s="285"/>
      <c r="AP118" s="285"/>
      <c r="AQ118" s="285"/>
      <c r="AR118" s="285"/>
      <c r="AS118" s="285"/>
      <c r="AT118" s="285"/>
      <c r="AU118" s="285"/>
      <c r="AV118" s="285"/>
      <c r="AW118" s="285"/>
      <c r="AX118" s="287"/>
      <c r="AY118" s="285">
        <v>0.4</v>
      </c>
      <c r="AZ118" s="285"/>
      <c r="BA118" s="285"/>
      <c r="BB118" s="285"/>
      <c r="BC118" s="285"/>
      <c r="BD118" s="285"/>
      <c r="BE118" s="285"/>
      <c r="BF118" s="285"/>
      <c r="BG118" s="285"/>
      <c r="BH118" s="285"/>
      <c r="BI118" s="285"/>
      <c r="BJ118" s="285"/>
      <c r="BK118" s="285"/>
      <c r="BL118" s="285"/>
      <c r="BM118" s="285"/>
      <c r="BN118" s="285"/>
      <c r="BO118" s="286"/>
      <c r="BP118" s="286"/>
      <c r="BQ118" s="286"/>
      <c r="BR118" s="286"/>
      <c r="BS118" s="286"/>
      <c r="BT118" s="286"/>
      <c r="BU118" s="286"/>
      <c r="BV118" s="285"/>
      <c r="BW118" s="285"/>
      <c r="BX118" s="285"/>
      <c r="BY118" s="285"/>
      <c r="BZ118" s="285"/>
      <c r="CA118" s="285"/>
      <c r="CB118" s="285"/>
      <c r="CC118" s="285"/>
      <c r="CD118" s="285"/>
      <c r="CE118" s="285"/>
      <c r="CF118" s="285"/>
      <c r="CG118" s="285"/>
      <c r="CH118" s="285"/>
      <c r="CI118" s="285"/>
    </row>
    <row r="119" spans="1:87" ht="16.2" hidden="1" outlineLevel="1" x14ac:dyDescent="0.25">
      <c r="A119" s="278" t="str">
        <f>E119&amp;G119</f>
        <v>modesg_out_emss_vclsorigem_scp2_emss</v>
      </c>
      <c r="B119" s="142" t="s">
        <v>26</v>
      </c>
      <c r="C119" s="138" t="s">
        <v>311</v>
      </c>
      <c r="D119" s="236" t="s">
        <v>40</v>
      </c>
      <c r="E119" s="237" t="s">
        <v>332</v>
      </c>
      <c r="F119" s="237"/>
      <c r="G119" s="236" t="s">
        <v>321</v>
      </c>
      <c r="H119" s="236" t="str">
        <f>VLOOKUP(A119,'2. Status Detalhe Campos'!$A$7:$G$574,7,0)</f>
        <v>5. Em Correção</v>
      </c>
      <c r="I119" s="280" t="s">
        <v>38</v>
      </c>
      <c r="J119" s="289">
        <v>45625</v>
      </c>
      <c r="K119" s="289"/>
      <c r="L119" s="294">
        <f t="array" ref="L119">MIN(IF(W119:CI119&gt;0,$W$16:$CI$16))</f>
        <v>45628</v>
      </c>
      <c r="M119" s="295">
        <f t="array" ref="M119">MAX(IF(W119:CI119&gt;0,$W$16:$CI$16))</f>
        <v>45628</v>
      </c>
      <c r="N119" s="295"/>
      <c r="O119" s="249">
        <f>VLOOKUP(H119,Auxiliar!$B$16:$E$24,4,0)</f>
        <v>0</v>
      </c>
      <c r="P119" s="249">
        <f t="shared" ca="1" si="44"/>
        <v>0</v>
      </c>
      <c r="Q119" s="248">
        <f ca="1">O119-P119</f>
        <v>0</v>
      </c>
      <c r="R119" s="266" t="s">
        <v>38</v>
      </c>
      <c r="S119" s="284" t="s">
        <v>1952</v>
      </c>
      <c r="T119" s="305">
        <v>3</v>
      </c>
      <c r="U119" s="274">
        <f>ROUND(T119/8,1)</f>
        <v>0.4</v>
      </c>
      <c r="V119" s="274">
        <f t="shared" si="45"/>
        <v>0</v>
      </c>
      <c r="W119" s="285"/>
      <c r="X119" s="285"/>
      <c r="Y119" s="285"/>
      <c r="Z119" s="285"/>
      <c r="AA119" s="285"/>
      <c r="AB119" s="285"/>
      <c r="AC119" s="285"/>
      <c r="AD119" s="286"/>
      <c r="AE119" s="285"/>
      <c r="AF119" s="285"/>
      <c r="AG119" s="285"/>
      <c r="AH119" s="285"/>
      <c r="AI119" s="285"/>
      <c r="AJ119" s="287"/>
      <c r="AK119" s="285"/>
      <c r="AL119" s="285"/>
      <c r="AM119" s="285"/>
      <c r="AN119" s="285"/>
      <c r="AO119" s="285"/>
      <c r="AP119" s="285"/>
      <c r="AQ119" s="285"/>
      <c r="AR119" s="285"/>
      <c r="AS119" s="285"/>
      <c r="AT119" s="285"/>
      <c r="AU119" s="285"/>
      <c r="AV119" s="285"/>
      <c r="AW119" s="285"/>
      <c r="AX119" s="287"/>
      <c r="AY119" s="285">
        <v>0.4</v>
      </c>
      <c r="AZ119" s="285"/>
      <c r="BA119" s="285"/>
      <c r="BB119" s="285"/>
      <c r="BC119" s="285"/>
      <c r="BD119" s="285"/>
      <c r="BE119" s="285"/>
      <c r="BF119" s="285"/>
      <c r="BG119" s="285"/>
      <c r="BH119" s="285"/>
      <c r="BI119" s="285"/>
      <c r="BJ119" s="285"/>
      <c r="BK119" s="285"/>
      <c r="BL119" s="285"/>
      <c r="BM119" s="285"/>
      <c r="BN119" s="285"/>
      <c r="BO119" s="286"/>
      <c r="BP119" s="286"/>
      <c r="BQ119" s="286"/>
      <c r="BR119" s="286"/>
      <c r="BS119" s="286"/>
      <c r="BT119" s="286"/>
      <c r="BU119" s="286"/>
      <c r="BV119" s="285"/>
      <c r="BW119" s="285"/>
      <c r="BX119" s="285"/>
      <c r="BY119" s="285"/>
      <c r="BZ119" s="285"/>
      <c r="CA119" s="285"/>
      <c r="CB119" s="285"/>
      <c r="CC119" s="285"/>
      <c r="CD119" s="285"/>
      <c r="CE119" s="285"/>
      <c r="CF119" s="285"/>
      <c r="CG119" s="285"/>
      <c r="CH119" s="285"/>
      <c r="CI119" s="285"/>
    </row>
    <row r="120" spans="1:87" ht="16.2" hidden="1" outlineLevel="1" x14ac:dyDescent="0.25">
      <c r="A120" s="278" t="str">
        <f>E120&amp;G120</f>
        <v>modesg_out_emss_vclsscp1_emss</v>
      </c>
      <c r="B120" s="142" t="s">
        <v>26</v>
      </c>
      <c r="C120" s="138" t="s">
        <v>311</v>
      </c>
      <c r="D120" s="236" t="s">
        <v>40</v>
      </c>
      <c r="E120" s="237" t="s">
        <v>332</v>
      </c>
      <c r="F120" s="237"/>
      <c r="G120" s="236" t="s">
        <v>286</v>
      </c>
      <c r="H120" s="236" t="str">
        <f>VLOOKUP(A120,'2. Status Detalhe Campos'!$A$7:$G$574,7,0)</f>
        <v>5. Em Correção</v>
      </c>
      <c r="I120" s="280" t="s">
        <v>38</v>
      </c>
      <c r="J120" s="289">
        <v>45625</v>
      </c>
      <c r="K120" s="289"/>
      <c r="L120" s="294">
        <f t="array" ref="L120">MIN(IF(W120:CI120&gt;0,$W$16:$CI$16))</f>
        <v>45628</v>
      </c>
      <c r="M120" s="295">
        <f t="array" ref="M120">MAX(IF(W120:CI120&gt;0,$W$16:$CI$16))</f>
        <v>45632</v>
      </c>
      <c r="N120" s="295"/>
      <c r="O120" s="249">
        <f>VLOOKUP(H120,Auxiliar!$B$16:$E$24,4,0)</f>
        <v>0</v>
      </c>
      <c r="P120" s="249">
        <f t="shared" ca="1" si="44"/>
        <v>0</v>
      </c>
      <c r="Q120" s="248">
        <f ca="1">O120-P120</f>
        <v>0</v>
      </c>
      <c r="R120" s="266" t="s">
        <v>38</v>
      </c>
      <c r="S120" s="284" t="s">
        <v>1952</v>
      </c>
      <c r="T120" s="274">
        <v>16.100000000000001</v>
      </c>
      <c r="U120" s="274">
        <v>1.9</v>
      </c>
      <c r="V120" s="274">
        <f t="shared" si="45"/>
        <v>0</v>
      </c>
      <c r="W120" s="285"/>
      <c r="X120" s="285"/>
      <c r="Y120" s="285"/>
      <c r="Z120" s="285"/>
      <c r="AA120" s="285"/>
      <c r="AB120" s="285"/>
      <c r="AC120" s="285"/>
      <c r="AD120" s="286"/>
      <c r="AE120" s="285"/>
      <c r="AF120" s="285"/>
      <c r="AG120" s="285"/>
      <c r="AH120" s="285"/>
      <c r="AI120" s="285"/>
      <c r="AJ120" s="287"/>
      <c r="AK120" s="285"/>
      <c r="AL120" s="285"/>
      <c r="AM120" s="285"/>
      <c r="AN120" s="285"/>
      <c r="AO120" s="285"/>
      <c r="AP120" s="285"/>
      <c r="AQ120" s="285"/>
      <c r="AR120" s="285"/>
      <c r="AS120" s="285"/>
      <c r="AT120" s="285"/>
      <c r="AU120" s="285"/>
      <c r="AV120" s="285"/>
      <c r="AW120" s="285"/>
      <c r="AX120" s="287"/>
      <c r="AY120" s="285">
        <v>0.2</v>
      </c>
      <c r="AZ120" s="285"/>
      <c r="BA120" s="285"/>
      <c r="BB120" s="285">
        <v>0.2</v>
      </c>
      <c r="BC120" s="285">
        <v>1.5</v>
      </c>
      <c r="BD120" s="285"/>
      <c r="BE120" s="285"/>
      <c r="BF120" s="285"/>
      <c r="BG120" s="285"/>
      <c r="BH120" s="285"/>
      <c r="BI120" s="285"/>
      <c r="BJ120" s="285"/>
      <c r="BK120" s="285"/>
      <c r="BL120" s="285"/>
      <c r="BM120" s="285"/>
      <c r="BN120" s="285"/>
      <c r="BO120" s="286"/>
      <c r="BP120" s="286"/>
      <c r="BQ120" s="286"/>
      <c r="BR120" s="286"/>
      <c r="BS120" s="286"/>
      <c r="BT120" s="286"/>
      <c r="BU120" s="286"/>
      <c r="BV120" s="285"/>
      <c r="BW120" s="285"/>
      <c r="BX120" s="285"/>
      <c r="BY120" s="285"/>
      <c r="BZ120" s="285"/>
      <c r="CA120" s="285"/>
      <c r="CB120" s="285"/>
      <c r="CC120" s="285"/>
      <c r="CD120" s="285"/>
      <c r="CE120" s="285"/>
      <c r="CF120" s="285"/>
      <c r="CG120" s="285"/>
      <c r="CH120" s="285"/>
      <c r="CI120" s="285"/>
    </row>
    <row r="121" spans="1:87" ht="16.2" hidden="1" outlineLevel="1" x14ac:dyDescent="0.25">
      <c r="A121" s="278" t="str">
        <f>E121&amp;G121</f>
        <v>modesg_out_emss_vclsscp2_emss</v>
      </c>
      <c r="B121" s="142" t="s">
        <v>26</v>
      </c>
      <c r="C121" s="138" t="s">
        <v>311</v>
      </c>
      <c r="D121" s="236" t="s">
        <v>40</v>
      </c>
      <c r="E121" s="237" t="s">
        <v>332</v>
      </c>
      <c r="F121" s="237"/>
      <c r="G121" s="236" t="s">
        <v>287</v>
      </c>
      <c r="H121" s="236" t="str">
        <f>VLOOKUP(A121,'2. Status Detalhe Campos'!$A$7:$G$574,7,0)</f>
        <v>5. Em Correção</v>
      </c>
      <c r="I121" s="280" t="s">
        <v>38</v>
      </c>
      <c r="J121" s="289">
        <v>45625</v>
      </c>
      <c r="K121" s="289"/>
      <c r="L121" s="294">
        <f t="array" ref="L121">MIN(IF(W121:CI121&gt;0,$W$16:$CI$16))</f>
        <v>45632</v>
      </c>
      <c r="M121" s="295">
        <f t="array" ref="M121">MAX(IF(W121:CI121&gt;0,$W$16:$CI$16))</f>
        <v>45632</v>
      </c>
      <c r="N121" s="295"/>
      <c r="O121" s="249">
        <f>VLOOKUP(H121,Auxiliar!$B$16:$E$24,4,0)</f>
        <v>0</v>
      </c>
      <c r="P121" s="249">
        <f t="shared" ca="1" si="44"/>
        <v>0</v>
      </c>
      <c r="Q121" s="248">
        <f ca="1">O121-P121</f>
        <v>0</v>
      </c>
      <c r="R121" s="266" t="s">
        <v>38</v>
      </c>
      <c r="S121" s="284" t="s">
        <v>1952</v>
      </c>
      <c r="T121" s="274">
        <v>16.100000000000001</v>
      </c>
      <c r="U121" s="274">
        <v>0.1</v>
      </c>
      <c r="V121" s="274">
        <f t="shared" si="45"/>
        <v>0</v>
      </c>
      <c r="W121" s="285"/>
      <c r="X121" s="285"/>
      <c r="Y121" s="285"/>
      <c r="Z121" s="285"/>
      <c r="AA121" s="285"/>
      <c r="AB121" s="285"/>
      <c r="AC121" s="285"/>
      <c r="AD121" s="286"/>
      <c r="AE121" s="285"/>
      <c r="AF121" s="285"/>
      <c r="AG121" s="285"/>
      <c r="AH121" s="285"/>
      <c r="AI121" s="285"/>
      <c r="AJ121" s="287"/>
      <c r="AK121" s="285"/>
      <c r="AL121" s="285"/>
      <c r="AM121" s="285"/>
      <c r="AN121" s="285"/>
      <c r="AO121" s="285"/>
      <c r="AP121" s="285"/>
      <c r="AQ121" s="285"/>
      <c r="AR121" s="285"/>
      <c r="AS121" s="285"/>
      <c r="AT121" s="285"/>
      <c r="AU121" s="285"/>
      <c r="AV121" s="285"/>
      <c r="AW121" s="285"/>
      <c r="AX121" s="287"/>
      <c r="AY121" s="285"/>
      <c r="AZ121" s="285"/>
      <c r="BA121" s="285"/>
      <c r="BB121" s="285"/>
      <c r="BC121" s="285">
        <v>0.1</v>
      </c>
      <c r="BD121" s="285"/>
      <c r="BE121" s="285"/>
      <c r="BF121" s="285"/>
      <c r="BG121" s="285"/>
      <c r="BH121" s="285"/>
      <c r="BI121" s="285"/>
      <c r="BJ121" s="285"/>
      <c r="BK121" s="285"/>
      <c r="BL121" s="285"/>
      <c r="BM121" s="285"/>
      <c r="BN121" s="285"/>
      <c r="BO121" s="286"/>
      <c r="BP121" s="286"/>
      <c r="BQ121" s="286"/>
      <c r="BR121" s="286"/>
      <c r="BS121" s="286"/>
      <c r="BT121" s="286"/>
      <c r="BU121" s="286"/>
      <c r="BV121" s="285"/>
      <c r="BW121" s="285"/>
      <c r="BX121" s="285"/>
      <c r="BY121" s="285"/>
      <c r="BZ121" s="285"/>
      <c r="CA121" s="285"/>
      <c r="CB121" s="285"/>
      <c r="CC121" s="285"/>
      <c r="CD121" s="285"/>
      <c r="CE121" s="285"/>
      <c r="CF121" s="285"/>
      <c r="CG121" s="285"/>
      <c r="CH121" s="285"/>
      <c r="CI121" s="285"/>
    </row>
    <row r="122" spans="1:87" ht="15" customHeight="1" collapsed="1" x14ac:dyDescent="0.25">
      <c r="A122" s="278"/>
      <c r="B122" s="142" t="s">
        <v>26</v>
      </c>
      <c r="C122" s="138" t="s">
        <v>26</v>
      </c>
      <c r="D122" s="134"/>
      <c r="E122" s="242" t="s">
        <v>336</v>
      </c>
      <c r="F122" s="240" t="s">
        <v>2056</v>
      </c>
      <c r="G122" s="241">
        <f>COUNTA(G123:G129)</f>
        <v>7</v>
      </c>
      <c r="H122" s="279" t="s">
        <v>2025</v>
      </c>
      <c r="I122" s="282">
        <f>MAX(I123:I129)</f>
        <v>45589</v>
      </c>
      <c r="J122" s="281">
        <f>MIN(J123:J129)</f>
        <v>45596</v>
      </c>
      <c r="K122" s="282">
        <f>MIN(K123:K129)</f>
        <v>45596</v>
      </c>
      <c r="L122" s="281">
        <f>MIN(L123:L129)</f>
        <v>0</v>
      </c>
      <c r="M122" s="282">
        <f>MAX(M123:M129)</f>
        <v>45623</v>
      </c>
      <c r="N122" s="332">
        <f t="array" ref="N122">MAX(IF(W122:CI122&gt;0,$W$16:$CI$16))</f>
        <v>45639</v>
      </c>
      <c r="O122" s="251">
        <f>SUMPRODUCT(O123:O129,U123:U129)/SUM(U123:U129)</f>
        <v>0.17857142857142858</v>
      </c>
      <c r="P122" s="251">
        <f ca="1">SUMPRODUCT(P123:P129,U123:U129)/SUM(U123:U129)</f>
        <v>1</v>
      </c>
      <c r="Q122" s="259">
        <f t="shared" ref="Q122:Q176" ca="1" si="46">O122-P122</f>
        <v>-0.8214285714285714</v>
      </c>
      <c r="R122" s="266" t="s">
        <v>38</v>
      </c>
      <c r="S122" s="284"/>
      <c r="T122" s="274"/>
      <c r="U122" s="274"/>
      <c r="V122" s="274"/>
      <c r="W122" s="285"/>
      <c r="X122" s="285"/>
      <c r="Y122" s="285"/>
      <c r="Z122" s="285"/>
      <c r="AA122" s="285"/>
      <c r="AB122" s="285"/>
      <c r="AC122" s="292"/>
      <c r="AD122" s="286"/>
      <c r="AE122" s="285"/>
      <c r="AF122" s="285"/>
      <c r="AG122" s="285"/>
      <c r="AH122" s="285"/>
      <c r="AI122" s="285"/>
      <c r="AJ122" s="285"/>
      <c r="AK122" s="285"/>
      <c r="AL122" s="285"/>
      <c r="AM122" s="285"/>
      <c r="AN122" s="285"/>
      <c r="AO122" s="285"/>
      <c r="AP122" s="285"/>
      <c r="AQ122" s="285"/>
      <c r="AR122" s="285"/>
      <c r="AS122" s="285"/>
      <c r="AT122" s="285"/>
      <c r="AU122" s="285"/>
      <c r="AV122" s="285"/>
      <c r="AW122" s="285"/>
      <c r="AX122" s="285"/>
      <c r="AY122" s="285"/>
      <c r="AZ122" s="285"/>
      <c r="BA122" s="285"/>
      <c r="BB122" s="285"/>
      <c r="BC122" s="285"/>
      <c r="BD122" s="285"/>
      <c r="BE122" s="285"/>
      <c r="BF122" s="285"/>
      <c r="BG122" s="285"/>
      <c r="BH122" s="288" t="s">
        <v>444</v>
      </c>
      <c r="BI122" s="285"/>
      <c r="BJ122" s="285"/>
      <c r="BK122" s="285"/>
      <c r="BL122" s="285"/>
      <c r="BM122" s="285"/>
      <c r="BN122" s="285"/>
      <c r="BO122" s="286"/>
      <c r="BP122" s="286"/>
      <c r="BQ122" s="286"/>
      <c r="BR122" s="286"/>
      <c r="BS122" s="286"/>
      <c r="BT122" s="286"/>
      <c r="BU122" s="286"/>
      <c r="BV122" s="285"/>
      <c r="BW122" s="285"/>
      <c r="BX122" s="285"/>
      <c r="BY122" s="285"/>
      <c r="BZ122" s="285"/>
      <c r="CA122" s="285"/>
      <c r="CB122" s="285"/>
      <c r="CC122" s="285"/>
      <c r="CD122" s="285"/>
      <c r="CE122" s="285"/>
      <c r="CF122" s="285"/>
      <c r="CG122" s="285"/>
      <c r="CH122" s="285"/>
      <c r="CI122" s="285"/>
    </row>
    <row r="123" spans="1:87" ht="16.2" hidden="1" outlineLevel="1" x14ac:dyDescent="0.25">
      <c r="A123" s="278" t="str">
        <f>E123&amp;G123</f>
        <v>lt003_entitynace_esg</v>
      </c>
      <c r="B123" s="142" t="s">
        <v>26</v>
      </c>
      <c r="C123" s="138" t="s">
        <v>26</v>
      </c>
      <c r="D123" s="236" t="s">
        <v>40</v>
      </c>
      <c r="E123" s="239" t="s">
        <v>336</v>
      </c>
      <c r="F123" s="239"/>
      <c r="G123" s="239" t="s">
        <v>337</v>
      </c>
      <c r="H123" s="236" t="str">
        <f>VLOOKUP(A123,'2. Status Detalhe Campos'!$A$7:$G$574,7,0)</f>
        <v>2.1 Em Teste</v>
      </c>
      <c r="I123" s="280">
        <v>45583</v>
      </c>
      <c r="J123" s="306">
        <v>45596</v>
      </c>
      <c r="K123" s="289">
        <v>45596</v>
      </c>
      <c r="L123" s="294">
        <f t="array" ref="L123">MIN(IF(W123:CI123&gt;0,$W$16:$CI$16))</f>
        <v>45623</v>
      </c>
      <c r="M123" s="295">
        <f t="array" ref="M123">MAX(IF(W123:CI123&gt;0,$W$16:$CI$16))</f>
        <v>45623</v>
      </c>
      <c r="N123" s="295"/>
      <c r="O123" s="249">
        <f>VLOOKUP(H123,Auxiliar!$B$16:$E$24,4,0)</f>
        <v>0.25</v>
      </c>
      <c r="P123" s="249">
        <f t="shared" ref="P123:P129" ca="1" si="47">IF(TODAY()&lt;=L123,0,MIN((TODAY()-L123)/(M123-L123+1),100%))</f>
        <v>1</v>
      </c>
      <c r="Q123" s="248">
        <f t="shared" ca="1" si="46"/>
        <v>-0.75</v>
      </c>
      <c r="R123" s="265"/>
      <c r="S123" s="284"/>
      <c r="T123" s="274">
        <v>4.0999999999999996</v>
      </c>
      <c r="U123" s="274">
        <f>ROUND(T123/8,1)</f>
        <v>0.5</v>
      </c>
      <c r="V123" s="274">
        <f t="shared" ref="V123:V129" si="48">SUM(W123:CI123)-U123</f>
        <v>0</v>
      </c>
      <c r="W123" s="285"/>
      <c r="X123" s="285"/>
      <c r="Y123" s="285"/>
      <c r="Z123" s="285"/>
      <c r="AA123" s="285"/>
      <c r="AB123" s="285"/>
      <c r="AC123" s="292"/>
      <c r="AD123" s="286"/>
      <c r="AE123" s="285"/>
      <c r="AF123" s="285"/>
      <c r="AG123" s="285"/>
      <c r="AH123" s="285"/>
      <c r="AI123" s="285"/>
      <c r="AJ123" s="285"/>
      <c r="AK123" s="285"/>
      <c r="AL123" s="285"/>
      <c r="AM123" s="285"/>
      <c r="AN123" s="285"/>
      <c r="AO123" s="287"/>
      <c r="AP123" s="285"/>
      <c r="AQ123" s="285"/>
      <c r="AR123" s="285"/>
      <c r="AS123" s="285"/>
      <c r="AT123" s="285"/>
      <c r="AU123" s="285"/>
      <c r="AV123" s="285">
        <v>0.5</v>
      </c>
      <c r="AW123" s="285"/>
      <c r="AX123" s="285"/>
      <c r="AY123" s="285"/>
      <c r="AZ123" s="285"/>
      <c r="BA123" s="285"/>
      <c r="BB123" s="285"/>
      <c r="BC123" s="285"/>
      <c r="BD123" s="285"/>
      <c r="BE123" s="285"/>
      <c r="BF123" s="285"/>
      <c r="BG123" s="285"/>
      <c r="BH123" s="285"/>
      <c r="BI123" s="285"/>
      <c r="BJ123" s="285"/>
      <c r="BK123" s="285"/>
      <c r="BL123" s="285"/>
      <c r="BM123" s="285"/>
      <c r="BN123" s="285"/>
      <c r="BO123" s="286"/>
      <c r="BP123" s="286"/>
      <c r="BQ123" s="286"/>
      <c r="BR123" s="286"/>
      <c r="BS123" s="286"/>
      <c r="BT123" s="286"/>
      <c r="BU123" s="286"/>
      <c r="BV123" s="285"/>
      <c r="BW123" s="285"/>
      <c r="BX123" s="285"/>
      <c r="BY123" s="285"/>
      <c r="BZ123" s="285"/>
      <c r="CA123" s="285"/>
      <c r="CB123" s="285"/>
      <c r="CC123" s="285"/>
      <c r="CD123" s="285"/>
      <c r="CE123" s="285"/>
      <c r="CF123" s="285"/>
      <c r="CG123" s="285"/>
      <c r="CH123" s="285"/>
      <c r="CI123" s="285"/>
    </row>
    <row r="124" spans="1:87" ht="16.2" hidden="1" outlineLevel="1" x14ac:dyDescent="0.25">
      <c r="A124" s="278" t="str">
        <f>E124&amp;G124</f>
        <v>lt003_entityflg_act_physcl_rsk</v>
      </c>
      <c r="B124" s="142" t="s">
        <v>26</v>
      </c>
      <c r="C124" s="138" t="s">
        <v>26</v>
      </c>
      <c r="D124" s="236" t="s">
        <v>40</v>
      </c>
      <c r="E124" s="239" t="s">
        <v>336</v>
      </c>
      <c r="F124" s="239"/>
      <c r="G124" s="239" t="s">
        <v>358</v>
      </c>
      <c r="H124" s="236" t="str">
        <f>VLOOKUP(A124,'2. Status Detalhe Campos'!$A$7:$G$574,7,0)</f>
        <v>3. Pendente de outros desenvolvimentos</v>
      </c>
      <c r="I124" s="280">
        <v>45589</v>
      </c>
      <c r="J124" s="306">
        <v>45596</v>
      </c>
      <c r="K124" s="289">
        <v>45596</v>
      </c>
      <c r="L124" s="294">
        <f t="array" ref="L124">MIN(IF(W124:CI124&gt;0,$W$16:$CI$16))</f>
        <v>0</v>
      </c>
      <c r="M124" s="295">
        <f t="array" ref="M124">MAX(IF(W124:CI124&gt;0,$W$16:$CI$16))</f>
        <v>0</v>
      </c>
      <c r="N124" s="295"/>
      <c r="O124" s="249">
        <f>VLOOKUP(H124,Auxiliar!$B$16:$E$24,4,0)</f>
        <v>0</v>
      </c>
      <c r="P124" s="249">
        <f ca="1">IF(TODAY()&lt;=L124,0,MIN((TODAY()-L124)/(M124-L124+1),100%))</f>
        <v>1</v>
      </c>
      <c r="Q124" s="248">
        <f t="shared" ca="1" si="46"/>
        <v>-1</v>
      </c>
      <c r="R124" s="265"/>
      <c r="S124" s="284"/>
      <c r="T124" s="274">
        <v>4.0999999999999996</v>
      </c>
      <c r="U124" s="274">
        <f>ROUND(T124/8,1)</f>
        <v>0.5</v>
      </c>
      <c r="V124" s="274">
        <f>SUM(W124:CI124)-U124</f>
        <v>-0.5</v>
      </c>
      <c r="W124" s="285"/>
      <c r="X124" s="285"/>
      <c r="Y124" s="285"/>
      <c r="Z124" s="285"/>
      <c r="AA124" s="285"/>
      <c r="AB124" s="285"/>
      <c r="AC124" s="292"/>
      <c r="AD124" s="286"/>
      <c r="AE124" s="285"/>
      <c r="AF124" s="285"/>
      <c r="AG124" s="285"/>
      <c r="AH124" s="285"/>
      <c r="AI124" s="285"/>
      <c r="AJ124" s="285"/>
      <c r="AK124" s="285"/>
      <c r="AL124" s="285"/>
      <c r="AM124" s="285"/>
      <c r="AN124" s="285"/>
      <c r="AO124" s="285"/>
      <c r="AP124" s="285"/>
      <c r="AQ124" s="285"/>
      <c r="AR124" s="285"/>
      <c r="AS124" s="285"/>
      <c r="AT124" s="285"/>
      <c r="AU124" s="285"/>
      <c r="AV124" s="285"/>
      <c r="AW124" s="287"/>
      <c r="AX124" s="285"/>
      <c r="AY124" s="285"/>
      <c r="AZ124" s="285"/>
      <c r="BA124" s="285"/>
      <c r="BB124" s="285"/>
      <c r="BC124" s="285"/>
      <c r="BD124" s="285"/>
      <c r="BE124" s="285"/>
      <c r="BF124" s="285"/>
      <c r="BG124" s="285"/>
      <c r="BH124" s="285"/>
      <c r="BI124" s="285"/>
      <c r="BJ124" s="285"/>
      <c r="BK124" s="285"/>
      <c r="BL124" s="285"/>
      <c r="BM124" s="285"/>
      <c r="BN124" s="285"/>
      <c r="BO124" s="286"/>
      <c r="BP124" s="286"/>
      <c r="BQ124" s="286"/>
      <c r="BR124" s="286"/>
      <c r="BS124" s="286"/>
      <c r="BT124" s="286"/>
      <c r="BU124" s="286"/>
      <c r="BV124" s="285"/>
      <c r="BW124" s="285"/>
      <c r="BX124" s="285"/>
      <c r="BY124" s="285"/>
      <c r="BZ124" s="285"/>
      <c r="CA124" s="285"/>
      <c r="CB124" s="285"/>
      <c r="CC124" s="285"/>
      <c r="CD124" s="285"/>
      <c r="CE124" s="285"/>
      <c r="CF124" s="285"/>
      <c r="CG124" s="285"/>
      <c r="CH124" s="285"/>
      <c r="CI124" s="285"/>
    </row>
    <row r="125" spans="1:87" ht="16.2" hidden="1" outlineLevel="1" x14ac:dyDescent="0.25">
      <c r="A125" s="278" t="str">
        <f>E125&amp;G125</f>
        <v>lt003_entityflg_chrnc_physcl_rsk</v>
      </c>
      <c r="B125" s="142" t="s">
        <v>26</v>
      </c>
      <c r="C125" s="138" t="s">
        <v>26</v>
      </c>
      <c r="D125" s="236" t="s">
        <v>40</v>
      </c>
      <c r="E125" s="239" t="s">
        <v>336</v>
      </c>
      <c r="F125" s="239"/>
      <c r="G125" s="239" t="s">
        <v>359</v>
      </c>
      <c r="H125" s="236" t="str">
        <f>VLOOKUP(A125,'2. Status Detalhe Campos'!$A$7:$G$574,7,0)</f>
        <v>3. Pendente de outros desenvolvimentos</v>
      </c>
      <c r="I125" s="280">
        <v>45589</v>
      </c>
      <c r="J125" s="306">
        <v>45596</v>
      </c>
      <c r="K125" s="289">
        <v>45596</v>
      </c>
      <c r="L125" s="294">
        <f t="array" ref="L125">MIN(IF(W125:CI125&gt;0,$W$16:$CI$16))</f>
        <v>0</v>
      </c>
      <c r="M125" s="295">
        <f t="array" ref="M125">MAX(IF(W125:CI125&gt;0,$W$16:$CI$16))</f>
        <v>0</v>
      </c>
      <c r="N125" s="295"/>
      <c r="O125" s="249">
        <f>VLOOKUP(H125,Auxiliar!$B$16:$E$24,4,0)</f>
        <v>0</v>
      </c>
      <c r="P125" s="249">
        <f ca="1">IF(TODAY()&lt;=L125,0,MIN((TODAY()-L125)/(M125-L125+1),100%))</f>
        <v>1</v>
      </c>
      <c r="Q125" s="248">
        <f t="shared" ca="1" si="46"/>
        <v>-1</v>
      </c>
      <c r="R125" s="265"/>
      <c r="S125" s="284"/>
      <c r="T125" s="274">
        <v>4.0999999999999996</v>
      </c>
      <c r="U125" s="274">
        <f>ROUND(T125/8,1)</f>
        <v>0.5</v>
      </c>
      <c r="V125" s="274">
        <f>SUM(W125:CI125)-U125</f>
        <v>-0.5</v>
      </c>
      <c r="W125" s="285"/>
      <c r="X125" s="285"/>
      <c r="Y125" s="285"/>
      <c r="Z125" s="285"/>
      <c r="AA125" s="285"/>
      <c r="AB125" s="285"/>
      <c r="AC125" s="292"/>
      <c r="AD125" s="286"/>
      <c r="AE125" s="285"/>
      <c r="AF125" s="285"/>
      <c r="AG125" s="285"/>
      <c r="AH125" s="285"/>
      <c r="AI125" s="285"/>
      <c r="AJ125" s="285"/>
      <c r="AK125" s="285"/>
      <c r="AL125" s="285"/>
      <c r="AM125" s="285"/>
      <c r="AN125" s="285"/>
      <c r="AO125" s="285"/>
      <c r="AP125" s="285"/>
      <c r="AQ125" s="285"/>
      <c r="AR125" s="285"/>
      <c r="AS125" s="285"/>
      <c r="AT125" s="285"/>
      <c r="AU125" s="285"/>
      <c r="AV125" s="285"/>
      <c r="AW125" s="287"/>
      <c r="AX125" s="285"/>
      <c r="AY125" s="285"/>
      <c r="AZ125" s="285"/>
      <c r="BA125" s="285"/>
      <c r="BB125" s="285"/>
      <c r="BC125" s="285"/>
      <c r="BD125" s="285"/>
      <c r="BE125" s="285"/>
      <c r="BF125" s="285"/>
      <c r="BG125" s="285"/>
      <c r="BH125" s="285"/>
      <c r="BI125" s="285"/>
      <c r="BJ125" s="285"/>
      <c r="BK125" s="285"/>
      <c r="BL125" s="285"/>
      <c r="BM125" s="285"/>
      <c r="BN125" s="285"/>
      <c r="BO125" s="286"/>
      <c r="BP125" s="286"/>
      <c r="BQ125" s="286"/>
      <c r="BR125" s="286"/>
      <c r="BS125" s="286"/>
      <c r="BT125" s="286"/>
      <c r="BU125" s="286"/>
      <c r="BV125" s="285"/>
      <c r="BW125" s="285"/>
      <c r="BX125" s="285"/>
      <c r="BY125" s="285"/>
      <c r="BZ125" s="285"/>
      <c r="CA125" s="285"/>
      <c r="CB125" s="285"/>
      <c r="CC125" s="285"/>
      <c r="CD125" s="285"/>
      <c r="CE125" s="285"/>
      <c r="CF125" s="285"/>
      <c r="CG125" s="285"/>
      <c r="CH125" s="285"/>
      <c r="CI125" s="285"/>
    </row>
    <row r="126" spans="1:87" ht="16.2" hidden="1" outlineLevel="1" x14ac:dyDescent="0.25">
      <c r="A126" s="278" t="str">
        <f t="shared" ref="A126:A129" si="49">E126&amp;G126</f>
        <v>lt003_entityflg_grp_nfrd_applcblty</v>
      </c>
      <c r="B126" s="142" t="s">
        <v>26</v>
      </c>
      <c r="C126" s="138" t="s">
        <v>26</v>
      </c>
      <c r="D126" s="236" t="s">
        <v>40</v>
      </c>
      <c r="E126" s="239" t="s">
        <v>336</v>
      </c>
      <c r="F126" s="239"/>
      <c r="G126" s="239" t="s">
        <v>365</v>
      </c>
      <c r="H126" s="236" t="str">
        <f>VLOOKUP(A126,'2. Status Detalhe Campos'!$A$7:$G$574,7,0)</f>
        <v>2.1 Em Teste</v>
      </c>
      <c r="I126" s="289">
        <v>45588</v>
      </c>
      <c r="J126" s="306">
        <v>45596</v>
      </c>
      <c r="K126" s="289">
        <v>45596</v>
      </c>
      <c r="L126" s="294">
        <f t="array" ref="L126">MIN(IF(W126:CI126&gt;0,$W$16:$CI$16))</f>
        <v>0</v>
      </c>
      <c r="M126" s="295">
        <f t="array" ref="M126">MAX(IF(W126:CI126&gt;0,$W$16:$CI$16))</f>
        <v>0</v>
      </c>
      <c r="N126" s="295"/>
      <c r="O126" s="249">
        <f>VLOOKUP(H126,Auxiliar!$B$16:$E$24,4,0)</f>
        <v>0.25</v>
      </c>
      <c r="P126" s="249">
        <f t="shared" ca="1" si="47"/>
        <v>1</v>
      </c>
      <c r="Q126" s="248">
        <f t="shared" ca="1" si="46"/>
        <v>-0.75</v>
      </c>
      <c r="R126" s="265"/>
      <c r="S126" s="284"/>
      <c r="T126" s="274">
        <v>4.0999999999999996</v>
      </c>
      <c r="U126" s="274">
        <f t="shared" ref="U126:U129" si="50">ROUND(T126/8,1)</f>
        <v>0.5</v>
      </c>
      <c r="V126" s="274">
        <f t="shared" si="48"/>
        <v>-0.5</v>
      </c>
      <c r="W126" s="293"/>
      <c r="X126" s="285"/>
      <c r="Y126" s="285"/>
      <c r="Z126" s="285"/>
      <c r="AA126" s="285"/>
      <c r="AB126" s="285"/>
      <c r="AC126" s="292"/>
      <c r="AD126" s="286"/>
      <c r="AE126" s="285"/>
      <c r="AF126" s="285"/>
      <c r="AG126" s="285"/>
      <c r="AH126" s="285"/>
      <c r="AI126" s="285"/>
      <c r="AJ126" s="285"/>
      <c r="AK126" s="285"/>
      <c r="AL126" s="285"/>
      <c r="AM126" s="285"/>
      <c r="AN126" s="285"/>
      <c r="AO126" s="287"/>
      <c r="AP126" s="285"/>
      <c r="AQ126" s="285"/>
      <c r="AR126" s="285"/>
      <c r="AS126" s="285"/>
      <c r="AT126" s="285"/>
      <c r="AU126" s="285"/>
      <c r="AV126" s="285"/>
      <c r="AW126" s="285"/>
      <c r="AX126" s="285"/>
      <c r="AY126" s="285"/>
      <c r="AZ126" s="285"/>
      <c r="BA126" s="285"/>
      <c r="BB126" s="285"/>
      <c r="BC126" s="285"/>
      <c r="BD126" s="285"/>
      <c r="BE126" s="285"/>
      <c r="BF126" s="285"/>
      <c r="BG126" s="285"/>
      <c r="BH126" s="285"/>
      <c r="BI126" s="285"/>
      <c r="BJ126" s="285"/>
      <c r="BK126" s="285"/>
      <c r="BL126" s="285"/>
      <c r="BM126" s="285"/>
      <c r="BN126" s="285"/>
      <c r="BO126" s="286"/>
      <c r="BP126" s="286"/>
      <c r="BQ126" s="286"/>
      <c r="BR126" s="286"/>
      <c r="BS126" s="286"/>
      <c r="BT126" s="286"/>
      <c r="BU126" s="286"/>
      <c r="BV126" s="285"/>
      <c r="BW126" s="285"/>
      <c r="BX126" s="285"/>
      <c r="BY126" s="285"/>
      <c r="BZ126" s="285"/>
      <c r="CA126" s="285"/>
      <c r="CB126" s="285"/>
      <c r="CC126" s="285"/>
      <c r="CD126" s="285"/>
      <c r="CE126" s="285"/>
      <c r="CF126" s="285"/>
      <c r="CG126" s="285"/>
      <c r="CH126" s="285"/>
      <c r="CI126" s="285"/>
    </row>
    <row r="127" spans="1:87" ht="16.2" hidden="1" outlineLevel="1" x14ac:dyDescent="0.25">
      <c r="A127" s="278" t="str">
        <f t="shared" si="49"/>
        <v>lt003_entitygrp_emssns_scp1</v>
      </c>
      <c r="B127" s="142" t="s">
        <v>26</v>
      </c>
      <c r="C127" s="138" t="s">
        <v>26</v>
      </c>
      <c r="D127" s="236" t="s">
        <v>40</v>
      </c>
      <c r="E127" s="239" t="s">
        <v>336</v>
      </c>
      <c r="F127" s="239"/>
      <c r="G127" s="239" t="s">
        <v>366</v>
      </c>
      <c r="H127" s="236" t="str">
        <f>VLOOKUP(A127,'2. Status Detalhe Campos'!$A$7:$G$574,7,0)</f>
        <v>2.1 Em Teste</v>
      </c>
      <c r="I127" s="289">
        <v>45588</v>
      </c>
      <c r="J127" s="306">
        <v>45596</v>
      </c>
      <c r="K127" s="289">
        <v>45596</v>
      </c>
      <c r="L127" s="294">
        <f t="array" ref="L127">MIN(IF(W127:CI127&gt;0,$W$16:$CI$16))</f>
        <v>0</v>
      </c>
      <c r="M127" s="295">
        <f t="array" ref="M127">MAX(IF(W127:CI127&gt;0,$W$16:$CI$16))</f>
        <v>0</v>
      </c>
      <c r="N127" s="295"/>
      <c r="O127" s="249">
        <f>VLOOKUP(H127,Auxiliar!$B$16:$E$24,4,0)</f>
        <v>0.25</v>
      </c>
      <c r="P127" s="249">
        <f t="shared" ca="1" si="47"/>
        <v>1</v>
      </c>
      <c r="Q127" s="248">
        <f t="shared" ca="1" si="46"/>
        <v>-0.75</v>
      </c>
      <c r="R127" s="265"/>
      <c r="S127" s="284"/>
      <c r="T127" s="274">
        <v>4.0999999999999996</v>
      </c>
      <c r="U127" s="274">
        <f t="shared" si="50"/>
        <v>0.5</v>
      </c>
      <c r="V127" s="274">
        <f t="shared" si="48"/>
        <v>-0.5</v>
      </c>
      <c r="W127" s="293"/>
      <c r="X127" s="285"/>
      <c r="Y127" s="285"/>
      <c r="Z127" s="285"/>
      <c r="AA127" s="285"/>
      <c r="AB127" s="285"/>
      <c r="AC127" s="292"/>
      <c r="AD127" s="286"/>
      <c r="AE127" s="285"/>
      <c r="AF127" s="285"/>
      <c r="AG127" s="285"/>
      <c r="AH127" s="285"/>
      <c r="AI127" s="285"/>
      <c r="AJ127" s="285"/>
      <c r="AK127" s="285"/>
      <c r="AL127" s="285"/>
      <c r="AM127" s="285"/>
      <c r="AN127" s="285"/>
      <c r="AO127" s="285"/>
      <c r="AP127" s="285"/>
      <c r="AQ127" s="285"/>
      <c r="AR127" s="285"/>
      <c r="AS127" s="285"/>
      <c r="AT127" s="285"/>
      <c r="AU127" s="287"/>
      <c r="AV127" s="285"/>
      <c r="AW127" s="285"/>
      <c r="AX127" s="285"/>
      <c r="AY127" s="285"/>
      <c r="AZ127" s="285"/>
      <c r="BA127" s="285"/>
      <c r="BB127" s="285"/>
      <c r="BC127" s="285"/>
      <c r="BD127" s="285"/>
      <c r="BE127" s="285"/>
      <c r="BF127" s="285"/>
      <c r="BG127" s="285"/>
      <c r="BH127" s="285"/>
      <c r="BI127" s="285"/>
      <c r="BJ127" s="285"/>
      <c r="BK127" s="285"/>
      <c r="BL127" s="285"/>
      <c r="BM127" s="285"/>
      <c r="BN127" s="285"/>
      <c r="BO127" s="286"/>
      <c r="BP127" s="286"/>
      <c r="BQ127" s="286"/>
      <c r="BR127" s="286"/>
      <c r="BS127" s="286"/>
      <c r="BT127" s="286"/>
      <c r="BU127" s="286"/>
      <c r="BV127" s="285"/>
      <c r="BW127" s="285"/>
      <c r="BX127" s="285"/>
      <c r="BY127" s="285"/>
      <c r="BZ127" s="285"/>
      <c r="CA127" s="285"/>
      <c r="CB127" s="285"/>
      <c r="CC127" s="285"/>
      <c r="CD127" s="285"/>
      <c r="CE127" s="285"/>
      <c r="CF127" s="285"/>
      <c r="CG127" s="285"/>
      <c r="CH127" s="285"/>
      <c r="CI127" s="285"/>
    </row>
    <row r="128" spans="1:87" ht="16.2" hidden="1" outlineLevel="1" x14ac:dyDescent="0.25">
      <c r="A128" s="278" t="str">
        <f t="shared" si="49"/>
        <v>lt003_entitygrp_emssns_scp2</v>
      </c>
      <c r="B128" s="142" t="s">
        <v>26</v>
      </c>
      <c r="C128" s="138" t="s">
        <v>26</v>
      </c>
      <c r="D128" s="236" t="s">
        <v>40</v>
      </c>
      <c r="E128" s="239" t="s">
        <v>336</v>
      </c>
      <c r="F128" s="239"/>
      <c r="G128" s="239" t="s">
        <v>367</v>
      </c>
      <c r="H128" s="236" t="str">
        <f>VLOOKUP(A128,'2. Status Detalhe Campos'!$A$7:$G$574,7,0)</f>
        <v>2.1 Em Teste</v>
      </c>
      <c r="I128" s="289">
        <v>45588</v>
      </c>
      <c r="J128" s="306">
        <v>45596</v>
      </c>
      <c r="K128" s="289">
        <v>45596</v>
      </c>
      <c r="L128" s="294">
        <f t="array" ref="L128">MIN(IF(W128:CI128&gt;0,$W$16:$CI$16))</f>
        <v>0</v>
      </c>
      <c r="M128" s="295">
        <f t="array" ref="M128">MAX(IF(W128:CI128&gt;0,$W$16:$CI$16))</f>
        <v>0</v>
      </c>
      <c r="N128" s="295"/>
      <c r="O128" s="249">
        <f>VLOOKUP(H128,Auxiliar!$B$16:$E$24,4,0)</f>
        <v>0.25</v>
      </c>
      <c r="P128" s="249">
        <f t="shared" ca="1" si="47"/>
        <v>1</v>
      </c>
      <c r="Q128" s="248">
        <f t="shared" ca="1" si="46"/>
        <v>-0.75</v>
      </c>
      <c r="R128" s="265"/>
      <c r="S128" s="284"/>
      <c r="T128" s="274">
        <v>4.0999999999999996</v>
      </c>
      <c r="U128" s="274">
        <f t="shared" si="50"/>
        <v>0.5</v>
      </c>
      <c r="V128" s="274">
        <f t="shared" si="48"/>
        <v>-0.5</v>
      </c>
      <c r="W128" s="293"/>
      <c r="X128" s="285"/>
      <c r="Y128" s="285"/>
      <c r="Z128" s="285"/>
      <c r="AA128" s="285"/>
      <c r="AB128" s="285"/>
      <c r="AC128" s="292"/>
      <c r="AD128" s="286"/>
      <c r="AE128" s="285"/>
      <c r="AF128" s="285"/>
      <c r="AG128" s="285"/>
      <c r="AH128" s="285"/>
      <c r="AI128" s="285"/>
      <c r="AJ128" s="285"/>
      <c r="AK128" s="285"/>
      <c r="AL128" s="285"/>
      <c r="AM128" s="285"/>
      <c r="AN128" s="285"/>
      <c r="AO128" s="285"/>
      <c r="AP128" s="285"/>
      <c r="AQ128" s="285"/>
      <c r="AR128" s="285"/>
      <c r="AS128" s="285"/>
      <c r="AT128" s="285"/>
      <c r="AU128" s="287"/>
      <c r="AV128" s="285"/>
      <c r="AW128" s="285"/>
      <c r="AX128" s="285"/>
      <c r="AY128" s="285"/>
      <c r="AZ128" s="285"/>
      <c r="BA128" s="285"/>
      <c r="BB128" s="285"/>
      <c r="BC128" s="285"/>
      <c r="BD128" s="285"/>
      <c r="BE128" s="285"/>
      <c r="BF128" s="285"/>
      <c r="BG128" s="285"/>
      <c r="BH128" s="285"/>
      <c r="BI128" s="285"/>
      <c r="BJ128" s="285"/>
      <c r="BK128" s="285"/>
      <c r="BL128" s="285"/>
      <c r="BM128" s="285"/>
      <c r="BN128" s="285"/>
      <c r="BO128" s="286"/>
      <c r="BP128" s="286"/>
      <c r="BQ128" s="286"/>
      <c r="BR128" s="286"/>
      <c r="BS128" s="286"/>
      <c r="BT128" s="286"/>
      <c r="BU128" s="286"/>
      <c r="BV128" s="285"/>
      <c r="BW128" s="285"/>
      <c r="BX128" s="285"/>
      <c r="BY128" s="285"/>
      <c r="BZ128" s="285"/>
      <c r="CA128" s="285"/>
      <c r="CB128" s="285"/>
      <c r="CC128" s="285"/>
      <c r="CD128" s="285"/>
      <c r="CE128" s="285"/>
      <c r="CF128" s="285"/>
      <c r="CG128" s="285"/>
      <c r="CH128" s="285"/>
      <c r="CI128" s="285"/>
    </row>
    <row r="129" spans="1:87" ht="16.2" hidden="1" outlineLevel="1" x14ac:dyDescent="0.25">
      <c r="A129" s="278" t="str">
        <f t="shared" si="49"/>
        <v>lt003_entitygrp_emssns_scp3</v>
      </c>
      <c r="B129" s="142" t="s">
        <v>26</v>
      </c>
      <c r="C129" s="138" t="s">
        <v>26</v>
      </c>
      <c r="D129" s="236" t="s">
        <v>40</v>
      </c>
      <c r="E129" s="239" t="s">
        <v>336</v>
      </c>
      <c r="F129" s="239"/>
      <c r="G129" s="239" t="s">
        <v>368</v>
      </c>
      <c r="H129" s="236" t="str">
        <f>VLOOKUP(A129,'2. Status Detalhe Campos'!$A$7:$G$574,7,0)</f>
        <v>2.1 Em Teste</v>
      </c>
      <c r="I129" s="289">
        <v>45588</v>
      </c>
      <c r="J129" s="306">
        <v>45596</v>
      </c>
      <c r="K129" s="289">
        <v>45596</v>
      </c>
      <c r="L129" s="294">
        <f t="array" ref="L129">MIN(IF(W129:CI129&gt;0,$W$16:$CI$16))</f>
        <v>0</v>
      </c>
      <c r="M129" s="295">
        <f t="array" ref="M129">MAX(IF(W129:CI129&gt;0,$W$16:$CI$16))</f>
        <v>0</v>
      </c>
      <c r="N129" s="295"/>
      <c r="O129" s="249">
        <f>VLOOKUP(H129,Auxiliar!$B$16:$E$24,4,0)</f>
        <v>0.25</v>
      </c>
      <c r="P129" s="249">
        <f t="shared" ca="1" si="47"/>
        <v>1</v>
      </c>
      <c r="Q129" s="248">
        <f t="shared" ca="1" si="46"/>
        <v>-0.75</v>
      </c>
      <c r="R129" s="265"/>
      <c r="S129" s="284"/>
      <c r="T129" s="274">
        <v>4.0999999999999996</v>
      </c>
      <c r="U129" s="274">
        <f t="shared" si="50"/>
        <v>0.5</v>
      </c>
      <c r="V129" s="274">
        <f t="shared" si="48"/>
        <v>-0.5</v>
      </c>
      <c r="W129" s="293"/>
      <c r="X129" s="285"/>
      <c r="Y129" s="285"/>
      <c r="Z129" s="285"/>
      <c r="AA129" s="285"/>
      <c r="AB129" s="285"/>
      <c r="AC129" s="292"/>
      <c r="AD129" s="286"/>
      <c r="AE129" s="285"/>
      <c r="AF129" s="285"/>
      <c r="AG129" s="285"/>
      <c r="AH129" s="285"/>
      <c r="AI129" s="285"/>
      <c r="AJ129" s="285"/>
      <c r="AK129" s="285"/>
      <c r="AL129" s="285"/>
      <c r="AM129" s="285"/>
      <c r="AN129" s="285"/>
      <c r="AO129" s="285"/>
      <c r="AP129" s="285"/>
      <c r="AQ129" s="285"/>
      <c r="AR129" s="285"/>
      <c r="AS129" s="285"/>
      <c r="AT129" s="285"/>
      <c r="AU129" s="287"/>
      <c r="AV129" s="285"/>
      <c r="AW129" s="285"/>
      <c r="AX129" s="285"/>
      <c r="AY129" s="285"/>
      <c r="AZ129" s="285"/>
      <c r="BA129" s="285"/>
      <c r="BB129" s="285"/>
      <c r="BC129" s="285"/>
      <c r="BD129" s="285"/>
      <c r="BE129" s="285"/>
      <c r="BF129" s="285"/>
      <c r="BG129" s="285"/>
      <c r="BH129" s="285"/>
      <c r="BI129" s="285"/>
      <c r="BJ129" s="285"/>
      <c r="BK129" s="285"/>
      <c r="BL129" s="285"/>
      <c r="BM129" s="285"/>
      <c r="BN129" s="285"/>
      <c r="BO129" s="286"/>
      <c r="BP129" s="286"/>
      <c r="BQ129" s="286"/>
      <c r="BR129" s="286"/>
      <c r="BS129" s="286"/>
      <c r="BT129" s="286"/>
      <c r="BU129" s="286"/>
      <c r="BV129" s="285"/>
      <c r="BW129" s="285"/>
      <c r="BX129" s="285"/>
      <c r="BY129" s="285"/>
      <c r="BZ129" s="285"/>
      <c r="CA129" s="285"/>
      <c r="CB129" s="285"/>
      <c r="CC129" s="285"/>
      <c r="CD129" s="285"/>
      <c r="CE129" s="285"/>
      <c r="CF129" s="285"/>
      <c r="CG129" s="285"/>
      <c r="CH129" s="285"/>
      <c r="CI129" s="285"/>
    </row>
    <row r="130" spans="1:87" ht="15" customHeight="1" collapsed="1" x14ac:dyDescent="0.25">
      <c r="A130" s="278"/>
      <c r="B130" s="142" t="s">
        <v>26</v>
      </c>
      <c r="C130" s="138" t="s">
        <v>311</v>
      </c>
      <c r="D130" s="134"/>
      <c r="E130" s="240" t="s">
        <v>326</v>
      </c>
      <c r="F130" s="240" t="s">
        <v>1979</v>
      </c>
      <c r="G130" s="241">
        <f>COUNTA(G131:G136)</f>
        <v>6</v>
      </c>
      <c r="H130" s="303" t="s">
        <v>2024</v>
      </c>
      <c r="I130" s="280" t="s">
        <v>38</v>
      </c>
      <c r="J130" s="281">
        <f>MIN(J131:J136)</f>
        <v>45614</v>
      </c>
      <c r="K130" s="281">
        <f>MIN(K131:K147)</f>
        <v>45596</v>
      </c>
      <c r="L130" s="281">
        <f>MIN(L131:L147)</f>
        <v>45625</v>
      </c>
      <c r="M130" s="282">
        <f>MAX(M131:M147)</f>
        <v>45642</v>
      </c>
      <c r="N130" s="332">
        <f t="array" ref="N130">MAX(IF(W130:CI130&gt;0,$W$16:$CI$16))</f>
        <v>45639</v>
      </c>
      <c r="O130" s="251">
        <f>SUMPRODUCT(O131:O147,U131:U147)/SUM(U131:U147)</f>
        <v>0.25</v>
      </c>
      <c r="P130" s="251">
        <f ca="1">SUMPRODUCT(P131:P147,U131:U147)/SUM(U131:U147)</f>
        <v>0</v>
      </c>
      <c r="Q130" s="259">
        <f t="shared" ref="Q130:Q154" ca="1" si="51">O130-P130</f>
        <v>0.25</v>
      </c>
      <c r="R130" s="266" t="s">
        <v>38</v>
      </c>
      <c r="S130" s="284"/>
      <c r="T130" s="274"/>
      <c r="U130" s="274"/>
      <c r="V130" s="274"/>
      <c r="W130" s="285"/>
      <c r="X130" s="285"/>
      <c r="Y130" s="285"/>
      <c r="Z130" s="285"/>
      <c r="AA130" s="285"/>
      <c r="AB130" s="285"/>
      <c r="AC130" s="285"/>
      <c r="AD130" s="286"/>
      <c r="AE130" s="285"/>
      <c r="AF130" s="285"/>
      <c r="AG130" s="285"/>
      <c r="AH130" s="285"/>
      <c r="AI130" s="285"/>
      <c r="AJ130" s="285"/>
      <c r="AK130" s="285"/>
      <c r="AL130" s="285"/>
      <c r="AM130" s="285"/>
      <c r="AN130" s="285"/>
      <c r="AO130" s="287"/>
      <c r="AP130" s="292"/>
      <c r="AQ130" s="285"/>
      <c r="AR130" s="285"/>
      <c r="AS130" s="285"/>
      <c r="AT130" s="285"/>
      <c r="AU130" s="285"/>
      <c r="AV130" s="285"/>
      <c r="AW130" s="285"/>
      <c r="AX130" s="285"/>
      <c r="AY130" s="285"/>
      <c r="AZ130" s="285"/>
      <c r="BA130" s="285"/>
      <c r="BB130" s="285"/>
      <c r="BC130" s="285"/>
      <c r="BD130" s="285"/>
      <c r="BE130" s="285"/>
      <c r="BF130" s="285"/>
      <c r="BG130" s="285"/>
      <c r="BH130" s="285" t="s">
        <v>444</v>
      </c>
      <c r="BI130" s="285"/>
      <c r="BJ130" s="285"/>
      <c r="BK130" s="285"/>
      <c r="BL130" s="285"/>
      <c r="BM130" s="285"/>
      <c r="BN130" s="285"/>
      <c r="BO130" s="286"/>
      <c r="BP130" s="286"/>
      <c r="BQ130" s="286"/>
      <c r="BR130" s="286"/>
      <c r="BS130" s="286"/>
      <c r="BT130" s="286"/>
      <c r="BU130" s="286"/>
      <c r="BV130" s="285"/>
      <c r="BW130" s="285"/>
      <c r="BX130" s="285"/>
      <c r="BY130" s="285"/>
      <c r="BZ130" s="285"/>
      <c r="CA130" s="285"/>
      <c r="CB130" s="285"/>
      <c r="CC130" s="285"/>
      <c r="CD130" s="285"/>
      <c r="CE130" s="285"/>
      <c r="CF130" s="285"/>
      <c r="CG130" s="285"/>
      <c r="CH130" s="285"/>
      <c r="CI130" s="285"/>
    </row>
    <row r="131" spans="1:87" ht="16.2" hidden="1" outlineLevel="1" x14ac:dyDescent="0.25">
      <c r="A131" s="278" t="str">
        <f t="shared" ref="A131:A136" si="52">E131&amp;G131</f>
        <v>modesg_out_empr_info_nfincod_nace_esg</v>
      </c>
      <c r="B131" s="142" t="s">
        <v>26</v>
      </c>
      <c r="C131" s="138" t="s">
        <v>311</v>
      </c>
      <c r="D131" s="236" t="s">
        <v>40</v>
      </c>
      <c r="E131" s="237" t="s">
        <v>326</v>
      </c>
      <c r="F131" s="237"/>
      <c r="G131" s="238" t="s">
        <v>282</v>
      </c>
      <c r="H131" s="236" t="str">
        <f>VLOOKUP(A131,'2. Status Detalhe Campos'!$A$7:$G$574,7,0)</f>
        <v>2.1 Em Teste</v>
      </c>
      <c r="I131" s="280" t="s">
        <v>38</v>
      </c>
      <c r="J131" s="289">
        <v>45614</v>
      </c>
      <c r="K131" s="289">
        <v>45615</v>
      </c>
      <c r="L131" s="294">
        <f t="array" ref="L131">MIN(IF(W131:CI131&gt;0,$W$16:$CI$16))</f>
        <v>45625</v>
      </c>
      <c r="M131" s="295">
        <f t="array" ref="M131">MAX(IF(W131:CI131&gt;0,$W$16:$CI$16))</f>
        <v>45632</v>
      </c>
      <c r="N131" s="295"/>
      <c r="O131" s="249">
        <f>VLOOKUP(H131,Auxiliar!$B$16:$E$24,4,0)</f>
        <v>0.25</v>
      </c>
      <c r="P131" s="249">
        <f t="shared" ref="P131:P136" ca="1" si="53">IF(TODAY()&lt;=L131,0,MIN((TODAY()-L131)/(M131-L131+1),100%))</f>
        <v>0</v>
      </c>
      <c r="Q131" s="248">
        <f t="shared" ca="1" si="51"/>
        <v>0.25</v>
      </c>
      <c r="R131" s="266" t="s">
        <v>38</v>
      </c>
      <c r="S131" s="284"/>
      <c r="T131" s="274">
        <v>16.100000000000001</v>
      </c>
      <c r="U131" s="274">
        <f t="shared" ref="U131:U136" si="54">ROUND(T131/8,1)</f>
        <v>2</v>
      </c>
      <c r="V131" s="274">
        <f t="shared" ref="V131:V136" si="55">SUM(W131:CI131)-U131</f>
        <v>0</v>
      </c>
      <c r="W131" s="285"/>
      <c r="X131" s="285"/>
      <c r="Y131" s="285"/>
      <c r="Z131" s="285"/>
      <c r="AA131" s="285"/>
      <c r="AB131" s="285"/>
      <c r="AC131" s="285"/>
      <c r="AD131" s="286"/>
      <c r="AE131" s="285"/>
      <c r="AF131" s="285"/>
      <c r="AG131" s="285"/>
      <c r="AH131" s="285"/>
      <c r="AI131" s="285"/>
      <c r="AJ131" s="285"/>
      <c r="AK131" s="285"/>
      <c r="AL131" s="285"/>
      <c r="AM131" s="285"/>
      <c r="AN131" s="285"/>
      <c r="AO131" s="287"/>
      <c r="AP131" s="292"/>
      <c r="AQ131" s="285"/>
      <c r="AR131" s="285"/>
      <c r="AS131" s="285"/>
      <c r="AT131" s="285"/>
      <c r="AU131" s="285"/>
      <c r="AV131" s="285"/>
      <c r="AW131" s="285"/>
      <c r="AX131" s="285">
        <v>0.5</v>
      </c>
      <c r="AY131" s="285"/>
      <c r="AZ131" s="285"/>
      <c r="BA131" s="285"/>
      <c r="BB131" s="285">
        <v>1</v>
      </c>
      <c r="BC131" s="285">
        <v>0.5</v>
      </c>
      <c r="BD131" s="285"/>
      <c r="BE131" s="285"/>
      <c r="BF131" s="285"/>
      <c r="BG131" s="285"/>
      <c r="BH131" s="285"/>
      <c r="BI131" s="285"/>
      <c r="BJ131" s="285"/>
      <c r="BK131" s="285"/>
      <c r="BL131" s="285"/>
      <c r="BM131" s="285"/>
      <c r="BN131" s="285"/>
      <c r="BO131" s="286"/>
      <c r="BP131" s="286"/>
      <c r="BQ131" s="286"/>
      <c r="BR131" s="286"/>
      <c r="BS131" s="286"/>
      <c r="BT131" s="286"/>
      <c r="BU131" s="286"/>
      <c r="BV131" s="285"/>
      <c r="BW131" s="285"/>
      <c r="BX131" s="285"/>
      <c r="BY131" s="285"/>
      <c r="BZ131" s="285"/>
      <c r="CA131" s="285"/>
      <c r="CB131" s="285"/>
      <c r="CC131" s="285"/>
      <c r="CD131" s="285"/>
      <c r="CE131" s="285"/>
      <c r="CF131" s="285"/>
      <c r="CG131" s="285"/>
      <c r="CH131" s="285"/>
      <c r="CI131" s="285"/>
    </row>
    <row r="132" spans="1:87" ht="16.2" hidden="1" outlineLevel="1" x14ac:dyDescent="0.25">
      <c r="A132" s="278" t="str">
        <f t="shared" si="52"/>
        <v>modesg_out_empr_info_nfinflg_emprs_excl_paris</v>
      </c>
      <c r="B132" s="142" t="s">
        <v>26</v>
      </c>
      <c r="C132" s="138" t="s">
        <v>311</v>
      </c>
      <c r="D132" s="236" t="s">
        <v>40</v>
      </c>
      <c r="E132" s="237" t="s">
        <v>326</v>
      </c>
      <c r="F132" s="237"/>
      <c r="G132" s="236" t="s">
        <v>328</v>
      </c>
      <c r="H132" s="236" t="str">
        <f>VLOOKUP(A132,'2. Status Detalhe Campos'!$A$7:$G$574,7,0)</f>
        <v>2.1 Em Teste</v>
      </c>
      <c r="I132" s="280" t="s">
        <v>38</v>
      </c>
      <c r="J132" s="289">
        <v>45614</v>
      </c>
      <c r="K132" s="289">
        <v>45615</v>
      </c>
      <c r="L132" s="294">
        <f t="array" ref="L132">MIN(IF(W132:CI132&gt;0,$W$16:$CI$16))</f>
        <v>45635</v>
      </c>
      <c r="M132" s="295">
        <f t="array" ref="M132">MAX(IF(W132:CI132&gt;0,$W$16:$CI$16))</f>
        <v>45635</v>
      </c>
      <c r="N132" s="295"/>
      <c r="O132" s="249">
        <f>VLOOKUP(H132,Auxiliar!$B$16:$E$24,4,0)</f>
        <v>0.25</v>
      </c>
      <c r="P132" s="249">
        <f t="shared" ca="1" si="53"/>
        <v>0</v>
      </c>
      <c r="Q132" s="248">
        <f t="shared" ca="1" si="51"/>
        <v>0.25</v>
      </c>
      <c r="R132" s="266" t="s">
        <v>38</v>
      </c>
      <c r="S132" s="284"/>
      <c r="T132" s="274">
        <v>8.1</v>
      </c>
      <c r="U132" s="274">
        <f t="shared" si="54"/>
        <v>1</v>
      </c>
      <c r="V132" s="274">
        <f t="shared" si="55"/>
        <v>0</v>
      </c>
      <c r="W132" s="285"/>
      <c r="X132" s="285"/>
      <c r="Y132" s="285"/>
      <c r="Z132" s="285"/>
      <c r="AA132" s="285"/>
      <c r="AB132" s="285"/>
      <c r="AC132" s="285"/>
      <c r="AD132" s="286"/>
      <c r="AE132" s="285"/>
      <c r="AF132" s="285"/>
      <c r="AG132" s="285"/>
      <c r="AH132" s="285"/>
      <c r="AI132" s="285"/>
      <c r="AJ132" s="285"/>
      <c r="AK132" s="285"/>
      <c r="AL132" s="285"/>
      <c r="AM132" s="285"/>
      <c r="AN132" s="285"/>
      <c r="AO132" s="287"/>
      <c r="AP132" s="292"/>
      <c r="AQ132" s="285"/>
      <c r="AR132" s="285"/>
      <c r="AS132" s="285"/>
      <c r="AT132" s="285"/>
      <c r="AU132" s="285"/>
      <c r="AV132" s="285"/>
      <c r="AW132" s="285"/>
      <c r="AX132" s="285"/>
      <c r="AY132" s="285"/>
      <c r="AZ132" s="285"/>
      <c r="BA132" s="285"/>
      <c r="BB132" s="285"/>
      <c r="BC132" s="285"/>
      <c r="BD132" s="285">
        <v>1</v>
      </c>
      <c r="BE132" s="285"/>
      <c r="BF132" s="285"/>
      <c r="BG132" s="285"/>
      <c r="BH132" s="285"/>
      <c r="BI132" s="285"/>
      <c r="BJ132" s="285"/>
      <c r="BK132" s="285"/>
      <c r="BL132" s="285"/>
      <c r="BM132" s="285"/>
      <c r="BN132" s="285"/>
      <c r="BO132" s="286"/>
      <c r="BP132" s="286"/>
      <c r="BQ132" s="286"/>
      <c r="BR132" s="286"/>
      <c r="BS132" s="286"/>
      <c r="BT132" s="286"/>
      <c r="BU132" s="286"/>
      <c r="BV132" s="285"/>
      <c r="BW132" s="285"/>
      <c r="BX132" s="285"/>
      <c r="BY132" s="285"/>
      <c r="BZ132" s="285"/>
      <c r="CA132" s="285"/>
      <c r="CB132" s="285"/>
      <c r="CC132" s="285"/>
      <c r="CD132" s="285"/>
      <c r="CE132" s="285"/>
      <c r="CF132" s="285"/>
      <c r="CG132" s="285"/>
      <c r="CH132" s="285"/>
      <c r="CI132" s="285"/>
    </row>
    <row r="133" spans="1:87" ht="16.2" hidden="1" outlineLevel="1" x14ac:dyDescent="0.25">
      <c r="A133" s="278" t="str">
        <f t="shared" si="52"/>
        <v>modesg_out_empr_info_nfinflg_nfrd</v>
      </c>
      <c r="B133" s="142" t="s">
        <v>26</v>
      </c>
      <c r="C133" s="138" t="s">
        <v>311</v>
      </c>
      <c r="D133" s="236" t="s">
        <v>40</v>
      </c>
      <c r="E133" s="237" t="s">
        <v>326</v>
      </c>
      <c r="F133" s="237"/>
      <c r="G133" s="236" t="s">
        <v>245</v>
      </c>
      <c r="H133" s="236" t="str">
        <f>VLOOKUP(A133,'2. Status Detalhe Campos'!$A$7:$G$574,7,0)</f>
        <v>2.1 Em Teste</v>
      </c>
      <c r="I133" s="280" t="s">
        <v>38</v>
      </c>
      <c r="J133" s="289">
        <v>45614</v>
      </c>
      <c r="K133" s="289">
        <v>45615</v>
      </c>
      <c r="L133" s="294">
        <f t="array" ref="L133">MIN(IF(W133:CI133&gt;0,$W$16:$CI$16))</f>
        <v>45636</v>
      </c>
      <c r="M133" s="295">
        <f t="array" ref="M133">MAX(IF(W133:CI133&gt;0,$W$16:$CI$16))</f>
        <v>45636</v>
      </c>
      <c r="N133" s="295"/>
      <c r="O133" s="249">
        <f>VLOOKUP(H133,Auxiliar!$B$16:$E$24,4,0)</f>
        <v>0.25</v>
      </c>
      <c r="P133" s="249">
        <f t="shared" ca="1" si="53"/>
        <v>0</v>
      </c>
      <c r="Q133" s="248">
        <f t="shared" ca="1" si="51"/>
        <v>0.25</v>
      </c>
      <c r="R133" s="266" t="s">
        <v>38</v>
      </c>
      <c r="S133" s="284"/>
      <c r="T133" s="274">
        <v>8.1</v>
      </c>
      <c r="U133" s="274">
        <f t="shared" si="54"/>
        <v>1</v>
      </c>
      <c r="V133" s="274">
        <f t="shared" si="55"/>
        <v>0</v>
      </c>
      <c r="W133" s="285"/>
      <c r="X133" s="285"/>
      <c r="Y133" s="285"/>
      <c r="Z133" s="285"/>
      <c r="AA133" s="285"/>
      <c r="AB133" s="285"/>
      <c r="AC133" s="285"/>
      <c r="AD133" s="286"/>
      <c r="AE133" s="285"/>
      <c r="AF133" s="285"/>
      <c r="AG133" s="285"/>
      <c r="AH133" s="285"/>
      <c r="AI133" s="285"/>
      <c r="AJ133" s="285"/>
      <c r="AK133" s="285"/>
      <c r="AL133" s="285"/>
      <c r="AM133" s="285"/>
      <c r="AN133" s="285"/>
      <c r="AO133" s="287"/>
      <c r="AP133" s="292"/>
      <c r="AQ133" s="285"/>
      <c r="AR133" s="285"/>
      <c r="AS133" s="285"/>
      <c r="AT133" s="285"/>
      <c r="AU133" s="285"/>
      <c r="AV133" s="285"/>
      <c r="AW133" s="285"/>
      <c r="AX133" s="285"/>
      <c r="AY133" s="285"/>
      <c r="AZ133" s="285"/>
      <c r="BA133" s="285"/>
      <c r="BB133" s="285"/>
      <c r="BC133" s="285"/>
      <c r="BD133" s="285"/>
      <c r="BE133" s="285">
        <v>1</v>
      </c>
      <c r="BF133" s="285"/>
      <c r="BG133" s="285"/>
      <c r="BH133" s="285"/>
      <c r="BI133" s="285"/>
      <c r="BJ133" s="285"/>
      <c r="BK133" s="285"/>
      <c r="BL133" s="285"/>
      <c r="BM133" s="285"/>
      <c r="BN133" s="285"/>
      <c r="BO133" s="286"/>
      <c r="BP133" s="286"/>
      <c r="BQ133" s="286"/>
      <c r="BR133" s="286"/>
      <c r="BS133" s="286"/>
      <c r="BT133" s="286"/>
      <c r="BU133" s="286"/>
      <c r="BV133" s="285"/>
      <c r="BW133" s="285"/>
      <c r="BX133" s="285"/>
      <c r="BY133" s="285"/>
      <c r="BZ133" s="285"/>
      <c r="CA133" s="285"/>
      <c r="CB133" s="285"/>
      <c r="CC133" s="285"/>
      <c r="CD133" s="285"/>
      <c r="CE133" s="285"/>
      <c r="CF133" s="285"/>
      <c r="CG133" s="285"/>
      <c r="CH133" s="285"/>
      <c r="CI133" s="285"/>
    </row>
    <row r="134" spans="1:87" ht="16.2" hidden="1" outlineLevel="1" x14ac:dyDescent="0.25">
      <c r="A134" s="278" t="str">
        <f t="shared" si="52"/>
        <v>modesg_out_empr_info_nfinorigem_alinhamentos</v>
      </c>
      <c r="B134" s="142" t="s">
        <v>26</v>
      </c>
      <c r="C134" s="138" t="s">
        <v>311</v>
      </c>
      <c r="D134" s="236" t="s">
        <v>40</v>
      </c>
      <c r="E134" s="237" t="s">
        <v>326</v>
      </c>
      <c r="F134" s="237"/>
      <c r="G134" s="236" t="s">
        <v>329</v>
      </c>
      <c r="H134" s="236" t="str">
        <f>VLOOKUP(A134,'2. Status Detalhe Campos'!$A$7:$G$574,7,0)</f>
        <v>2.1 Em Teste</v>
      </c>
      <c r="I134" s="280" t="s">
        <v>38</v>
      </c>
      <c r="J134" s="289">
        <v>45614</v>
      </c>
      <c r="K134" s="289">
        <v>45615</v>
      </c>
      <c r="L134" s="294">
        <f t="array" ref="L134">MIN(IF(W134:CI134&gt;0,$W$16:$CI$16))</f>
        <v>45637</v>
      </c>
      <c r="M134" s="295">
        <f t="array" ref="M134">MAX(IF(W134:CI134&gt;0,$W$16:$CI$16))</f>
        <v>45637</v>
      </c>
      <c r="N134" s="295"/>
      <c r="O134" s="249">
        <f>VLOOKUP(H134,Auxiliar!$B$16:$E$24,4,0)</f>
        <v>0.25</v>
      </c>
      <c r="P134" s="249">
        <f t="shared" ca="1" si="53"/>
        <v>0</v>
      </c>
      <c r="Q134" s="248">
        <f t="shared" ca="1" si="51"/>
        <v>0.25</v>
      </c>
      <c r="R134" s="266" t="s">
        <v>38</v>
      </c>
      <c r="S134" s="284"/>
      <c r="T134" s="274">
        <v>4.0999999999999996</v>
      </c>
      <c r="U134" s="274">
        <f t="shared" si="54"/>
        <v>0.5</v>
      </c>
      <c r="V134" s="274">
        <f t="shared" si="55"/>
        <v>0</v>
      </c>
      <c r="W134" s="285"/>
      <c r="X134" s="285"/>
      <c r="Y134" s="285"/>
      <c r="Z134" s="285"/>
      <c r="AA134" s="285"/>
      <c r="AB134" s="285"/>
      <c r="AC134" s="285"/>
      <c r="AD134" s="286"/>
      <c r="AE134" s="285"/>
      <c r="AF134" s="285"/>
      <c r="AG134" s="285"/>
      <c r="AH134" s="285"/>
      <c r="AI134" s="285"/>
      <c r="AJ134" s="285"/>
      <c r="AK134" s="285"/>
      <c r="AL134" s="285"/>
      <c r="AM134" s="285"/>
      <c r="AN134" s="285"/>
      <c r="AO134" s="287"/>
      <c r="AP134" s="292"/>
      <c r="AQ134" s="285"/>
      <c r="AR134" s="285"/>
      <c r="AS134" s="285"/>
      <c r="AT134" s="285"/>
      <c r="AU134" s="285"/>
      <c r="AV134" s="285"/>
      <c r="AW134" s="285"/>
      <c r="AX134" s="285"/>
      <c r="AY134" s="285"/>
      <c r="AZ134" s="285"/>
      <c r="BA134" s="285"/>
      <c r="BB134" s="285"/>
      <c r="BC134" s="285"/>
      <c r="BD134" s="285"/>
      <c r="BE134" s="285"/>
      <c r="BF134" s="285">
        <v>0.5</v>
      </c>
      <c r="BG134" s="285"/>
      <c r="BH134" s="285"/>
      <c r="BI134" s="285"/>
      <c r="BJ134" s="285"/>
      <c r="BK134" s="285"/>
      <c r="BL134" s="285"/>
      <c r="BM134" s="285"/>
      <c r="BN134" s="285"/>
      <c r="BO134" s="286"/>
      <c r="BP134" s="286"/>
      <c r="BQ134" s="286"/>
      <c r="BR134" s="286"/>
      <c r="BS134" s="286"/>
      <c r="BT134" s="286"/>
      <c r="BU134" s="286"/>
      <c r="BV134" s="285"/>
      <c r="BW134" s="285"/>
      <c r="BX134" s="285"/>
      <c r="BY134" s="285"/>
      <c r="BZ134" s="285"/>
      <c r="CA134" s="285"/>
      <c r="CB134" s="285"/>
      <c r="CC134" s="285"/>
      <c r="CD134" s="285"/>
      <c r="CE134" s="285"/>
      <c r="CF134" s="285"/>
      <c r="CG134" s="285"/>
      <c r="CH134" s="285"/>
      <c r="CI134" s="285"/>
    </row>
    <row r="135" spans="1:87" ht="16.2" hidden="1" outlineLevel="1" x14ac:dyDescent="0.25">
      <c r="A135" s="278" t="str">
        <f t="shared" si="52"/>
        <v>modesg_out_empr_info_nfinorigem_flg_emprs_excl_paris</v>
      </c>
      <c r="B135" s="142" t="s">
        <v>26</v>
      </c>
      <c r="C135" s="138" t="s">
        <v>311</v>
      </c>
      <c r="D135" s="236" t="s">
        <v>40</v>
      </c>
      <c r="E135" s="237" t="s">
        <v>326</v>
      </c>
      <c r="F135" s="237"/>
      <c r="G135" s="236" t="s">
        <v>330</v>
      </c>
      <c r="H135" s="236" t="str">
        <f>VLOOKUP(A135,'2. Status Detalhe Campos'!$A$7:$G$574,7,0)</f>
        <v>2.1 Em Teste</v>
      </c>
      <c r="I135" s="280" t="s">
        <v>38</v>
      </c>
      <c r="J135" s="289">
        <v>45614</v>
      </c>
      <c r="K135" s="289">
        <v>45615</v>
      </c>
      <c r="L135" s="294">
        <f t="array" ref="L135">MIN(IF(W135:CI135&gt;0,$W$16:$CI$16))</f>
        <v>45637</v>
      </c>
      <c r="M135" s="295">
        <f t="array" ref="M135">MAX(IF(W135:CI135&gt;0,$W$16:$CI$16))</f>
        <v>45637</v>
      </c>
      <c r="N135" s="295"/>
      <c r="O135" s="249">
        <f>VLOOKUP(H135,Auxiliar!$B$16:$E$24,4,0)</f>
        <v>0.25</v>
      </c>
      <c r="P135" s="249">
        <f t="shared" ca="1" si="53"/>
        <v>0</v>
      </c>
      <c r="Q135" s="248">
        <f t="shared" ca="1" si="51"/>
        <v>0.25</v>
      </c>
      <c r="R135" s="266" t="s">
        <v>38</v>
      </c>
      <c r="S135" s="284"/>
      <c r="T135" s="274">
        <v>4.0999999999999996</v>
      </c>
      <c r="U135" s="274">
        <f t="shared" si="54"/>
        <v>0.5</v>
      </c>
      <c r="V135" s="274">
        <f t="shared" si="55"/>
        <v>0</v>
      </c>
      <c r="W135" s="285"/>
      <c r="X135" s="285"/>
      <c r="Y135" s="285"/>
      <c r="Z135" s="285"/>
      <c r="AA135" s="285"/>
      <c r="AB135" s="285"/>
      <c r="AC135" s="285"/>
      <c r="AD135" s="286"/>
      <c r="AE135" s="285"/>
      <c r="AF135" s="285"/>
      <c r="AG135" s="285"/>
      <c r="AH135" s="285"/>
      <c r="AI135" s="285"/>
      <c r="AJ135" s="285"/>
      <c r="AK135" s="285"/>
      <c r="AL135" s="285"/>
      <c r="AM135" s="285"/>
      <c r="AN135" s="285"/>
      <c r="AO135" s="287"/>
      <c r="AP135" s="292"/>
      <c r="AQ135" s="285"/>
      <c r="AR135" s="285"/>
      <c r="AS135" s="285"/>
      <c r="AT135" s="285"/>
      <c r="AU135" s="285"/>
      <c r="AV135" s="285"/>
      <c r="AW135" s="285"/>
      <c r="AX135" s="285"/>
      <c r="AY135" s="285"/>
      <c r="AZ135" s="285"/>
      <c r="BA135" s="285"/>
      <c r="BB135" s="285"/>
      <c r="BC135" s="285"/>
      <c r="BD135" s="285"/>
      <c r="BE135" s="285"/>
      <c r="BF135" s="285">
        <v>0.5</v>
      </c>
      <c r="BG135" s="285"/>
      <c r="BH135" s="285"/>
      <c r="BI135" s="285"/>
      <c r="BJ135" s="285"/>
      <c r="BK135" s="285"/>
      <c r="BL135" s="285"/>
      <c r="BM135" s="285"/>
      <c r="BN135" s="285"/>
      <c r="BO135" s="286"/>
      <c r="BP135" s="286"/>
      <c r="BQ135" s="286"/>
      <c r="BR135" s="286"/>
      <c r="BS135" s="286"/>
      <c r="BT135" s="286"/>
      <c r="BU135" s="286"/>
      <c r="BV135" s="285"/>
      <c r="BW135" s="285"/>
      <c r="BX135" s="285"/>
      <c r="BY135" s="285"/>
      <c r="BZ135" s="285"/>
      <c r="CA135" s="285"/>
      <c r="CB135" s="285"/>
      <c r="CC135" s="285"/>
      <c r="CD135" s="285"/>
      <c r="CE135" s="285"/>
      <c r="CF135" s="285"/>
      <c r="CG135" s="285"/>
      <c r="CH135" s="285"/>
      <c r="CI135" s="285"/>
    </row>
    <row r="136" spans="1:87" ht="16.2" hidden="1" outlineLevel="1" x14ac:dyDescent="0.25">
      <c r="A136" s="278" t="str">
        <f t="shared" si="52"/>
        <v>modesg_out_empr_info_nfinorigem_flg_nfrd</v>
      </c>
      <c r="B136" s="142" t="s">
        <v>26</v>
      </c>
      <c r="C136" s="138" t="s">
        <v>311</v>
      </c>
      <c r="D136" s="236" t="s">
        <v>40</v>
      </c>
      <c r="E136" s="237" t="s">
        <v>326</v>
      </c>
      <c r="F136" s="237"/>
      <c r="G136" s="236" t="s">
        <v>331</v>
      </c>
      <c r="H136" s="236" t="str">
        <f>VLOOKUP(A136,'2. Status Detalhe Campos'!$A$7:$G$574,7,0)</f>
        <v>2.1 Em Teste</v>
      </c>
      <c r="I136" s="280" t="s">
        <v>38</v>
      </c>
      <c r="J136" s="289">
        <v>45614</v>
      </c>
      <c r="K136" s="289">
        <v>45615</v>
      </c>
      <c r="L136" s="294">
        <f t="array" ref="L136">MIN(IF(W136:CI136&gt;0,$W$16:$CI$16))</f>
        <v>45638</v>
      </c>
      <c r="M136" s="295">
        <f t="array" ref="M136">MAX(IF(W136:CI136&gt;0,$W$16:$CI$16))</f>
        <v>45638</v>
      </c>
      <c r="N136" s="295"/>
      <c r="O136" s="249">
        <f>VLOOKUP(H136,Auxiliar!$B$16:$E$24,4,0)</f>
        <v>0.25</v>
      </c>
      <c r="P136" s="249">
        <f t="shared" ca="1" si="53"/>
        <v>0</v>
      </c>
      <c r="Q136" s="248">
        <f t="shared" ca="1" si="51"/>
        <v>0.25</v>
      </c>
      <c r="R136" s="266" t="s">
        <v>38</v>
      </c>
      <c r="S136" s="284"/>
      <c r="T136" s="274">
        <v>4.0999999999999996</v>
      </c>
      <c r="U136" s="274">
        <f t="shared" si="54"/>
        <v>0.5</v>
      </c>
      <c r="V136" s="274">
        <f t="shared" si="55"/>
        <v>0</v>
      </c>
      <c r="W136" s="285"/>
      <c r="X136" s="285"/>
      <c r="Y136" s="285"/>
      <c r="Z136" s="285"/>
      <c r="AA136" s="285"/>
      <c r="AB136" s="285"/>
      <c r="AC136" s="285"/>
      <c r="AD136" s="286"/>
      <c r="AE136" s="285"/>
      <c r="AF136" s="285"/>
      <c r="AG136" s="285"/>
      <c r="AH136" s="285"/>
      <c r="AI136" s="285"/>
      <c r="AJ136" s="285"/>
      <c r="AK136" s="285"/>
      <c r="AL136" s="285"/>
      <c r="AM136" s="285"/>
      <c r="AN136" s="285"/>
      <c r="AO136" s="287"/>
      <c r="AP136" s="292"/>
      <c r="AQ136" s="285"/>
      <c r="AR136" s="285"/>
      <c r="AS136" s="285"/>
      <c r="AT136" s="285"/>
      <c r="AU136" s="285"/>
      <c r="AV136" s="285"/>
      <c r="AW136" s="285"/>
      <c r="AX136" s="285"/>
      <c r="AY136" s="285"/>
      <c r="AZ136" s="285"/>
      <c r="BA136" s="285"/>
      <c r="BB136" s="285"/>
      <c r="BC136" s="285"/>
      <c r="BD136" s="285"/>
      <c r="BE136" s="285"/>
      <c r="BF136" s="285"/>
      <c r="BG136" s="285">
        <v>0.5</v>
      </c>
      <c r="BH136" s="285"/>
      <c r="BI136" s="285"/>
      <c r="BJ136" s="285"/>
      <c r="BK136" s="285"/>
      <c r="BL136" s="285"/>
      <c r="BM136" s="285"/>
      <c r="BN136" s="285"/>
      <c r="BO136" s="286"/>
      <c r="BP136" s="286"/>
      <c r="BQ136" s="286"/>
      <c r="BR136" s="286"/>
      <c r="BS136" s="286"/>
      <c r="BT136" s="286"/>
      <c r="BU136" s="286"/>
      <c r="BV136" s="285"/>
      <c r="BW136" s="285"/>
      <c r="BX136" s="285"/>
      <c r="BY136" s="285"/>
      <c r="BZ136" s="285"/>
      <c r="CA136" s="285"/>
      <c r="CB136" s="285"/>
      <c r="CC136" s="285"/>
      <c r="CD136" s="285"/>
      <c r="CE136" s="285"/>
      <c r="CF136" s="285"/>
      <c r="CG136" s="285"/>
      <c r="CH136" s="285"/>
      <c r="CI136" s="285"/>
    </row>
    <row r="137" spans="1:87" ht="15" customHeight="1" collapsed="1" x14ac:dyDescent="0.25">
      <c r="A137" s="278"/>
      <c r="B137" s="142" t="s">
        <v>26</v>
      </c>
      <c r="C137" s="138" t="s">
        <v>26</v>
      </c>
      <c r="D137" s="134"/>
      <c r="E137" s="242" t="s">
        <v>336</v>
      </c>
      <c r="F137" s="240" t="s">
        <v>2001</v>
      </c>
      <c r="G137" s="241">
        <f>COUNTA(G138:G140)</f>
        <v>3</v>
      </c>
      <c r="H137" s="303" t="s">
        <v>2024</v>
      </c>
      <c r="I137" s="282" t="s">
        <v>38</v>
      </c>
      <c r="J137" s="281">
        <f>MIN(J138:J140)</f>
        <v>45621</v>
      </c>
      <c r="K137" s="282">
        <f>MIN(K138:K140)</f>
        <v>45596</v>
      </c>
      <c r="L137" s="281">
        <f>MIN(L138:L140)</f>
        <v>45625</v>
      </c>
      <c r="M137" s="282">
        <f>MAX(M138:M140)</f>
        <v>45638</v>
      </c>
      <c r="N137" s="332">
        <f t="array" ref="N137">MAX(IF(W137:CI137&gt;0,$W$16:$CI$16))</f>
        <v>45639</v>
      </c>
      <c r="O137" s="251">
        <f>SUMPRODUCT(O138:O140,U138:U140)/SUM(U138:U140)</f>
        <v>0.25</v>
      </c>
      <c r="P137" s="251">
        <f ca="1">SUMPRODUCT(P138:P140,U138:U140)/SUM(U138:U140)</f>
        <v>0</v>
      </c>
      <c r="Q137" s="248">
        <f t="shared" ca="1" si="51"/>
        <v>0.25</v>
      </c>
      <c r="R137" s="266" t="s">
        <v>38</v>
      </c>
      <c r="S137" s="284"/>
      <c r="T137" s="274"/>
      <c r="U137" s="274"/>
      <c r="V137" s="274"/>
      <c r="W137" s="285"/>
      <c r="X137" s="293"/>
      <c r="Y137" s="285"/>
      <c r="Z137" s="285"/>
      <c r="AA137" s="285"/>
      <c r="AB137" s="285"/>
      <c r="AC137" s="292"/>
      <c r="AD137" s="286"/>
      <c r="AE137" s="285"/>
      <c r="AF137" s="285"/>
      <c r="AG137" s="285"/>
      <c r="AH137" s="285"/>
      <c r="AI137" s="285"/>
      <c r="AJ137" s="285"/>
      <c r="AK137" s="285"/>
      <c r="AL137" s="285"/>
      <c r="AM137" s="285"/>
      <c r="AN137" s="285"/>
      <c r="AO137" s="285"/>
      <c r="AP137" s="285"/>
      <c r="AQ137" s="285"/>
      <c r="AR137" s="285"/>
      <c r="AS137" s="285"/>
      <c r="AT137" s="285"/>
      <c r="AU137" s="285"/>
      <c r="AV137" s="285"/>
      <c r="AW137" s="285"/>
      <c r="AX137" s="285"/>
      <c r="AY137" s="285"/>
      <c r="AZ137" s="285"/>
      <c r="BA137" s="285"/>
      <c r="BB137" s="285"/>
      <c r="BC137" s="365"/>
      <c r="BD137" s="285"/>
      <c r="BE137" s="285"/>
      <c r="BF137" s="285"/>
      <c r="BG137" s="285"/>
      <c r="BH137" s="285" t="s">
        <v>444</v>
      </c>
      <c r="BI137" s="285"/>
      <c r="BJ137" s="285"/>
      <c r="BK137" s="285"/>
      <c r="BL137" s="285"/>
      <c r="BM137" s="285"/>
      <c r="BN137" s="285"/>
      <c r="BO137" s="286"/>
      <c r="BP137" s="286"/>
      <c r="BQ137" s="286"/>
      <c r="BR137" s="286"/>
      <c r="BS137" s="286"/>
      <c r="BT137" s="286"/>
      <c r="BU137" s="286"/>
      <c r="BV137" s="285"/>
      <c r="BW137" s="285"/>
      <c r="BX137" s="285"/>
      <c r="BY137" s="285"/>
      <c r="BZ137" s="285"/>
      <c r="CA137" s="285"/>
      <c r="CB137" s="285"/>
      <c r="CC137" s="285"/>
      <c r="CD137" s="285"/>
      <c r="CE137" s="285"/>
      <c r="CF137" s="285"/>
      <c r="CG137" s="285"/>
      <c r="CH137" s="285"/>
      <c r="CI137" s="285"/>
    </row>
    <row r="138" spans="1:87" ht="16.2" hidden="1" outlineLevel="1" x14ac:dyDescent="0.25">
      <c r="A138" s="278" t="str">
        <f>E138&amp;G138</f>
        <v>lt003_entitycntrprty_emssns_scp1</v>
      </c>
      <c r="B138" s="142" t="s">
        <v>26</v>
      </c>
      <c r="C138" s="138" t="s">
        <v>26</v>
      </c>
      <c r="D138" s="236" t="s">
        <v>40</v>
      </c>
      <c r="E138" s="239" t="s">
        <v>336</v>
      </c>
      <c r="F138" s="239"/>
      <c r="G138" s="239" t="s">
        <v>354</v>
      </c>
      <c r="H138" s="236" t="str">
        <f>VLOOKUP(A138,'2. Status Detalhe Campos'!$A$7:$G$574,7,0)</f>
        <v>2.1 Em Teste</v>
      </c>
      <c r="I138" s="280" t="s">
        <v>38</v>
      </c>
      <c r="J138" s="289">
        <v>45621</v>
      </c>
      <c r="K138" s="289">
        <v>45596</v>
      </c>
      <c r="L138" s="294">
        <f t="array" ref="L138">MIN(IF(W138:CI138&gt;0,$W$16:$CI$16))</f>
        <v>45625</v>
      </c>
      <c r="M138" s="295">
        <f t="array" ref="M138">MAX(IF(W138:CI138&gt;0,$W$16:$CI$16))</f>
        <v>45625</v>
      </c>
      <c r="N138" s="295"/>
      <c r="O138" s="249">
        <f>VLOOKUP(H138,Auxiliar!$B$16:$E$24,4,0)</f>
        <v>0.25</v>
      </c>
      <c r="P138" s="249">
        <f t="shared" ref="P138:P140" ca="1" si="56">IF(TODAY()&lt;=L138,0,MIN((TODAY()-L138)/(M138-L138+1),100%))</f>
        <v>0</v>
      </c>
      <c r="Q138" s="248">
        <f t="shared" ca="1" si="51"/>
        <v>0.25</v>
      </c>
      <c r="R138" s="266" t="s">
        <v>38</v>
      </c>
      <c r="S138" s="284"/>
      <c r="T138" s="274">
        <v>4.0999999999999996</v>
      </c>
      <c r="U138" s="274">
        <f>ROUND(T138/8,1)</f>
        <v>0.5</v>
      </c>
      <c r="V138" s="274">
        <f>SUM(W138:CI138)-U138</f>
        <v>0</v>
      </c>
      <c r="W138" s="285"/>
      <c r="X138" s="293"/>
      <c r="Y138" s="285"/>
      <c r="Z138" s="285"/>
      <c r="AA138" s="285"/>
      <c r="AB138" s="285"/>
      <c r="AC138" s="292"/>
      <c r="AD138" s="286"/>
      <c r="AE138" s="285"/>
      <c r="AF138" s="285"/>
      <c r="AG138" s="285"/>
      <c r="AH138" s="285"/>
      <c r="AI138" s="285"/>
      <c r="AJ138" s="285"/>
      <c r="AK138" s="285"/>
      <c r="AL138" s="285"/>
      <c r="AM138" s="285"/>
      <c r="AN138" s="285"/>
      <c r="AO138" s="285"/>
      <c r="AP138" s="285"/>
      <c r="AQ138" s="285"/>
      <c r="AR138" s="285"/>
      <c r="AS138" s="285"/>
      <c r="AT138" s="285"/>
      <c r="AU138" s="285"/>
      <c r="AV138" s="285"/>
      <c r="AW138" s="285"/>
      <c r="AX138" s="285">
        <v>0.5</v>
      </c>
      <c r="AY138" s="285"/>
      <c r="AZ138" s="285"/>
      <c r="BA138" s="285"/>
      <c r="BB138" s="285"/>
      <c r="BC138" s="285"/>
      <c r="BD138" s="285"/>
      <c r="BE138" s="285"/>
      <c r="BF138" s="285"/>
      <c r="BG138" s="285"/>
      <c r="BH138" s="285"/>
      <c r="BI138" s="285"/>
      <c r="BJ138" s="285"/>
      <c r="BK138" s="285"/>
      <c r="BL138" s="285"/>
      <c r="BM138" s="285"/>
      <c r="BN138" s="285"/>
      <c r="BO138" s="286"/>
      <c r="BP138" s="286"/>
      <c r="BQ138" s="286"/>
      <c r="BR138" s="286"/>
      <c r="BS138" s="286"/>
      <c r="BT138" s="286"/>
      <c r="BU138" s="286"/>
      <c r="BV138" s="285"/>
      <c r="BW138" s="285"/>
      <c r="BX138" s="285"/>
      <c r="BY138" s="285"/>
      <c r="BZ138" s="285"/>
      <c r="CA138" s="285"/>
      <c r="CB138" s="285"/>
      <c r="CC138" s="285"/>
      <c r="CD138" s="285"/>
      <c r="CE138" s="285"/>
      <c r="CF138" s="285"/>
      <c r="CG138" s="285"/>
      <c r="CH138" s="285"/>
      <c r="CI138" s="285"/>
    </row>
    <row r="139" spans="1:87" ht="16.2" hidden="1" outlineLevel="1" x14ac:dyDescent="0.25">
      <c r="A139" s="278" t="str">
        <f>E139&amp;G139</f>
        <v>lt003_entitycntrprty_emssns_scp2</v>
      </c>
      <c r="B139" s="142" t="s">
        <v>26</v>
      </c>
      <c r="C139" s="138" t="s">
        <v>26</v>
      </c>
      <c r="D139" s="236" t="s">
        <v>40</v>
      </c>
      <c r="E139" s="239" t="s">
        <v>336</v>
      </c>
      <c r="F139" s="239"/>
      <c r="G139" s="239" t="s">
        <v>355</v>
      </c>
      <c r="H139" s="236" t="str">
        <f>VLOOKUP(A139,'2. Status Detalhe Campos'!$A$7:$G$574,7,0)</f>
        <v>2.1 Em Teste</v>
      </c>
      <c r="I139" s="280" t="s">
        <v>38</v>
      </c>
      <c r="J139" s="289">
        <v>45621</v>
      </c>
      <c r="K139" s="289">
        <v>45596</v>
      </c>
      <c r="L139" s="294">
        <f t="array" ref="L139">MIN(IF(W139:CI139&gt;0,$W$16:$CI$16))</f>
        <v>45625</v>
      </c>
      <c r="M139" s="295">
        <f t="array" ref="M139">MAX(IF(W139:CI139&gt;0,$W$16:$CI$16))</f>
        <v>45625</v>
      </c>
      <c r="N139" s="295"/>
      <c r="O139" s="249">
        <f>VLOOKUP(H139,Auxiliar!$B$16:$E$24,4,0)</f>
        <v>0.25</v>
      </c>
      <c r="P139" s="249">
        <f t="shared" ca="1" si="56"/>
        <v>0</v>
      </c>
      <c r="Q139" s="248">
        <f t="shared" ca="1" si="51"/>
        <v>0.25</v>
      </c>
      <c r="R139" s="266" t="s">
        <v>38</v>
      </c>
      <c r="S139" s="284"/>
      <c r="T139" s="274">
        <v>4.0999999999999996</v>
      </c>
      <c r="U139" s="274">
        <f>ROUND(T139/8,1)</f>
        <v>0.5</v>
      </c>
      <c r="V139" s="274">
        <f>SUM(W139:CI139)-U139</f>
        <v>0</v>
      </c>
      <c r="W139" s="285"/>
      <c r="X139" s="293"/>
      <c r="Y139" s="285"/>
      <c r="Z139" s="285"/>
      <c r="AA139" s="285"/>
      <c r="AB139" s="285"/>
      <c r="AC139" s="292"/>
      <c r="AD139" s="286"/>
      <c r="AE139" s="285"/>
      <c r="AF139" s="285"/>
      <c r="AG139" s="285"/>
      <c r="AH139" s="285"/>
      <c r="AI139" s="285"/>
      <c r="AJ139" s="285"/>
      <c r="AK139" s="285"/>
      <c r="AL139" s="285"/>
      <c r="AM139" s="285"/>
      <c r="AN139" s="285"/>
      <c r="AO139" s="285"/>
      <c r="AP139" s="285"/>
      <c r="AQ139" s="285"/>
      <c r="AR139" s="285"/>
      <c r="AS139" s="285"/>
      <c r="AT139" s="285"/>
      <c r="AU139" s="285"/>
      <c r="AV139" s="285"/>
      <c r="AW139" s="285"/>
      <c r="AX139" s="285">
        <v>0.5</v>
      </c>
      <c r="AY139" s="285"/>
      <c r="AZ139" s="285"/>
      <c r="BA139" s="285"/>
      <c r="BB139" s="285"/>
      <c r="BC139" s="285"/>
      <c r="BD139" s="285"/>
      <c r="BE139" s="285"/>
      <c r="BF139" s="285"/>
      <c r="BG139" s="285"/>
      <c r="BH139" s="285"/>
      <c r="BI139" s="285"/>
      <c r="BJ139" s="285"/>
      <c r="BK139" s="285"/>
      <c r="BL139" s="285"/>
      <c r="BM139" s="285"/>
      <c r="BN139" s="285"/>
      <c r="BO139" s="286"/>
      <c r="BP139" s="286"/>
      <c r="BQ139" s="286"/>
      <c r="BR139" s="286"/>
      <c r="BS139" s="286"/>
      <c r="BT139" s="286"/>
      <c r="BU139" s="286"/>
      <c r="BV139" s="285"/>
      <c r="BW139" s="285"/>
      <c r="BX139" s="285"/>
      <c r="BY139" s="285"/>
      <c r="BZ139" s="285"/>
      <c r="CA139" s="285"/>
      <c r="CB139" s="285"/>
      <c r="CC139" s="285"/>
      <c r="CD139" s="285"/>
      <c r="CE139" s="285"/>
      <c r="CF139" s="285"/>
      <c r="CG139" s="285"/>
      <c r="CH139" s="285"/>
      <c r="CI139" s="285"/>
    </row>
    <row r="140" spans="1:87" ht="16.2" hidden="1" outlineLevel="1" x14ac:dyDescent="0.25">
      <c r="A140" s="278" t="str">
        <f>E140&amp;G140</f>
        <v>lt003_entitycntrprty_emssns_scp3</v>
      </c>
      <c r="B140" s="142" t="s">
        <v>26</v>
      </c>
      <c r="C140" s="138" t="s">
        <v>26</v>
      </c>
      <c r="D140" s="236" t="s">
        <v>40</v>
      </c>
      <c r="E140" s="239" t="s">
        <v>336</v>
      </c>
      <c r="F140" s="239"/>
      <c r="G140" s="239" t="s">
        <v>356</v>
      </c>
      <c r="H140" s="236" t="str">
        <f>VLOOKUP(A140,'2. Status Detalhe Campos'!$A$7:$G$574,7,0)</f>
        <v>2.1 Em Teste</v>
      </c>
      <c r="I140" s="280" t="s">
        <v>38</v>
      </c>
      <c r="J140" s="289">
        <v>45621</v>
      </c>
      <c r="K140" s="289">
        <v>45596</v>
      </c>
      <c r="L140" s="294">
        <f t="array" ref="L140">MIN(IF(W140:CI140&gt;0,$W$16:$CI$16))</f>
        <v>45638</v>
      </c>
      <c r="M140" s="295">
        <f t="array" ref="M140">MAX(IF(W140:CI140&gt;0,$W$16:$CI$16))</f>
        <v>45638</v>
      </c>
      <c r="N140" s="295"/>
      <c r="O140" s="249">
        <f>VLOOKUP(H140,Auxiliar!$B$16:$E$24,4,0)</f>
        <v>0.25</v>
      </c>
      <c r="P140" s="249">
        <f t="shared" ca="1" si="56"/>
        <v>0</v>
      </c>
      <c r="Q140" s="248">
        <f t="shared" ca="1" si="51"/>
        <v>0.25</v>
      </c>
      <c r="R140" s="266" t="s">
        <v>38</v>
      </c>
      <c r="S140" s="284"/>
      <c r="T140" s="274">
        <v>4.0999999999999996</v>
      </c>
      <c r="U140" s="274">
        <f>ROUND(T140/8,1)</f>
        <v>0.5</v>
      </c>
      <c r="V140" s="274">
        <f>SUM(W140:CI140)-U140</f>
        <v>0</v>
      </c>
      <c r="W140" s="285"/>
      <c r="X140" s="293"/>
      <c r="Y140" s="285"/>
      <c r="Z140" s="285"/>
      <c r="AA140" s="285"/>
      <c r="AB140" s="285"/>
      <c r="AC140" s="292"/>
      <c r="AD140" s="286"/>
      <c r="AE140" s="285"/>
      <c r="AF140" s="285"/>
      <c r="AG140" s="285"/>
      <c r="AH140" s="285"/>
      <c r="AI140" s="285"/>
      <c r="AJ140" s="285"/>
      <c r="AK140" s="285"/>
      <c r="AL140" s="285"/>
      <c r="AM140" s="285"/>
      <c r="AN140" s="285"/>
      <c r="AO140" s="285"/>
      <c r="AP140" s="285"/>
      <c r="AQ140" s="285"/>
      <c r="AR140" s="285"/>
      <c r="AS140" s="285"/>
      <c r="AT140" s="285"/>
      <c r="AU140" s="285"/>
      <c r="AV140" s="285"/>
      <c r="AW140" s="285"/>
      <c r="AX140" s="285"/>
      <c r="AY140" s="285"/>
      <c r="AZ140" s="285"/>
      <c r="BA140" s="285"/>
      <c r="BB140" s="285"/>
      <c r="BC140" s="285"/>
      <c r="BD140" s="285"/>
      <c r="BE140" s="285"/>
      <c r="BF140" s="285"/>
      <c r="BG140" s="285">
        <v>0.5</v>
      </c>
      <c r="BH140" s="285"/>
      <c r="BI140" s="285"/>
      <c r="BJ140" s="285"/>
      <c r="BK140" s="285"/>
      <c r="BL140" s="285"/>
      <c r="BM140" s="285"/>
      <c r="BN140" s="285"/>
      <c r="BO140" s="286"/>
      <c r="BP140" s="286"/>
      <c r="BQ140" s="286"/>
      <c r="BR140" s="286"/>
      <c r="BS140" s="286"/>
      <c r="BT140" s="286"/>
      <c r="BU140" s="286"/>
      <c r="BV140" s="285"/>
      <c r="BW140" s="285"/>
      <c r="BX140" s="285"/>
      <c r="BY140" s="285"/>
      <c r="BZ140" s="285"/>
      <c r="CA140" s="285"/>
      <c r="CB140" s="285"/>
      <c r="CC140" s="285"/>
      <c r="CD140" s="285"/>
      <c r="CE140" s="285"/>
      <c r="CF140" s="285"/>
      <c r="CG140" s="285"/>
      <c r="CH140" s="285"/>
      <c r="CI140" s="285"/>
    </row>
    <row r="141" spans="1:87" ht="15" customHeight="1" collapsed="1" x14ac:dyDescent="0.25">
      <c r="A141" s="278"/>
      <c r="B141" s="142" t="s">
        <v>26</v>
      </c>
      <c r="C141" s="138" t="s">
        <v>311</v>
      </c>
      <c r="D141" s="134"/>
      <c r="E141" s="240" t="s">
        <v>326</v>
      </c>
      <c r="F141" s="240" t="s">
        <v>2000</v>
      </c>
      <c r="G141" s="241">
        <f>COUNTA(G142:G147)</f>
        <v>6</v>
      </c>
      <c r="H141" s="303" t="s">
        <v>2024</v>
      </c>
      <c r="I141" s="280" t="s">
        <v>38</v>
      </c>
      <c r="J141" s="281">
        <f>MIN(J142:J147)</f>
        <v>45621</v>
      </c>
      <c r="K141" s="281">
        <f>MIN(K142:K147)</f>
        <v>45622</v>
      </c>
      <c r="L141" s="281">
        <f>MIN(L142:L147)</f>
        <v>45635</v>
      </c>
      <c r="M141" s="282">
        <f>MAX(M142:M147)</f>
        <v>45642</v>
      </c>
      <c r="N141" s="332">
        <f t="array" ref="N141">MAX(IF(W141:CI141&gt;0,$W$16:$CI$16))</f>
        <v>45646</v>
      </c>
      <c r="O141" s="331">
        <f>SUMPRODUCT(O142:O147,U142:U147)/SUM(U142:U147)</f>
        <v>0.25</v>
      </c>
      <c r="P141" s="251">
        <f ca="1">SUMPRODUCT(P142:P147,U142:U147)/SUM(U142:U147)</f>
        <v>0</v>
      </c>
      <c r="Q141" s="248">
        <f t="shared" ca="1" si="51"/>
        <v>0.25</v>
      </c>
      <c r="R141" s="266" t="s">
        <v>38</v>
      </c>
      <c r="S141" s="284"/>
      <c r="T141" s="274"/>
      <c r="U141" s="274"/>
      <c r="V141" s="274"/>
      <c r="W141" s="285"/>
      <c r="X141" s="285"/>
      <c r="Y141" s="285"/>
      <c r="Z141" s="285"/>
      <c r="AA141" s="285"/>
      <c r="AB141" s="285"/>
      <c r="AC141" s="285"/>
      <c r="AD141" s="286"/>
      <c r="AE141" s="285"/>
      <c r="AF141" s="285"/>
      <c r="AG141" s="285"/>
      <c r="AH141" s="285"/>
      <c r="AI141" s="285"/>
      <c r="AJ141" s="285"/>
      <c r="AK141" s="285"/>
      <c r="AL141" s="285"/>
      <c r="AM141" s="285"/>
      <c r="AN141" s="285"/>
      <c r="AO141" s="285"/>
      <c r="AP141" s="285"/>
      <c r="AQ141" s="285"/>
      <c r="AR141" s="285"/>
      <c r="AS141" s="285"/>
      <c r="AT141" s="287"/>
      <c r="AU141" s="273"/>
      <c r="AV141" s="285"/>
      <c r="AW141" s="285"/>
      <c r="AX141" s="285"/>
      <c r="AY141" s="285"/>
      <c r="AZ141" s="285"/>
      <c r="BA141" s="285"/>
      <c r="BB141" s="285"/>
      <c r="BC141" s="285"/>
      <c r="BD141" s="285"/>
      <c r="BE141" s="285"/>
      <c r="BF141" s="285"/>
      <c r="BG141" s="285"/>
      <c r="BH141" s="285"/>
      <c r="BI141" s="285"/>
      <c r="BJ141" s="285"/>
      <c r="BK141" s="285"/>
      <c r="BL141" s="285"/>
      <c r="BM141" s="285" t="s">
        <v>444</v>
      </c>
      <c r="BN141" s="285"/>
      <c r="BO141" s="286"/>
      <c r="BP141" s="286"/>
      <c r="BQ141" s="286"/>
      <c r="BR141" s="286"/>
      <c r="BS141" s="286"/>
      <c r="BT141" s="286"/>
      <c r="BU141" s="286"/>
      <c r="BV141" s="285"/>
      <c r="BW141" s="285"/>
      <c r="BX141" s="285"/>
      <c r="BY141" s="285"/>
      <c r="BZ141" s="285"/>
      <c r="CA141" s="285"/>
      <c r="CB141" s="285"/>
      <c r="CC141" s="285"/>
      <c r="CD141" s="285"/>
      <c r="CE141" s="285"/>
      <c r="CF141" s="285"/>
      <c r="CG141" s="285"/>
      <c r="CH141" s="285"/>
      <c r="CI141" s="285"/>
    </row>
    <row r="142" spans="1:87" ht="16.2" outlineLevel="1" x14ac:dyDescent="0.25">
      <c r="A142" s="278" t="str">
        <f t="shared" ref="A142:A147" si="57">E142&amp;G142</f>
        <v>modesg_out_empr_info_nfinorigem_scp1_emss</v>
      </c>
      <c r="B142" s="142" t="s">
        <v>26</v>
      </c>
      <c r="C142" s="138" t="s">
        <v>311</v>
      </c>
      <c r="D142" s="236" t="s">
        <v>40</v>
      </c>
      <c r="E142" s="237" t="s">
        <v>326</v>
      </c>
      <c r="F142" s="237"/>
      <c r="G142" s="236" t="s">
        <v>320</v>
      </c>
      <c r="H142" s="236" t="str">
        <f>VLOOKUP(A142,'2. Status Detalhe Campos'!$A$7:$G$574,7,0)</f>
        <v>2.1 Em Teste</v>
      </c>
      <c r="I142" s="280" t="s">
        <v>38</v>
      </c>
      <c r="J142" s="289">
        <v>45621</v>
      </c>
      <c r="K142" s="289">
        <v>45622</v>
      </c>
      <c r="L142" s="294">
        <f t="array" ref="L142">MIN(IF(W142:CI142&gt;0,$W$16:$CI$16))</f>
        <v>45635</v>
      </c>
      <c r="M142" s="295">
        <f t="array" ref="M142">MAX(IF(W142:CI142&gt;0,$W$16:$CI$16))</f>
        <v>45635</v>
      </c>
      <c r="N142" s="295"/>
      <c r="O142" s="249">
        <f>VLOOKUP(H142,Auxiliar!$B$16:$E$24,4,0)</f>
        <v>0.25</v>
      </c>
      <c r="P142" s="249">
        <f t="shared" ref="P142:P147" ca="1" si="58">IF(TODAY()&lt;=L142,0,MIN((TODAY()-L142)/(M142-L142+1),100%))</f>
        <v>0</v>
      </c>
      <c r="Q142" s="248">
        <f t="shared" ca="1" si="51"/>
        <v>0.25</v>
      </c>
      <c r="R142" s="266" t="s">
        <v>38</v>
      </c>
      <c r="S142" s="284"/>
      <c r="T142" s="274">
        <v>4.0999999999999996</v>
      </c>
      <c r="U142" s="274">
        <f t="shared" ref="U142:U147" si="59">ROUND(T142/8,1)</f>
        <v>0.5</v>
      </c>
      <c r="V142" s="274">
        <f t="shared" ref="V142:V147" si="60">SUM(W142:CI142)-U142</f>
        <v>0</v>
      </c>
      <c r="W142" s="285"/>
      <c r="X142" s="285"/>
      <c r="Y142" s="285"/>
      <c r="Z142" s="285"/>
      <c r="AA142" s="285"/>
      <c r="AB142" s="285"/>
      <c r="AC142" s="285"/>
      <c r="AD142" s="286"/>
      <c r="AE142" s="285"/>
      <c r="AF142" s="285"/>
      <c r="AG142" s="285"/>
      <c r="AH142" s="285"/>
      <c r="AI142" s="285"/>
      <c r="AJ142" s="285"/>
      <c r="AK142" s="285"/>
      <c r="AL142" s="285"/>
      <c r="AM142" s="285"/>
      <c r="AN142" s="285"/>
      <c r="AO142" s="285"/>
      <c r="AP142" s="285"/>
      <c r="AQ142" s="285"/>
      <c r="AR142" s="285"/>
      <c r="AS142" s="285"/>
      <c r="AT142" s="287"/>
      <c r="AU142" s="273"/>
      <c r="AV142" s="285"/>
      <c r="AW142" s="285"/>
      <c r="AX142" s="285"/>
      <c r="AY142" s="285"/>
      <c r="AZ142" s="285"/>
      <c r="BA142" s="285"/>
      <c r="BB142" s="285"/>
      <c r="BC142" s="285"/>
      <c r="BD142" s="285">
        <v>0.5</v>
      </c>
      <c r="BE142" s="285"/>
      <c r="BF142" s="285"/>
      <c r="BG142" s="285"/>
      <c r="BH142" s="285"/>
      <c r="BI142" s="285"/>
      <c r="BJ142" s="285"/>
      <c r="BK142" s="285"/>
      <c r="BL142" s="285"/>
      <c r="BM142" s="285"/>
      <c r="BN142" s="285"/>
      <c r="BO142" s="286"/>
      <c r="BP142" s="286"/>
      <c r="BQ142" s="286"/>
      <c r="BR142" s="286"/>
      <c r="BS142" s="286"/>
      <c r="BT142" s="286"/>
      <c r="BU142" s="286"/>
      <c r="BV142" s="285"/>
      <c r="BW142" s="285"/>
      <c r="BX142" s="285"/>
      <c r="BY142" s="285"/>
      <c r="BZ142" s="285"/>
      <c r="CA142" s="285"/>
      <c r="CB142" s="285"/>
      <c r="CC142" s="285"/>
      <c r="CD142" s="285"/>
      <c r="CE142" s="285"/>
      <c r="CF142" s="285"/>
      <c r="CG142" s="285"/>
      <c r="CH142" s="285"/>
      <c r="CI142" s="285"/>
    </row>
    <row r="143" spans="1:87" ht="16.2" outlineLevel="1" x14ac:dyDescent="0.25">
      <c r="A143" s="278" t="str">
        <f t="shared" si="57"/>
        <v>modesg_out_empr_info_nfinorigem_scp2_emss</v>
      </c>
      <c r="B143" s="142" t="s">
        <v>26</v>
      </c>
      <c r="C143" s="138" t="s">
        <v>311</v>
      </c>
      <c r="D143" s="236" t="s">
        <v>40</v>
      </c>
      <c r="E143" s="237" t="s">
        <v>326</v>
      </c>
      <c r="F143" s="237"/>
      <c r="G143" s="236" t="s">
        <v>321</v>
      </c>
      <c r="H143" s="236" t="str">
        <f>VLOOKUP(A143,'2. Status Detalhe Campos'!$A$7:$G$574,7,0)</f>
        <v>2.1 Em Teste</v>
      </c>
      <c r="I143" s="280" t="s">
        <v>38</v>
      </c>
      <c r="J143" s="289">
        <v>45621</v>
      </c>
      <c r="K143" s="289">
        <v>45622</v>
      </c>
      <c r="L143" s="294">
        <f t="array" ref="L143">MIN(IF(W143:CI143&gt;0,$W$16:$CI$16))</f>
        <v>45635</v>
      </c>
      <c r="M143" s="295">
        <f t="array" ref="M143">MAX(IF(W143:CI143&gt;0,$W$16:$CI$16))</f>
        <v>45635</v>
      </c>
      <c r="N143" s="295"/>
      <c r="O143" s="249">
        <f>VLOOKUP(H143,Auxiliar!$B$16:$E$24,4,0)</f>
        <v>0.25</v>
      </c>
      <c r="P143" s="249">
        <f t="shared" ca="1" si="58"/>
        <v>0</v>
      </c>
      <c r="Q143" s="248">
        <f t="shared" ca="1" si="51"/>
        <v>0.25</v>
      </c>
      <c r="R143" s="266" t="s">
        <v>38</v>
      </c>
      <c r="S143" s="284"/>
      <c r="T143" s="274">
        <v>4.0999999999999996</v>
      </c>
      <c r="U143" s="274">
        <f t="shared" si="59"/>
        <v>0.5</v>
      </c>
      <c r="V143" s="274">
        <f t="shared" si="60"/>
        <v>0</v>
      </c>
      <c r="W143" s="285"/>
      <c r="X143" s="285"/>
      <c r="Y143" s="285"/>
      <c r="Z143" s="285"/>
      <c r="AA143" s="285"/>
      <c r="AB143" s="285"/>
      <c r="AC143" s="285"/>
      <c r="AD143" s="286"/>
      <c r="AE143" s="285"/>
      <c r="AF143" s="285"/>
      <c r="AG143" s="285"/>
      <c r="AH143" s="285"/>
      <c r="AI143" s="285"/>
      <c r="AJ143" s="285"/>
      <c r="AK143" s="285"/>
      <c r="AL143" s="285"/>
      <c r="AM143" s="285"/>
      <c r="AN143" s="285"/>
      <c r="AO143" s="285"/>
      <c r="AP143" s="285"/>
      <c r="AQ143" s="285"/>
      <c r="AR143" s="285"/>
      <c r="AS143" s="285"/>
      <c r="AT143" s="287"/>
      <c r="AU143" s="273"/>
      <c r="AV143" s="285"/>
      <c r="AW143" s="285"/>
      <c r="AX143" s="285"/>
      <c r="AY143" s="285"/>
      <c r="AZ143" s="285"/>
      <c r="BA143" s="285"/>
      <c r="BB143" s="285"/>
      <c r="BC143" s="285"/>
      <c r="BD143" s="285">
        <v>0.5</v>
      </c>
      <c r="BE143" s="285"/>
      <c r="BF143" s="285"/>
      <c r="BG143" s="285"/>
      <c r="BH143" s="285"/>
      <c r="BI143" s="285"/>
      <c r="BJ143" s="285"/>
      <c r="BK143" s="285"/>
      <c r="BL143" s="285"/>
      <c r="BM143" s="285"/>
      <c r="BN143" s="285"/>
      <c r="BO143" s="286"/>
      <c r="BP143" s="286"/>
      <c r="BQ143" s="286"/>
      <c r="BR143" s="286"/>
      <c r="BS143" s="286"/>
      <c r="BT143" s="286"/>
      <c r="BU143" s="286"/>
      <c r="BV143" s="285"/>
      <c r="BW143" s="285"/>
      <c r="BX143" s="285"/>
      <c r="BY143" s="285"/>
      <c r="BZ143" s="285"/>
      <c r="CA143" s="285"/>
      <c r="CB143" s="285"/>
      <c r="CC143" s="285"/>
      <c r="CD143" s="285"/>
      <c r="CE143" s="285"/>
      <c r="CF143" s="285"/>
      <c r="CG143" s="285"/>
      <c r="CH143" s="285"/>
      <c r="CI143" s="285"/>
    </row>
    <row r="144" spans="1:87" ht="16.2" outlineLevel="1" x14ac:dyDescent="0.25">
      <c r="A144" s="278" t="str">
        <f t="shared" si="57"/>
        <v>modesg_out_empr_info_nfinorigem_scp3_emss</v>
      </c>
      <c r="B144" s="142" t="s">
        <v>26</v>
      </c>
      <c r="C144" s="138" t="s">
        <v>311</v>
      </c>
      <c r="D144" s="236" t="s">
        <v>40</v>
      </c>
      <c r="E144" s="237" t="s">
        <v>326</v>
      </c>
      <c r="F144" s="237"/>
      <c r="G144" s="236" t="s">
        <v>322</v>
      </c>
      <c r="H144" s="236" t="str">
        <f>VLOOKUP(A144,'2. Status Detalhe Campos'!$A$7:$G$574,7,0)</f>
        <v>2.1 Em Teste</v>
      </c>
      <c r="I144" s="280" t="s">
        <v>38</v>
      </c>
      <c r="J144" s="289">
        <v>45621</v>
      </c>
      <c r="K144" s="289">
        <v>45622</v>
      </c>
      <c r="L144" s="294">
        <f t="array" ref="L144">MIN(IF(W144:CI144&gt;0,$W$16:$CI$16))</f>
        <v>45636</v>
      </c>
      <c r="M144" s="295">
        <f t="array" ref="M144">MAX(IF(W144:CI144&gt;0,$W$16:$CI$16))</f>
        <v>45636</v>
      </c>
      <c r="N144" s="295"/>
      <c r="O144" s="249">
        <f>VLOOKUP(H144,Auxiliar!$B$16:$E$24,4,0)</f>
        <v>0.25</v>
      </c>
      <c r="P144" s="249">
        <f t="shared" ca="1" si="58"/>
        <v>0</v>
      </c>
      <c r="Q144" s="248">
        <f t="shared" ca="1" si="51"/>
        <v>0.25</v>
      </c>
      <c r="R144" s="266" t="s">
        <v>38</v>
      </c>
      <c r="S144" s="284"/>
      <c r="T144" s="274">
        <v>4.0999999999999996</v>
      </c>
      <c r="U144" s="274">
        <f t="shared" si="59"/>
        <v>0.5</v>
      </c>
      <c r="V144" s="274">
        <f t="shared" si="60"/>
        <v>0</v>
      </c>
      <c r="W144" s="285"/>
      <c r="X144" s="285"/>
      <c r="Y144" s="285"/>
      <c r="Z144" s="285"/>
      <c r="AA144" s="285"/>
      <c r="AB144" s="285"/>
      <c r="AC144" s="285"/>
      <c r="AD144" s="286"/>
      <c r="AE144" s="285"/>
      <c r="AF144" s="285"/>
      <c r="AG144" s="285"/>
      <c r="AH144" s="285"/>
      <c r="AI144" s="285"/>
      <c r="AJ144" s="285"/>
      <c r="AK144" s="285"/>
      <c r="AL144" s="285"/>
      <c r="AM144" s="285"/>
      <c r="AN144" s="285"/>
      <c r="AO144" s="285"/>
      <c r="AP144" s="285"/>
      <c r="AQ144" s="285"/>
      <c r="AR144" s="285"/>
      <c r="AS144" s="285"/>
      <c r="AT144" s="287"/>
      <c r="AU144" s="273"/>
      <c r="AV144" s="285"/>
      <c r="AW144" s="285"/>
      <c r="AX144" s="285"/>
      <c r="AY144" s="285"/>
      <c r="AZ144" s="285"/>
      <c r="BA144" s="285"/>
      <c r="BB144" s="285"/>
      <c r="BC144" s="285"/>
      <c r="BD144" s="285"/>
      <c r="BE144" s="285">
        <v>0.5</v>
      </c>
      <c r="BF144" s="285"/>
      <c r="BG144" s="285"/>
      <c r="BH144" s="285"/>
      <c r="BI144" s="285"/>
      <c r="BJ144" s="285"/>
      <c r="BK144" s="285"/>
      <c r="BL144" s="285"/>
      <c r="BM144" s="285"/>
      <c r="BN144" s="285"/>
      <c r="BO144" s="286"/>
      <c r="BP144" s="286"/>
      <c r="BQ144" s="286"/>
      <c r="BR144" s="286"/>
      <c r="BS144" s="286"/>
      <c r="BT144" s="286"/>
      <c r="BU144" s="286"/>
      <c r="BV144" s="285"/>
      <c r="BW144" s="285"/>
      <c r="BX144" s="285"/>
      <c r="BY144" s="285"/>
      <c r="BZ144" s="285"/>
      <c r="CA144" s="285"/>
      <c r="CB144" s="285"/>
      <c r="CC144" s="285"/>
      <c r="CD144" s="285"/>
      <c r="CE144" s="285"/>
      <c r="CF144" s="285"/>
      <c r="CG144" s="285"/>
      <c r="CH144" s="285"/>
      <c r="CI144" s="285"/>
    </row>
    <row r="145" spans="1:87" ht="16.2" outlineLevel="1" x14ac:dyDescent="0.25">
      <c r="A145" s="278" t="str">
        <f t="shared" si="57"/>
        <v>modesg_out_empr_info_nfinscp1_emss</v>
      </c>
      <c r="B145" s="142" t="s">
        <v>26</v>
      </c>
      <c r="C145" s="138" t="s">
        <v>311</v>
      </c>
      <c r="D145" s="236" t="s">
        <v>40</v>
      </c>
      <c r="E145" s="237" t="s">
        <v>326</v>
      </c>
      <c r="F145" s="237"/>
      <c r="G145" s="236" t="s">
        <v>286</v>
      </c>
      <c r="H145" s="236" t="str">
        <f>VLOOKUP(A145,'2. Status Detalhe Campos'!$A$7:$G$574,7,0)</f>
        <v>2.1 Em Teste</v>
      </c>
      <c r="I145" s="280" t="s">
        <v>38</v>
      </c>
      <c r="J145" s="289">
        <v>45621</v>
      </c>
      <c r="K145" s="289">
        <v>45622</v>
      </c>
      <c r="L145" s="294">
        <f t="array" ref="L145">MIN(IF(W145:CI145&gt;0,$W$16:$CI$16))</f>
        <v>45636</v>
      </c>
      <c r="M145" s="295">
        <f t="array" ref="M145">MAX(IF(W145:CI145&gt;0,$W$16:$CI$16))</f>
        <v>45637</v>
      </c>
      <c r="N145" s="295"/>
      <c r="O145" s="249">
        <f>VLOOKUP(H145,Auxiliar!$B$16:$E$24,4,0)</f>
        <v>0.25</v>
      </c>
      <c r="P145" s="249">
        <f t="shared" ca="1" si="58"/>
        <v>0</v>
      </c>
      <c r="Q145" s="248">
        <f t="shared" ca="1" si="51"/>
        <v>0.25</v>
      </c>
      <c r="R145" s="266" t="s">
        <v>38</v>
      </c>
      <c r="S145" s="284"/>
      <c r="T145" s="274">
        <v>8.1</v>
      </c>
      <c r="U145" s="274">
        <f t="shared" si="59"/>
        <v>1</v>
      </c>
      <c r="V145" s="274">
        <f t="shared" si="60"/>
        <v>0</v>
      </c>
      <c r="W145" s="285"/>
      <c r="X145" s="285"/>
      <c r="Y145" s="285"/>
      <c r="Z145" s="285"/>
      <c r="AA145" s="285"/>
      <c r="AB145" s="285"/>
      <c r="AC145" s="285"/>
      <c r="AD145" s="286"/>
      <c r="AE145" s="285"/>
      <c r="AF145" s="285"/>
      <c r="AG145" s="285"/>
      <c r="AH145" s="285"/>
      <c r="AI145" s="285"/>
      <c r="AJ145" s="285"/>
      <c r="AK145" s="285"/>
      <c r="AL145" s="285"/>
      <c r="AM145" s="285"/>
      <c r="AN145" s="285"/>
      <c r="AO145" s="285"/>
      <c r="AP145" s="285"/>
      <c r="AQ145" s="285"/>
      <c r="AR145" s="285"/>
      <c r="AS145" s="285"/>
      <c r="AT145" s="287"/>
      <c r="AU145" s="273"/>
      <c r="AV145" s="285"/>
      <c r="AW145" s="285"/>
      <c r="AX145" s="285"/>
      <c r="AY145" s="285"/>
      <c r="AZ145" s="285"/>
      <c r="BA145" s="285"/>
      <c r="BB145" s="285"/>
      <c r="BC145" s="285"/>
      <c r="BD145" s="285"/>
      <c r="BE145" s="285">
        <v>0.5</v>
      </c>
      <c r="BF145" s="285">
        <v>0.5</v>
      </c>
      <c r="BG145" s="285"/>
      <c r="BH145" s="285"/>
      <c r="BI145" s="285"/>
      <c r="BJ145" s="285"/>
      <c r="BK145" s="285"/>
      <c r="BL145" s="285"/>
      <c r="BM145" s="285"/>
      <c r="BN145" s="285"/>
      <c r="BO145" s="286"/>
      <c r="BP145" s="286"/>
      <c r="BQ145" s="286"/>
      <c r="BR145" s="286"/>
      <c r="BS145" s="286"/>
      <c r="BT145" s="286"/>
      <c r="BU145" s="286"/>
      <c r="BV145" s="285"/>
      <c r="BW145" s="285"/>
      <c r="BX145" s="285"/>
      <c r="BY145" s="285"/>
      <c r="BZ145" s="285"/>
      <c r="CA145" s="285"/>
      <c r="CB145" s="285"/>
      <c r="CC145" s="285"/>
      <c r="CD145" s="285"/>
      <c r="CE145" s="285"/>
      <c r="CF145" s="285"/>
      <c r="CG145" s="285"/>
      <c r="CH145" s="285"/>
      <c r="CI145" s="285"/>
    </row>
    <row r="146" spans="1:87" ht="16.2" outlineLevel="1" x14ac:dyDescent="0.25">
      <c r="A146" s="278" t="str">
        <f t="shared" si="57"/>
        <v>modesg_out_empr_info_nfinscp2_emss</v>
      </c>
      <c r="B146" s="142" t="s">
        <v>26</v>
      </c>
      <c r="C146" s="138" t="s">
        <v>311</v>
      </c>
      <c r="D146" s="236" t="s">
        <v>40</v>
      </c>
      <c r="E146" s="237" t="s">
        <v>326</v>
      </c>
      <c r="F146" s="237"/>
      <c r="G146" s="236" t="s">
        <v>287</v>
      </c>
      <c r="H146" s="236" t="str">
        <f>VLOOKUP(A146,'2. Status Detalhe Campos'!$A$7:$G$574,7,0)</f>
        <v>2.1 Em Teste</v>
      </c>
      <c r="I146" s="280" t="s">
        <v>38</v>
      </c>
      <c r="J146" s="289">
        <v>45621</v>
      </c>
      <c r="K146" s="289">
        <v>45622</v>
      </c>
      <c r="L146" s="294">
        <f t="array" ref="L146">MIN(IF(W146:CI146&gt;0,$W$16:$CI$16))</f>
        <v>45637</v>
      </c>
      <c r="M146" s="295">
        <f t="array" ref="M146">MAX(IF(W146:CI146&gt;0,$W$16:$CI$16))</f>
        <v>45639</v>
      </c>
      <c r="N146" s="295"/>
      <c r="O146" s="249">
        <f>VLOOKUP(H146,Auxiliar!$B$16:$E$24,4,0)</f>
        <v>0.25</v>
      </c>
      <c r="P146" s="249">
        <f t="shared" ca="1" si="58"/>
        <v>0</v>
      </c>
      <c r="Q146" s="248">
        <f t="shared" ca="1" si="51"/>
        <v>0.25</v>
      </c>
      <c r="R146" s="266" t="s">
        <v>38</v>
      </c>
      <c r="S146" s="284"/>
      <c r="T146" s="274">
        <v>8.1</v>
      </c>
      <c r="U146" s="274">
        <f t="shared" si="59"/>
        <v>1</v>
      </c>
      <c r="V146" s="274">
        <f t="shared" si="60"/>
        <v>0</v>
      </c>
      <c r="W146" s="285"/>
      <c r="X146" s="285"/>
      <c r="Y146" s="285"/>
      <c r="Z146" s="285"/>
      <c r="AA146" s="285"/>
      <c r="AB146" s="285"/>
      <c r="AC146" s="285"/>
      <c r="AD146" s="286"/>
      <c r="AE146" s="285"/>
      <c r="AF146" s="285"/>
      <c r="AG146" s="285"/>
      <c r="AH146" s="285"/>
      <c r="AI146" s="285"/>
      <c r="AJ146" s="285"/>
      <c r="AK146" s="285"/>
      <c r="AL146" s="285"/>
      <c r="AM146" s="285"/>
      <c r="AN146" s="285"/>
      <c r="AO146" s="285"/>
      <c r="AP146" s="285"/>
      <c r="AQ146" s="285"/>
      <c r="AR146" s="285"/>
      <c r="AS146" s="285"/>
      <c r="AT146" s="287"/>
      <c r="AU146" s="273"/>
      <c r="AV146" s="285"/>
      <c r="AW146" s="285"/>
      <c r="AX146" s="285"/>
      <c r="AY146" s="285"/>
      <c r="AZ146" s="285"/>
      <c r="BA146" s="285"/>
      <c r="BB146" s="285"/>
      <c r="BC146" s="285"/>
      <c r="BD146" s="285"/>
      <c r="BE146" s="285"/>
      <c r="BF146" s="285">
        <v>0.5</v>
      </c>
      <c r="BG146" s="285"/>
      <c r="BH146" s="285">
        <v>0.5</v>
      </c>
      <c r="BI146" s="285"/>
      <c r="BJ146" s="285"/>
      <c r="BK146" s="285"/>
      <c r="BL146" s="285"/>
      <c r="BM146" s="285"/>
      <c r="BN146" s="285"/>
      <c r="BO146" s="286"/>
      <c r="BP146" s="286"/>
      <c r="BQ146" s="286"/>
      <c r="BR146" s="286"/>
      <c r="BS146" s="286"/>
      <c r="BT146" s="286"/>
      <c r="BU146" s="286"/>
      <c r="BV146" s="285"/>
      <c r="BW146" s="285"/>
      <c r="BX146" s="285"/>
      <c r="BY146" s="285"/>
      <c r="BZ146" s="285"/>
      <c r="CA146" s="285"/>
      <c r="CB146" s="285"/>
      <c r="CC146" s="285"/>
      <c r="CD146" s="285"/>
      <c r="CE146" s="285"/>
      <c r="CF146" s="285"/>
      <c r="CG146" s="285"/>
      <c r="CH146" s="285"/>
      <c r="CI146" s="285"/>
    </row>
    <row r="147" spans="1:87" ht="16.2" outlineLevel="1" x14ac:dyDescent="0.25">
      <c r="A147" s="278" t="str">
        <f t="shared" si="57"/>
        <v>modesg_out_empr_info_nfinscp3_emss</v>
      </c>
      <c r="B147" s="142" t="s">
        <v>26</v>
      </c>
      <c r="C147" s="138" t="s">
        <v>311</v>
      </c>
      <c r="D147" s="236" t="s">
        <v>40</v>
      </c>
      <c r="E147" s="237" t="s">
        <v>326</v>
      </c>
      <c r="F147" s="237"/>
      <c r="G147" s="236" t="s">
        <v>288</v>
      </c>
      <c r="H147" s="236" t="str">
        <f>VLOOKUP(A147,'2. Status Detalhe Campos'!$A$7:$G$574,7,0)</f>
        <v>2.1 Em Teste</v>
      </c>
      <c r="I147" s="280" t="s">
        <v>38</v>
      </c>
      <c r="J147" s="289">
        <v>45621</v>
      </c>
      <c r="K147" s="289">
        <v>45622</v>
      </c>
      <c r="L147" s="294">
        <f t="array" ref="L147">MIN(IF(W147:CI147&gt;0,$W$16:$CI$16))</f>
        <v>45639</v>
      </c>
      <c r="M147" s="295">
        <f t="array" ref="M147">MAX(IF(W147:CI147&gt;0,$W$16:$CI$16))</f>
        <v>45642</v>
      </c>
      <c r="N147" s="295"/>
      <c r="O147" s="249">
        <f>VLOOKUP(H147,Auxiliar!$B$16:$E$24,4,0)</f>
        <v>0.25</v>
      </c>
      <c r="P147" s="249">
        <f t="shared" ca="1" si="58"/>
        <v>0</v>
      </c>
      <c r="Q147" s="248">
        <f t="shared" ca="1" si="51"/>
        <v>0.25</v>
      </c>
      <c r="R147" s="266" t="s">
        <v>38</v>
      </c>
      <c r="S147" s="284"/>
      <c r="T147" s="274">
        <v>8.1</v>
      </c>
      <c r="U147" s="274">
        <f t="shared" si="59"/>
        <v>1</v>
      </c>
      <c r="V147" s="274">
        <f t="shared" si="60"/>
        <v>0</v>
      </c>
      <c r="W147" s="285"/>
      <c r="X147" s="285"/>
      <c r="Y147" s="285"/>
      <c r="Z147" s="285"/>
      <c r="AA147" s="285"/>
      <c r="AB147" s="285"/>
      <c r="AC147" s="285"/>
      <c r="AD147" s="286"/>
      <c r="AE147" s="285"/>
      <c r="AF147" s="285"/>
      <c r="AG147" s="285"/>
      <c r="AH147" s="285"/>
      <c r="AI147" s="285"/>
      <c r="AJ147" s="285"/>
      <c r="AK147" s="285"/>
      <c r="AL147" s="285"/>
      <c r="AM147" s="285"/>
      <c r="AN147" s="285"/>
      <c r="AO147" s="285"/>
      <c r="AP147" s="285"/>
      <c r="AQ147" s="285"/>
      <c r="AR147" s="285"/>
      <c r="AS147" s="285"/>
      <c r="AT147" s="287"/>
      <c r="AU147" s="273"/>
      <c r="AV147" s="285"/>
      <c r="AW147" s="285"/>
      <c r="AX147" s="285"/>
      <c r="AY147" s="285"/>
      <c r="AZ147" s="285"/>
      <c r="BA147" s="285"/>
      <c r="BB147" s="285"/>
      <c r="BC147" s="285"/>
      <c r="BD147" s="285"/>
      <c r="BE147" s="285"/>
      <c r="BF147" s="285"/>
      <c r="BG147" s="285"/>
      <c r="BH147" s="285">
        <v>0.5</v>
      </c>
      <c r="BI147" s="285">
        <v>0.5</v>
      </c>
      <c r="BJ147" s="285"/>
      <c r="BK147" s="285"/>
      <c r="BL147" s="285"/>
      <c r="BM147" s="285"/>
      <c r="BN147" s="285"/>
      <c r="BO147" s="286"/>
      <c r="BP147" s="286"/>
      <c r="BQ147" s="286"/>
      <c r="BR147" s="286"/>
      <c r="BS147" s="286"/>
      <c r="BT147" s="286"/>
      <c r="BU147" s="286"/>
      <c r="BV147" s="285"/>
      <c r="BW147" s="285"/>
      <c r="BX147" s="285"/>
      <c r="BY147" s="285"/>
      <c r="BZ147" s="285"/>
      <c r="CA147" s="285"/>
      <c r="CB147" s="285"/>
      <c r="CC147" s="285"/>
      <c r="CD147" s="285"/>
      <c r="CE147" s="285"/>
      <c r="CF147" s="285"/>
      <c r="CG147" s="285"/>
      <c r="CH147" s="285"/>
      <c r="CI147" s="285"/>
    </row>
    <row r="148" spans="1:87" ht="15" customHeight="1" x14ac:dyDescent="0.25">
      <c r="A148" s="278"/>
      <c r="B148" s="142" t="s">
        <v>26</v>
      </c>
      <c r="C148" s="138" t="s">
        <v>26</v>
      </c>
      <c r="D148" s="134"/>
      <c r="E148" s="242" t="s">
        <v>380</v>
      </c>
      <c r="F148" s="240" t="s">
        <v>2001</v>
      </c>
      <c r="G148" s="241">
        <f>COUNTA(G149:G149)</f>
        <v>1</v>
      </c>
      <c r="H148" s="279" t="s">
        <v>2023</v>
      </c>
      <c r="I148" s="282">
        <f>MAX(I149)</f>
        <v>45595</v>
      </c>
      <c r="J148" s="281">
        <f>MIN(J149)</f>
        <v>45624</v>
      </c>
      <c r="K148" s="281"/>
      <c r="L148" s="281">
        <f>MIN(L149:L149)</f>
        <v>45645</v>
      </c>
      <c r="M148" s="282">
        <f>MAX(M149:M149)</f>
        <v>45645</v>
      </c>
      <c r="N148" s="332">
        <f t="array" ref="N148">MAX(IF(W148:CI148&gt;0,$W$16:$CI$16))</f>
        <v>45646</v>
      </c>
      <c r="O148" s="251">
        <f>SUMPRODUCT(O149:O149,U149:U149)/SUM(U149:U149)</f>
        <v>0</v>
      </c>
      <c r="P148" s="251">
        <f ca="1">SUMPRODUCT(P149:P149,U149:U149)/SUM(U149:U149)</f>
        <v>0</v>
      </c>
      <c r="Q148" s="259">
        <f t="shared" ca="1" si="51"/>
        <v>0</v>
      </c>
      <c r="R148" s="266" t="s">
        <v>38</v>
      </c>
      <c r="S148" s="284"/>
      <c r="T148" s="274"/>
      <c r="U148" s="274"/>
      <c r="V148" s="274"/>
      <c r="W148" s="285"/>
      <c r="X148" s="285"/>
      <c r="Y148" s="285"/>
      <c r="Z148" s="285"/>
      <c r="AA148" s="285"/>
      <c r="AB148" s="293"/>
      <c r="AC148" s="285"/>
      <c r="AD148" s="286"/>
      <c r="AE148" s="285"/>
      <c r="AF148" s="285"/>
      <c r="AG148" s="285"/>
      <c r="AH148" s="285"/>
      <c r="AI148" s="285"/>
      <c r="AJ148" s="285"/>
      <c r="AK148" s="285"/>
      <c r="AL148" s="285"/>
      <c r="AM148" s="285"/>
      <c r="AN148" s="285"/>
      <c r="AO148" s="285"/>
      <c r="AP148" s="285"/>
      <c r="AQ148" s="285"/>
      <c r="AR148" s="285"/>
      <c r="AS148" s="285"/>
      <c r="AT148" s="285"/>
      <c r="AU148" s="285"/>
      <c r="AV148" s="285"/>
      <c r="AW148" s="287"/>
      <c r="AX148" s="285"/>
      <c r="AY148" s="285"/>
      <c r="AZ148" s="285"/>
      <c r="BA148" s="285"/>
      <c r="BB148" s="285"/>
      <c r="BC148" s="285"/>
      <c r="BD148" s="285"/>
      <c r="BE148" s="285"/>
      <c r="BF148" s="285"/>
      <c r="BG148" s="285"/>
      <c r="BH148" s="285"/>
      <c r="BI148" s="285"/>
      <c r="BJ148" s="285"/>
      <c r="BK148" s="285"/>
      <c r="BL148" s="285"/>
      <c r="BM148" s="285" t="s">
        <v>444</v>
      </c>
      <c r="BN148" s="285"/>
      <c r="BO148" s="286"/>
      <c r="BP148" s="286"/>
      <c r="BQ148" s="286"/>
      <c r="BR148" s="286"/>
      <c r="BS148" s="286"/>
      <c r="BT148" s="286"/>
      <c r="BU148" s="286"/>
      <c r="BV148" s="285"/>
      <c r="BW148" s="285"/>
      <c r="BX148" s="285"/>
      <c r="BY148" s="285"/>
      <c r="BZ148" s="285"/>
      <c r="CA148" s="285"/>
      <c r="CB148" s="285"/>
      <c r="CC148" s="285"/>
      <c r="CD148" s="285"/>
      <c r="CE148" s="285"/>
      <c r="CF148" s="285"/>
      <c r="CG148" s="285"/>
      <c r="CH148" s="285"/>
      <c r="CI148" s="285"/>
    </row>
    <row r="149" spans="1:87" ht="16.2" outlineLevel="1" x14ac:dyDescent="0.25">
      <c r="A149" s="278" t="str">
        <f>E149&amp;G149</f>
        <v>lt002_instrumentrsk_mtgtd_ccp</v>
      </c>
      <c r="B149" s="142" t="s">
        <v>26</v>
      </c>
      <c r="C149" s="138" t="s">
        <v>26</v>
      </c>
      <c r="D149" s="236" t="s">
        <v>40</v>
      </c>
      <c r="E149" s="239" t="s">
        <v>380</v>
      </c>
      <c r="F149" s="239"/>
      <c r="G149" s="239" t="s">
        <v>382</v>
      </c>
      <c r="H149" s="236" t="str">
        <f>VLOOKUP(A149,'2. Status Detalhe Campos'!$A$7:$G$574,7,0)</f>
        <v>6. Em implementação (re-especificação)</v>
      </c>
      <c r="I149" s="289">
        <v>45595</v>
      </c>
      <c r="J149" s="333">
        <v>45624</v>
      </c>
      <c r="K149" s="334"/>
      <c r="L149" s="294">
        <f t="array" ref="L149">MIN(IF(W149:CI149&gt;0,$W$16:$CI$16))</f>
        <v>45645</v>
      </c>
      <c r="M149" s="295">
        <f t="array" ref="M149">MAX(IF(W149:CI149&gt;0,$W$16:$CI$16))</f>
        <v>45645</v>
      </c>
      <c r="N149" s="295"/>
      <c r="O149" s="249">
        <f>VLOOKUP(H149,Auxiliar!$B$16:$E$24,4,0)</f>
        <v>0</v>
      </c>
      <c r="P149" s="249">
        <f t="shared" ref="P149" ca="1" si="61">IF(TODAY()&lt;=L149,0,MIN((TODAY()-L149)/(M149-L149+1),100%))</f>
        <v>0</v>
      </c>
      <c r="Q149" s="249">
        <f t="shared" ca="1" si="51"/>
        <v>0</v>
      </c>
      <c r="R149" s="265"/>
      <c r="S149" s="284"/>
      <c r="T149" s="274">
        <v>4.0999999999999996</v>
      </c>
      <c r="U149" s="274">
        <f>ROUND(T149/8,1)</f>
        <v>0.5</v>
      </c>
      <c r="V149" s="274">
        <f>SUM(W149:CI149)-U149</f>
        <v>0</v>
      </c>
      <c r="W149" s="285"/>
      <c r="X149" s="285"/>
      <c r="Y149" s="285"/>
      <c r="Z149" s="285"/>
      <c r="AA149" s="285"/>
      <c r="AB149" s="293"/>
      <c r="AC149" s="285"/>
      <c r="AD149" s="286"/>
      <c r="AE149" s="285"/>
      <c r="AF149" s="285"/>
      <c r="AG149" s="285"/>
      <c r="AH149" s="285"/>
      <c r="AI149" s="285"/>
      <c r="AJ149" s="285"/>
      <c r="AK149" s="285"/>
      <c r="AL149" s="285"/>
      <c r="AM149" s="285"/>
      <c r="AN149" s="285"/>
      <c r="AO149" s="285"/>
      <c r="AP149" s="285"/>
      <c r="AQ149" s="285"/>
      <c r="AR149" s="285"/>
      <c r="AS149" s="285"/>
      <c r="AT149" s="285"/>
      <c r="AU149" s="285"/>
      <c r="AV149" s="285"/>
      <c r="AW149" s="287"/>
      <c r="AX149" s="285"/>
      <c r="AY149" s="285"/>
      <c r="AZ149" s="285"/>
      <c r="BA149" s="285"/>
      <c r="BB149" s="285"/>
      <c r="BC149" s="285"/>
      <c r="BD149" s="285"/>
      <c r="BE149" s="285"/>
      <c r="BF149" s="285"/>
      <c r="BG149" s="285"/>
      <c r="BH149" s="285"/>
      <c r="BI149" s="285"/>
      <c r="BJ149" s="285"/>
      <c r="BK149" s="285"/>
      <c r="BL149" s="285">
        <v>0.5</v>
      </c>
      <c r="BM149" s="285"/>
      <c r="BN149" s="285"/>
      <c r="BO149" s="286"/>
      <c r="BP149" s="286"/>
      <c r="BQ149" s="286"/>
      <c r="BR149" s="286"/>
      <c r="BS149" s="286"/>
      <c r="BT149" s="286"/>
      <c r="BU149" s="286"/>
      <c r="BV149" s="285"/>
      <c r="BW149" s="285"/>
      <c r="BX149" s="285"/>
      <c r="BY149" s="285"/>
      <c r="BZ149" s="285"/>
      <c r="CA149" s="285"/>
      <c r="CB149" s="285"/>
      <c r="CC149" s="285"/>
      <c r="CD149" s="285"/>
      <c r="CE149" s="285"/>
      <c r="CF149" s="285"/>
      <c r="CG149" s="285"/>
      <c r="CH149" s="285"/>
      <c r="CI149" s="285"/>
    </row>
    <row r="150" spans="1:87" ht="15" customHeight="1" x14ac:dyDescent="0.25">
      <c r="A150" s="278"/>
      <c r="B150" s="142" t="s">
        <v>26</v>
      </c>
      <c r="C150" s="138" t="s">
        <v>26</v>
      </c>
      <c r="D150" s="134"/>
      <c r="E150" s="242" t="s">
        <v>1955</v>
      </c>
      <c r="F150" s="240" t="s">
        <v>1979</v>
      </c>
      <c r="G150" s="241">
        <f>COUNTA(G151:G154)</f>
        <v>4</v>
      </c>
      <c r="H150" s="279" t="s">
        <v>2023</v>
      </c>
      <c r="I150" s="282">
        <f>MAX(I151:I154)</f>
        <v>45593</v>
      </c>
      <c r="J150" s="281">
        <f>MIN(J151:J154)</f>
        <v>45624</v>
      </c>
      <c r="K150" s="280"/>
      <c r="L150" s="282">
        <f>MIN(L151:L154)</f>
        <v>45644</v>
      </c>
      <c r="M150" s="282">
        <f>MAX(M151:M154)</f>
        <v>45645</v>
      </c>
      <c r="N150" s="332">
        <f t="array" ref="N150">MAX(IF(W150:CI150&gt;0,$W$16:$CI$16))</f>
        <v>45646</v>
      </c>
      <c r="O150" s="251">
        <f>SUMPRODUCT(O151:O154,U151:U154)/SUM(U151:U154)</f>
        <v>0</v>
      </c>
      <c r="P150" s="251">
        <f ca="1">SUMPRODUCT(P151:P154,U151:U154)/SUM(U151:U154)</f>
        <v>0</v>
      </c>
      <c r="Q150" s="248">
        <f t="shared" ca="1" si="51"/>
        <v>0</v>
      </c>
      <c r="R150" s="266" t="s">
        <v>38</v>
      </c>
      <c r="S150" s="284"/>
      <c r="T150" s="274"/>
      <c r="U150" s="274"/>
      <c r="V150" s="274"/>
      <c r="W150" s="285"/>
      <c r="X150" s="285"/>
      <c r="Y150" s="285"/>
      <c r="Z150" s="293"/>
      <c r="AA150" s="285"/>
      <c r="AB150" s="285"/>
      <c r="AC150" s="285"/>
      <c r="AD150" s="286"/>
      <c r="AE150" s="285"/>
      <c r="AF150" s="285"/>
      <c r="AG150" s="285"/>
      <c r="AH150" s="293"/>
      <c r="AI150" s="285"/>
      <c r="AJ150" s="285"/>
      <c r="AK150" s="285"/>
      <c r="AL150" s="285"/>
      <c r="AM150" s="285"/>
      <c r="AN150" s="285"/>
      <c r="AO150" s="285"/>
      <c r="AP150" s="285"/>
      <c r="AQ150" s="285"/>
      <c r="AR150" s="285"/>
      <c r="AS150" s="285"/>
      <c r="AT150" s="285"/>
      <c r="AU150" s="285"/>
      <c r="AV150" s="285"/>
      <c r="AW150" s="287"/>
      <c r="AX150" s="285"/>
      <c r="AY150" s="285"/>
      <c r="AZ150" s="285"/>
      <c r="BA150" s="285"/>
      <c r="BB150" s="285"/>
      <c r="BC150" s="285"/>
      <c r="BD150" s="285"/>
      <c r="BE150" s="285"/>
      <c r="BF150" s="285"/>
      <c r="BG150" s="285"/>
      <c r="BH150" s="285"/>
      <c r="BI150" s="285"/>
      <c r="BJ150" s="285"/>
      <c r="BK150" s="285"/>
      <c r="BL150" s="285"/>
      <c r="BM150" s="285" t="s">
        <v>444</v>
      </c>
      <c r="BN150" s="285"/>
      <c r="BO150" s="286"/>
      <c r="BP150" s="286"/>
      <c r="BQ150" s="286"/>
      <c r="BR150" s="286"/>
      <c r="BS150" s="286"/>
      <c r="BT150" s="286"/>
      <c r="BU150" s="286"/>
      <c r="BV150" s="285"/>
      <c r="BW150" s="285"/>
      <c r="BX150" s="285"/>
      <c r="BY150" s="285"/>
      <c r="BZ150" s="285"/>
      <c r="CA150" s="285"/>
      <c r="CB150" s="285"/>
      <c r="CC150" s="285"/>
      <c r="CD150" s="285"/>
      <c r="CE150" s="285"/>
      <c r="CF150" s="285"/>
      <c r="CG150" s="285"/>
      <c r="CH150" s="285"/>
      <c r="CI150" s="285"/>
    </row>
    <row r="151" spans="1:87" ht="16.2" outlineLevel="1" x14ac:dyDescent="0.25">
      <c r="A151" s="278" t="str">
        <f>E151&amp;G151</f>
        <v>lt007_instr_activityenvrnmntl_objctv</v>
      </c>
      <c r="B151" s="142" t="s">
        <v>26</v>
      </c>
      <c r="C151" s="138" t="s">
        <v>26</v>
      </c>
      <c r="D151" s="236" t="s">
        <v>40</v>
      </c>
      <c r="E151" s="239" t="s">
        <v>1955</v>
      </c>
      <c r="F151" s="239"/>
      <c r="G151" s="239" t="s">
        <v>383</v>
      </c>
      <c r="H151" s="236" t="str">
        <f>VLOOKUP(A151,'2. Status Detalhe Campos'!$A$7:$G$574,7,0)</f>
        <v>6. Em implementação (re-especificação)</v>
      </c>
      <c r="I151" s="289">
        <v>45593</v>
      </c>
      <c r="J151" s="333">
        <v>45624</v>
      </c>
      <c r="K151" s="334"/>
      <c r="L151" s="294">
        <f t="array" ref="L151">MIN(IF(W151:CI151&gt;0,$W$16:$CI$16))</f>
        <v>45644</v>
      </c>
      <c r="M151" s="295">
        <f t="array" ref="M151">MAX(IF(W151:CI151&gt;0,$W$16:$CI$16))</f>
        <v>45644</v>
      </c>
      <c r="N151" s="295"/>
      <c r="O151" s="249">
        <f>VLOOKUP(H151,Auxiliar!$B$16:$E$24,4,0)</f>
        <v>0</v>
      </c>
      <c r="P151" s="249">
        <f ca="1">IF(TODAY()&lt;=L151,0,MIN((TODAY()-L151)/(M151-L151+1),100%))</f>
        <v>0</v>
      </c>
      <c r="Q151" s="248">
        <f t="shared" ca="1" si="51"/>
        <v>0</v>
      </c>
      <c r="R151" s="266" t="s">
        <v>38</v>
      </c>
      <c r="S151" s="284"/>
      <c r="T151" s="274">
        <v>4.0999999999999996</v>
      </c>
      <c r="U151" s="274">
        <f>ROUND(T151/8,1)</f>
        <v>0.5</v>
      </c>
      <c r="V151" s="274">
        <f>SUM(W151:CI151)-U151</f>
        <v>0</v>
      </c>
      <c r="W151" s="285"/>
      <c r="X151" s="285"/>
      <c r="Y151" s="285"/>
      <c r="Z151" s="293"/>
      <c r="AA151" s="285"/>
      <c r="AB151" s="285"/>
      <c r="AC151" s="285"/>
      <c r="AD151" s="286"/>
      <c r="AE151" s="285"/>
      <c r="AF151" s="285"/>
      <c r="AG151" s="285"/>
      <c r="AH151" s="293"/>
      <c r="AI151" s="285"/>
      <c r="AJ151" s="285"/>
      <c r="AK151" s="285"/>
      <c r="AL151" s="285"/>
      <c r="AM151" s="285"/>
      <c r="AN151" s="285"/>
      <c r="AO151" s="285"/>
      <c r="AP151" s="285"/>
      <c r="AQ151" s="285"/>
      <c r="AR151" s="285"/>
      <c r="AS151" s="285"/>
      <c r="AT151" s="285"/>
      <c r="AU151" s="285"/>
      <c r="AV151" s="285"/>
      <c r="AW151" s="287"/>
      <c r="AX151" s="285"/>
      <c r="AY151" s="285"/>
      <c r="AZ151" s="285"/>
      <c r="BA151" s="285"/>
      <c r="BB151" s="285"/>
      <c r="BC151" s="285"/>
      <c r="BD151" s="285"/>
      <c r="BE151" s="285"/>
      <c r="BF151" s="285"/>
      <c r="BG151" s="285"/>
      <c r="BH151" s="285"/>
      <c r="BI151" s="285"/>
      <c r="BJ151" s="285"/>
      <c r="BK151" s="285">
        <v>0.5</v>
      </c>
      <c r="BL151" s="285"/>
      <c r="BM151" s="285"/>
      <c r="BN151" s="285"/>
      <c r="BO151" s="286"/>
      <c r="BP151" s="286"/>
      <c r="BQ151" s="286"/>
      <c r="BR151" s="286"/>
      <c r="BS151" s="286"/>
      <c r="BT151" s="286"/>
      <c r="BU151" s="286"/>
      <c r="BV151" s="285"/>
      <c r="BW151" s="285"/>
      <c r="BX151" s="285"/>
      <c r="BY151" s="285"/>
      <c r="BZ151" s="285"/>
      <c r="CA151" s="285"/>
      <c r="CB151" s="285"/>
      <c r="CC151" s="285"/>
      <c r="CD151" s="285"/>
      <c r="CE151" s="285"/>
      <c r="CF151" s="285"/>
      <c r="CG151" s="285"/>
      <c r="CH151" s="285"/>
      <c r="CI151" s="285"/>
    </row>
    <row r="152" spans="1:87" ht="16.2" outlineLevel="1" x14ac:dyDescent="0.25">
      <c r="A152" s="278" t="str">
        <f>E152&amp;G152</f>
        <v>lt007_instr_activitytyp_actvty</v>
      </c>
      <c r="B152" s="142" t="s">
        <v>26</v>
      </c>
      <c r="C152" s="138" t="s">
        <v>26</v>
      </c>
      <c r="D152" s="236" t="s">
        <v>40</v>
      </c>
      <c r="E152" s="239" t="s">
        <v>1955</v>
      </c>
      <c r="F152" s="239"/>
      <c r="G152" s="239" t="s">
        <v>384</v>
      </c>
      <c r="H152" s="236" t="str">
        <f>VLOOKUP(A152,'2. Status Detalhe Campos'!$A$7:$G$574,7,0)</f>
        <v>6. Em implementação (re-especificação)</v>
      </c>
      <c r="I152" s="289">
        <v>45593</v>
      </c>
      <c r="J152" s="333">
        <v>45624</v>
      </c>
      <c r="K152" s="334"/>
      <c r="L152" s="294">
        <f t="array" ref="L152">MIN(IF(W152:CI152&gt;0,$W$16:$CI$16))</f>
        <v>45645</v>
      </c>
      <c r="M152" s="295">
        <f t="array" ref="M152">MAX(IF(W152:CI152&gt;0,$W$16:$CI$16))</f>
        <v>45645</v>
      </c>
      <c r="N152" s="295"/>
      <c r="O152" s="249">
        <f>VLOOKUP(H152,Auxiliar!$B$16:$E$24,4,0)</f>
        <v>0</v>
      </c>
      <c r="P152" s="249">
        <f ca="1">IF(TODAY()&lt;=L152,0,MIN((TODAY()-L152)/(M152-L152+1),100%))</f>
        <v>0</v>
      </c>
      <c r="Q152" s="248">
        <f t="shared" ca="1" si="51"/>
        <v>0</v>
      </c>
      <c r="R152" s="266" t="s">
        <v>38</v>
      </c>
      <c r="S152" s="284"/>
      <c r="T152" s="274">
        <v>4.0999999999999996</v>
      </c>
      <c r="U152" s="274">
        <f>ROUND(T152/8,1)</f>
        <v>0.5</v>
      </c>
      <c r="V152" s="274">
        <f>SUM(W152:CI152)-U152</f>
        <v>0</v>
      </c>
      <c r="W152" s="285"/>
      <c r="X152" s="285"/>
      <c r="Y152" s="285"/>
      <c r="Z152" s="293"/>
      <c r="AA152" s="285"/>
      <c r="AB152" s="285"/>
      <c r="AC152" s="285"/>
      <c r="AD152" s="286"/>
      <c r="AE152" s="285"/>
      <c r="AF152" s="285"/>
      <c r="AG152" s="285"/>
      <c r="AH152" s="285"/>
      <c r="AI152" s="285"/>
      <c r="AJ152" s="285"/>
      <c r="AK152" s="285"/>
      <c r="AL152" s="285"/>
      <c r="AM152" s="285"/>
      <c r="AN152" s="285"/>
      <c r="AO152" s="285"/>
      <c r="AP152" s="285"/>
      <c r="AQ152" s="285"/>
      <c r="AR152" s="285"/>
      <c r="AS152" s="285"/>
      <c r="AT152" s="285"/>
      <c r="AU152" s="285"/>
      <c r="AV152" s="285"/>
      <c r="AW152" s="287"/>
      <c r="AX152" s="285"/>
      <c r="AY152" s="285"/>
      <c r="AZ152" s="285"/>
      <c r="BA152" s="285"/>
      <c r="BB152" s="285"/>
      <c r="BC152" s="285"/>
      <c r="BD152" s="285"/>
      <c r="BE152" s="285"/>
      <c r="BF152" s="285"/>
      <c r="BG152" s="285"/>
      <c r="BH152" s="285"/>
      <c r="BI152" s="285"/>
      <c r="BJ152" s="285"/>
      <c r="BK152" s="285"/>
      <c r="BL152" s="285">
        <v>0.5</v>
      </c>
      <c r="BM152" s="285"/>
      <c r="BN152" s="285"/>
      <c r="BO152" s="286"/>
      <c r="BP152" s="286"/>
      <c r="BQ152" s="286"/>
      <c r="BR152" s="286"/>
      <c r="BS152" s="286"/>
      <c r="BT152" s="286"/>
      <c r="BU152" s="286"/>
      <c r="BV152" s="285"/>
      <c r="BW152" s="285"/>
      <c r="BX152" s="285"/>
      <c r="BY152" s="285"/>
      <c r="BZ152" s="285"/>
      <c r="CA152" s="285"/>
      <c r="CB152" s="285"/>
      <c r="CC152" s="285"/>
      <c r="CD152" s="285"/>
      <c r="CE152" s="285"/>
      <c r="CF152" s="285"/>
      <c r="CG152" s="285"/>
      <c r="CH152" s="285"/>
      <c r="CI152" s="285"/>
    </row>
    <row r="153" spans="1:87" ht="16.2" outlineLevel="1" x14ac:dyDescent="0.25">
      <c r="A153" s="278" t="str">
        <f>E153&amp;G153</f>
        <v>lt007_instr_activitysstnbl_indctr</v>
      </c>
      <c r="B153" s="142" t="s">
        <v>26</v>
      </c>
      <c r="C153" s="138" t="s">
        <v>26</v>
      </c>
      <c r="D153" s="236" t="s">
        <v>40</v>
      </c>
      <c r="E153" s="239" t="s">
        <v>1955</v>
      </c>
      <c r="F153" s="239"/>
      <c r="G153" s="239" t="s">
        <v>419</v>
      </c>
      <c r="H153" s="236" t="str">
        <f>VLOOKUP(A153,'2. Status Detalhe Campos'!$A$7:$G$574,7,0)</f>
        <v>6. Em implementação (re-especificação)</v>
      </c>
      <c r="I153" s="289">
        <v>45593</v>
      </c>
      <c r="J153" s="333">
        <v>45624</v>
      </c>
      <c r="K153" s="334"/>
      <c r="L153" s="294">
        <f t="array" ref="L153">MIN(IF(W153:CI153&gt;0,$W$16:$CI$16))</f>
        <v>45645</v>
      </c>
      <c r="M153" s="295">
        <f t="array" ref="M153">MAX(IF(W153:CI153&gt;0,$W$16:$CI$16))</f>
        <v>45645</v>
      </c>
      <c r="N153" s="295"/>
      <c r="O153" s="249">
        <f>VLOOKUP(H153,Auxiliar!$B$16:$E$24,4,0)</f>
        <v>0</v>
      </c>
      <c r="P153" s="249">
        <f ca="1">IF(TODAY()&lt;=L153,0,MIN((TODAY()-L153)/(M153-L153+1),100%))</f>
        <v>0</v>
      </c>
      <c r="Q153" s="248">
        <f t="shared" ca="1" si="51"/>
        <v>0</v>
      </c>
      <c r="R153" s="266" t="s">
        <v>38</v>
      </c>
      <c r="S153" s="284"/>
      <c r="T153" s="304">
        <v>4.0999999999999996</v>
      </c>
      <c r="U153" s="274">
        <f>ROUND(T153/8,1)</f>
        <v>0.5</v>
      </c>
      <c r="V153" s="274">
        <f>SUM(W153:CI153)-U153</f>
        <v>0</v>
      </c>
      <c r="W153" s="285"/>
      <c r="X153" s="285"/>
      <c r="Y153" s="285"/>
      <c r="Z153" s="293"/>
      <c r="AA153" s="285"/>
      <c r="AB153" s="285"/>
      <c r="AC153" s="285"/>
      <c r="AD153" s="286"/>
      <c r="AE153" s="285"/>
      <c r="AF153" s="285"/>
      <c r="AG153" s="285"/>
      <c r="AH153" s="285"/>
      <c r="AI153" s="285"/>
      <c r="AJ153" s="285"/>
      <c r="AK153" s="285"/>
      <c r="AL153" s="285"/>
      <c r="AM153" s="285"/>
      <c r="AN153" s="285"/>
      <c r="AO153" s="285"/>
      <c r="AP153" s="285"/>
      <c r="AQ153" s="285"/>
      <c r="AR153" s="285"/>
      <c r="AS153" s="285"/>
      <c r="AT153" s="285"/>
      <c r="AU153" s="285"/>
      <c r="AV153" s="285"/>
      <c r="AW153" s="287"/>
      <c r="AX153" s="285"/>
      <c r="AY153" s="285"/>
      <c r="AZ153" s="285"/>
      <c r="BA153" s="285"/>
      <c r="BB153" s="285"/>
      <c r="BC153" s="285"/>
      <c r="BD153" s="285"/>
      <c r="BE153" s="285"/>
      <c r="BF153" s="285"/>
      <c r="BG153" s="285"/>
      <c r="BH153" s="285"/>
      <c r="BI153" s="285"/>
      <c r="BJ153" s="285"/>
      <c r="BK153" s="285"/>
      <c r="BL153" s="285">
        <v>0.5</v>
      </c>
      <c r="BM153" s="285"/>
      <c r="BN153" s="285"/>
      <c r="BO153" s="286"/>
      <c r="BP153" s="286"/>
      <c r="BQ153" s="286"/>
      <c r="BR153" s="286"/>
      <c r="BS153" s="286"/>
      <c r="BT153" s="286"/>
      <c r="BU153" s="286"/>
      <c r="BV153" s="285"/>
      <c r="BW153" s="285"/>
      <c r="BX153" s="285"/>
      <c r="BY153" s="285"/>
      <c r="BZ153" s="285"/>
      <c r="CA153" s="285"/>
      <c r="CB153" s="285"/>
      <c r="CC153" s="285"/>
      <c r="CD153" s="285"/>
      <c r="CE153" s="285"/>
      <c r="CF153" s="285"/>
      <c r="CG153" s="285"/>
      <c r="CH153" s="285"/>
      <c r="CI153" s="285"/>
    </row>
    <row r="154" spans="1:87" ht="16.2" outlineLevel="1" x14ac:dyDescent="0.25">
      <c r="A154" s="278" t="str">
        <f>E154&amp;G154</f>
        <v>lt007_instr_activitysstnbl_ctgry</v>
      </c>
      <c r="B154" s="142" t="s">
        <v>26</v>
      </c>
      <c r="C154" s="138" t="s">
        <v>26</v>
      </c>
      <c r="D154" s="236" t="s">
        <v>40</v>
      </c>
      <c r="E154" s="239" t="s">
        <v>1955</v>
      </c>
      <c r="F154" s="239"/>
      <c r="G154" s="239" t="s">
        <v>420</v>
      </c>
      <c r="H154" s="236" t="str">
        <f>VLOOKUP(A154,'2. Status Detalhe Campos'!$A$7:$G$574,7,0)</f>
        <v>6. Em implementação (re-especificação)</v>
      </c>
      <c r="I154" s="289">
        <v>45593</v>
      </c>
      <c r="J154" s="333">
        <v>45624</v>
      </c>
      <c r="K154" s="334"/>
      <c r="L154" s="294">
        <f t="array" ref="L154">MIN(IF(W154:CI154&gt;0,$W$16:$CI$16))</f>
        <v>45644</v>
      </c>
      <c r="M154" s="295">
        <f t="array" ref="M154">MAX(IF(W154:CI154&gt;0,$W$16:$CI$16))</f>
        <v>45644</v>
      </c>
      <c r="N154" s="295"/>
      <c r="O154" s="249">
        <f>VLOOKUP(H154,Auxiliar!$B$16:$E$24,4,0)</f>
        <v>0</v>
      </c>
      <c r="P154" s="249">
        <f ca="1">IF(TODAY()&lt;=L154,0,MIN((TODAY()-L154)/(M154-L154+1),100%))</f>
        <v>0</v>
      </c>
      <c r="Q154" s="248">
        <f t="shared" ca="1" si="51"/>
        <v>0</v>
      </c>
      <c r="R154" s="266" t="s">
        <v>38</v>
      </c>
      <c r="S154" s="284"/>
      <c r="T154" s="304">
        <v>4.0999999999999996</v>
      </c>
      <c r="U154" s="274">
        <f>ROUND(T154/8,1)</f>
        <v>0.5</v>
      </c>
      <c r="V154" s="274">
        <f>SUM(W154:CI154)-U154</f>
        <v>0</v>
      </c>
      <c r="W154" s="285"/>
      <c r="X154" s="285"/>
      <c r="Y154" s="285"/>
      <c r="Z154" s="293"/>
      <c r="AA154" s="285"/>
      <c r="AB154" s="285"/>
      <c r="AC154" s="285"/>
      <c r="AD154" s="286"/>
      <c r="AE154" s="285"/>
      <c r="AF154" s="285"/>
      <c r="AG154" s="285"/>
      <c r="AH154" s="285"/>
      <c r="AI154" s="285"/>
      <c r="AJ154" s="285"/>
      <c r="AK154" s="285"/>
      <c r="AL154" s="285"/>
      <c r="AM154" s="285"/>
      <c r="AN154" s="285"/>
      <c r="AO154" s="285"/>
      <c r="AP154" s="285"/>
      <c r="AQ154" s="285"/>
      <c r="AR154" s="285"/>
      <c r="AS154" s="285"/>
      <c r="AT154" s="285"/>
      <c r="AU154" s="285"/>
      <c r="AV154" s="285"/>
      <c r="AW154" s="287"/>
      <c r="AX154" s="285"/>
      <c r="AY154" s="285"/>
      <c r="AZ154" s="285"/>
      <c r="BA154" s="285"/>
      <c r="BB154" s="285"/>
      <c r="BC154" s="285"/>
      <c r="BD154" s="285"/>
      <c r="BE154" s="285"/>
      <c r="BF154" s="285"/>
      <c r="BG154" s="285"/>
      <c r="BH154" s="285"/>
      <c r="BI154" s="285"/>
      <c r="BJ154" s="285"/>
      <c r="BK154" s="285">
        <v>0.5</v>
      </c>
      <c r="BL154" s="285"/>
      <c r="BM154" s="285"/>
      <c r="BN154" s="285"/>
      <c r="BO154" s="286"/>
      <c r="BP154" s="286"/>
      <c r="BQ154" s="286"/>
      <c r="BR154" s="286"/>
      <c r="BS154" s="286"/>
      <c r="BT154" s="286"/>
      <c r="BU154" s="286"/>
      <c r="BV154" s="285"/>
      <c r="BW154" s="285"/>
      <c r="BX154" s="285"/>
      <c r="BY154" s="285"/>
      <c r="BZ154" s="285"/>
      <c r="CA154" s="285"/>
      <c r="CB154" s="285"/>
      <c r="CC154" s="285"/>
      <c r="CD154" s="285"/>
      <c r="CE154" s="285"/>
      <c r="CF154" s="285"/>
      <c r="CG154" s="285"/>
      <c r="CH154" s="285"/>
      <c r="CI154" s="285"/>
    </row>
    <row r="155" spans="1:87" ht="15" customHeight="1" x14ac:dyDescent="0.25">
      <c r="A155" s="278"/>
      <c r="B155" s="142" t="s">
        <v>26</v>
      </c>
      <c r="C155" s="138" t="s">
        <v>26</v>
      </c>
      <c r="D155" s="134"/>
      <c r="E155" s="242" t="s">
        <v>369</v>
      </c>
      <c r="F155" s="240" t="s">
        <v>2001</v>
      </c>
      <c r="G155" s="241">
        <f>COUNTA(G156:G160)</f>
        <v>5</v>
      </c>
      <c r="H155" s="279" t="s">
        <v>2023</v>
      </c>
      <c r="I155" s="282">
        <f>MAX(I156:I160)</f>
        <v>45593</v>
      </c>
      <c r="J155" s="281">
        <f>MIN(J156:J160)</f>
        <v>45624</v>
      </c>
      <c r="K155" s="280"/>
      <c r="L155" s="281">
        <f>MIN(L156:L160)</f>
        <v>45646</v>
      </c>
      <c r="M155" s="282">
        <f>MAX(M156:M160)</f>
        <v>45649</v>
      </c>
      <c r="N155" s="332">
        <f t="array" ref="N155">MAX(IF(W155:CI155&gt;0,$W$16:$CI$16))</f>
        <v>45649</v>
      </c>
      <c r="O155" s="251">
        <f>SUMPRODUCT(O156:O160,U156:U160)/SUM(U156:U160)</f>
        <v>0</v>
      </c>
      <c r="P155" s="251">
        <f ca="1">SUMPRODUCT(P156:P160,U156:U160)/SUM(U156:U160)</f>
        <v>0</v>
      </c>
      <c r="Q155" s="248">
        <f t="shared" ref="Q155:Q186" ca="1" si="62">O155-P155</f>
        <v>0</v>
      </c>
      <c r="R155" s="266" t="s">
        <v>38</v>
      </c>
      <c r="S155" s="284"/>
      <c r="T155" s="274"/>
      <c r="U155" s="274"/>
      <c r="V155" s="274"/>
      <c r="W155" s="285"/>
      <c r="X155" s="285"/>
      <c r="Y155" s="285"/>
      <c r="Z155" s="285"/>
      <c r="AA155" s="285"/>
      <c r="AB155" s="285"/>
      <c r="AC155" s="285"/>
      <c r="AD155" s="286"/>
      <c r="AE155" s="285"/>
      <c r="AF155" s="285"/>
      <c r="AG155" s="285"/>
      <c r="AH155" s="285"/>
      <c r="AI155" s="285"/>
      <c r="AJ155" s="285"/>
      <c r="AK155" s="285"/>
      <c r="AL155" s="285"/>
      <c r="AM155" s="285"/>
      <c r="AN155" s="285"/>
      <c r="AO155" s="285"/>
      <c r="AP155" s="285"/>
      <c r="AQ155" s="285"/>
      <c r="AR155" s="285"/>
      <c r="AS155" s="285"/>
      <c r="AT155" s="285"/>
      <c r="AU155" s="285"/>
      <c r="AV155" s="285"/>
      <c r="AW155" s="287"/>
      <c r="AX155" s="285"/>
      <c r="AY155" s="285"/>
      <c r="AZ155" s="285"/>
      <c r="BA155" s="285"/>
      <c r="BB155" s="285"/>
      <c r="BC155" s="285"/>
      <c r="BD155" s="285"/>
      <c r="BE155" s="285"/>
      <c r="BF155" s="285"/>
      <c r="BG155" s="285"/>
      <c r="BH155" s="285"/>
      <c r="BI155" s="285"/>
      <c r="BJ155" s="285"/>
      <c r="BK155" s="285"/>
      <c r="BL155" s="285"/>
      <c r="BM155" s="285"/>
      <c r="BN155" s="288" t="s">
        <v>444</v>
      </c>
      <c r="BO155" s="286"/>
      <c r="BP155" s="286"/>
      <c r="BQ155" s="286"/>
      <c r="BR155" s="286"/>
      <c r="BS155" s="286"/>
      <c r="BT155" s="286"/>
      <c r="BU155" s="286"/>
      <c r="BV155" s="285"/>
      <c r="BW155" s="285"/>
      <c r="BX155" s="285"/>
      <c r="BY155" s="285"/>
      <c r="BZ155" s="285"/>
      <c r="CA155" s="285"/>
      <c r="CB155" s="285"/>
      <c r="CC155" s="285"/>
      <c r="CD155" s="285"/>
      <c r="CE155" s="285"/>
      <c r="CF155" s="285"/>
      <c r="CG155" s="285"/>
      <c r="CH155" s="285"/>
      <c r="CI155" s="285"/>
    </row>
    <row r="156" spans="1:87" ht="16.2" outlineLevel="1" x14ac:dyDescent="0.25">
      <c r="A156" s="278" t="str">
        <f t="shared" ref="A156:A160" si="63">E156&amp;G156</f>
        <v>lt004_protectionprtctn_vl</v>
      </c>
      <c r="B156" s="142" t="s">
        <v>26</v>
      </c>
      <c r="C156" s="138" t="s">
        <v>26</v>
      </c>
      <c r="D156" s="236" t="s">
        <v>40</v>
      </c>
      <c r="E156" s="239" t="s">
        <v>369</v>
      </c>
      <c r="F156" s="239"/>
      <c r="G156" s="239" t="s">
        <v>439</v>
      </c>
      <c r="H156" s="236" t="str">
        <f>VLOOKUP(A156,'2. Status Detalhe Campos'!$A$7:$G$574,7,0)</f>
        <v>6. Em implementação (re-especificação)</v>
      </c>
      <c r="I156" s="289">
        <v>45588</v>
      </c>
      <c r="J156" s="333">
        <v>45624</v>
      </c>
      <c r="K156" s="334"/>
      <c r="L156" s="294">
        <f t="array" ref="L156">MIN(IF(W156:CI156&gt;0,$W$16:$CI$16))</f>
        <v>45646</v>
      </c>
      <c r="M156" s="295">
        <f t="array" ref="M156">MAX(IF(W156:CI156&gt;0,$W$16:$CI$16))</f>
        <v>45646</v>
      </c>
      <c r="N156" s="295"/>
      <c r="O156" s="249">
        <f>VLOOKUP(H156,Auxiliar!$B$16:$E$24,4,0)</f>
        <v>0</v>
      </c>
      <c r="P156" s="249">
        <f t="shared" ref="P156:P160" ca="1" si="64">IF(TODAY()&lt;=L156,0,MIN((TODAY()-L156)/(M156-L156+1),100%))</f>
        <v>0</v>
      </c>
      <c r="Q156" s="248">
        <f t="shared" ca="1" si="62"/>
        <v>0</v>
      </c>
      <c r="R156" s="266" t="s">
        <v>38</v>
      </c>
      <c r="S156" s="284"/>
      <c r="T156" s="304">
        <v>4.0999999999999996</v>
      </c>
      <c r="U156" s="274">
        <f t="shared" ref="U156:U160" si="65">ROUND(T156/8,1)</f>
        <v>0.5</v>
      </c>
      <c r="V156" s="274">
        <f>SUM(W156:CI156)-U156</f>
        <v>0</v>
      </c>
      <c r="W156" s="301"/>
      <c r="X156" s="293"/>
      <c r="Y156" s="285"/>
      <c r="Z156" s="285"/>
      <c r="AA156" s="285"/>
      <c r="AB156" s="285"/>
      <c r="AC156" s="285"/>
      <c r="AD156" s="286"/>
      <c r="AE156" s="285"/>
      <c r="AF156" s="285"/>
      <c r="AG156" s="285"/>
      <c r="AH156" s="285"/>
      <c r="AI156" s="285"/>
      <c r="AJ156" s="285"/>
      <c r="AK156" s="285"/>
      <c r="AL156" s="285"/>
      <c r="AM156" s="285"/>
      <c r="AN156" s="285"/>
      <c r="AO156" s="285"/>
      <c r="AP156" s="285"/>
      <c r="AQ156" s="285"/>
      <c r="AR156" s="285"/>
      <c r="AS156" s="285"/>
      <c r="AT156" s="285"/>
      <c r="AU156" s="285"/>
      <c r="AV156" s="285"/>
      <c r="AW156" s="287"/>
      <c r="AX156" s="285"/>
      <c r="AY156" s="285"/>
      <c r="AZ156" s="285"/>
      <c r="BA156" s="285"/>
      <c r="BB156" s="285"/>
      <c r="BC156" s="285"/>
      <c r="BD156" s="285"/>
      <c r="BE156" s="285"/>
      <c r="BF156" s="285"/>
      <c r="BG156" s="285"/>
      <c r="BH156" s="285"/>
      <c r="BI156" s="285"/>
      <c r="BJ156" s="285"/>
      <c r="BK156" s="285"/>
      <c r="BL156" s="285"/>
      <c r="BM156" s="285">
        <v>0.5</v>
      </c>
      <c r="BN156" s="285"/>
      <c r="BO156" s="286"/>
      <c r="BP156" s="286"/>
      <c r="BQ156" s="286"/>
      <c r="BR156" s="286"/>
      <c r="BS156" s="286"/>
      <c r="BT156" s="286"/>
      <c r="BU156" s="286"/>
      <c r="BV156" s="285"/>
      <c r="BW156" s="285"/>
      <c r="BX156" s="285"/>
      <c r="BY156" s="285"/>
      <c r="BZ156" s="285"/>
      <c r="CA156" s="285"/>
      <c r="CB156" s="285"/>
      <c r="CC156" s="285"/>
      <c r="CD156" s="285"/>
      <c r="CE156" s="285"/>
      <c r="CF156" s="285"/>
      <c r="CG156" s="285"/>
      <c r="CH156" s="285"/>
      <c r="CI156" s="285"/>
    </row>
    <row r="157" spans="1:87" ht="16.2" outlineLevel="1" x14ac:dyDescent="0.25">
      <c r="A157" s="278" t="str">
        <f t="shared" si="63"/>
        <v>lt004_protectionflg_fin</v>
      </c>
      <c r="B157" s="142" t="s">
        <v>26</v>
      </c>
      <c r="C157" s="138" t="s">
        <v>26</v>
      </c>
      <c r="D157" s="236" t="s">
        <v>40</v>
      </c>
      <c r="E157" s="239" t="s">
        <v>369</v>
      </c>
      <c r="F157" s="239"/>
      <c r="G157" s="239" t="s">
        <v>481</v>
      </c>
      <c r="H157" s="236" t="str">
        <f>VLOOKUP(A157,'2. Status Detalhe Campos'!$A$7:$G$574,7,0)</f>
        <v>6. Em implementação (re-especificação)</v>
      </c>
      <c r="I157" s="280">
        <v>45593</v>
      </c>
      <c r="J157" s="333">
        <v>45624</v>
      </c>
      <c r="K157" s="334"/>
      <c r="L157" s="294">
        <f t="array" ref="L157">MIN(IF(W157:CI157&gt;0,$W$16:$CI$16))</f>
        <v>45646</v>
      </c>
      <c r="M157" s="295">
        <f t="array" ref="M157">MAX(IF(W157:CI157&gt;0,$W$16:$CI$16))</f>
        <v>45646</v>
      </c>
      <c r="N157" s="295"/>
      <c r="O157" s="249">
        <f>VLOOKUP(H157,Auxiliar!$B$16:$E$24,4,0)</f>
        <v>0</v>
      </c>
      <c r="P157" s="249">
        <f t="shared" ca="1" si="64"/>
        <v>0</v>
      </c>
      <c r="Q157" s="248">
        <f t="shared" ca="1" si="62"/>
        <v>0</v>
      </c>
      <c r="R157" s="266" t="s">
        <v>38</v>
      </c>
      <c r="S157" s="284"/>
      <c r="T157" s="274">
        <v>4.0999999999999996</v>
      </c>
      <c r="U157" s="274">
        <f t="shared" si="65"/>
        <v>0.5</v>
      </c>
      <c r="V157" s="274">
        <f>SUM(W157:CI157)-U157</f>
        <v>0</v>
      </c>
      <c r="W157" s="285"/>
      <c r="X157" s="285"/>
      <c r="Y157" s="285"/>
      <c r="Z157" s="285"/>
      <c r="AA157" s="285"/>
      <c r="AB157" s="285"/>
      <c r="AC157" s="285"/>
      <c r="AD157" s="286"/>
      <c r="AE157" s="285"/>
      <c r="AF157" s="285"/>
      <c r="AG157" s="285"/>
      <c r="AH157" s="285"/>
      <c r="AI157" s="285"/>
      <c r="AJ157" s="285"/>
      <c r="AK157" s="285"/>
      <c r="AL157" s="285"/>
      <c r="AM157" s="285"/>
      <c r="AN157" s="285"/>
      <c r="AO157" s="285"/>
      <c r="AP157" s="285"/>
      <c r="AQ157" s="285"/>
      <c r="AR157" s="285"/>
      <c r="AS157" s="285"/>
      <c r="AT157" s="285"/>
      <c r="AU157" s="285"/>
      <c r="AV157" s="285"/>
      <c r="AW157" s="287"/>
      <c r="AX157" s="285"/>
      <c r="AY157" s="285"/>
      <c r="AZ157" s="285"/>
      <c r="BA157" s="285"/>
      <c r="BB157" s="285"/>
      <c r="BC157" s="285"/>
      <c r="BD157" s="285"/>
      <c r="BE157" s="285"/>
      <c r="BF157" s="285"/>
      <c r="BG157" s="285"/>
      <c r="BH157" s="285"/>
      <c r="BI157" s="285"/>
      <c r="BJ157" s="285"/>
      <c r="BK157" s="285"/>
      <c r="BL157" s="285"/>
      <c r="BM157" s="285">
        <v>0.5</v>
      </c>
      <c r="BN157" s="285"/>
      <c r="BO157" s="286"/>
      <c r="BP157" s="286"/>
      <c r="BQ157" s="286"/>
      <c r="BR157" s="286"/>
      <c r="BS157" s="286"/>
      <c r="BT157" s="286"/>
      <c r="BU157" s="286"/>
      <c r="BV157" s="285"/>
      <c r="BW157" s="285"/>
      <c r="BX157" s="285"/>
      <c r="BY157" s="285"/>
      <c r="BZ157" s="285"/>
      <c r="CA157" s="285"/>
      <c r="CB157" s="285"/>
      <c r="CC157" s="285"/>
      <c r="CD157" s="285"/>
      <c r="CE157" s="285"/>
      <c r="CF157" s="285"/>
      <c r="CG157" s="285"/>
      <c r="CH157" s="285"/>
      <c r="CI157" s="285"/>
    </row>
    <row r="158" spans="1:87" ht="16.2" outlineLevel="1" x14ac:dyDescent="0.25">
      <c r="A158" s="278" t="str">
        <f t="shared" si="63"/>
        <v>lt004_protectionflg_exec</v>
      </c>
      <c r="B158" s="142" t="s">
        <v>26</v>
      </c>
      <c r="C158" s="138" t="s">
        <v>26</v>
      </c>
      <c r="D158" s="236" t="s">
        <v>40</v>
      </c>
      <c r="E158" s="239" t="s">
        <v>369</v>
      </c>
      <c r="F158" s="239"/>
      <c r="G158" s="239" t="s">
        <v>1361</v>
      </c>
      <c r="H158" s="236" t="str">
        <f>VLOOKUP(A158,'2. Status Detalhe Campos'!$A$7:$G$574,7,0)</f>
        <v>6. Em implementação (re-especificação)</v>
      </c>
      <c r="I158" s="280">
        <v>45593</v>
      </c>
      <c r="J158" s="333">
        <v>45624</v>
      </c>
      <c r="K158" s="334"/>
      <c r="L158" s="294">
        <f t="array" ref="L158">MIN(IF(W158:CI158&gt;0,$W$16:$CI$16))</f>
        <v>45646</v>
      </c>
      <c r="M158" s="295">
        <f t="array" ref="M158">MAX(IF(W158:CI158&gt;0,$W$16:$CI$16))</f>
        <v>45646</v>
      </c>
      <c r="N158" s="295"/>
      <c r="O158" s="249">
        <f>VLOOKUP(H158,Auxiliar!$B$16:$E$24,4,0)</f>
        <v>0</v>
      </c>
      <c r="P158" s="249">
        <f t="shared" ca="1" si="64"/>
        <v>0</v>
      </c>
      <c r="Q158" s="248">
        <f t="shared" ca="1" si="62"/>
        <v>0</v>
      </c>
      <c r="R158" s="266" t="s">
        <v>38</v>
      </c>
      <c r="S158" s="284"/>
      <c r="T158" s="274">
        <v>4.0999999999999996</v>
      </c>
      <c r="U158" s="274">
        <f t="shared" si="65"/>
        <v>0.5</v>
      </c>
      <c r="V158" s="274">
        <f>SUM(W158:CI158)-U158</f>
        <v>0</v>
      </c>
      <c r="W158" s="285"/>
      <c r="X158" s="285"/>
      <c r="Y158" s="285"/>
      <c r="Z158" s="285"/>
      <c r="AA158" s="285"/>
      <c r="AB158" s="285"/>
      <c r="AC158" s="285"/>
      <c r="AD158" s="286"/>
      <c r="AE158" s="285"/>
      <c r="AF158" s="285"/>
      <c r="AG158" s="285"/>
      <c r="AH158" s="285"/>
      <c r="AI158" s="285"/>
      <c r="AJ158" s="285"/>
      <c r="AK158" s="285"/>
      <c r="AL158" s="285"/>
      <c r="AM158" s="285"/>
      <c r="AN158" s="285"/>
      <c r="AO158" s="285"/>
      <c r="AP158" s="285"/>
      <c r="AQ158" s="285"/>
      <c r="AR158" s="285"/>
      <c r="AS158" s="285"/>
      <c r="AT158" s="285"/>
      <c r="AU158" s="285"/>
      <c r="AV158" s="285"/>
      <c r="AW158" s="287"/>
      <c r="AX158" s="285"/>
      <c r="AY158" s="285"/>
      <c r="AZ158" s="285"/>
      <c r="BA158" s="285"/>
      <c r="BB158" s="285"/>
      <c r="BC158" s="285"/>
      <c r="BD158" s="285"/>
      <c r="BE158" s="285"/>
      <c r="BF158" s="285"/>
      <c r="BG158" s="285"/>
      <c r="BH158" s="285"/>
      <c r="BI158" s="285"/>
      <c r="BJ158" s="285"/>
      <c r="BK158" s="285"/>
      <c r="BL158" s="285"/>
      <c r="BM158" s="285">
        <v>0.5</v>
      </c>
      <c r="BN158" s="285"/>
      <c r="BO158" s="286"/>
      <c r="BP158" s="286"/>
      <c r="BQ158" s="286"/>
      <c r="BR158" s="286"/>
      <c r="BS158" s="286"/>
      <c r="BT158" s="286"/>
      <c r="BU158" s="286"/>
      <c r="BV158" s="285"/>
      <c r="BW158" s="285"/>
      <c r="BX158" s="285"/>
      <c r="BY158" s="285"/>
      <c r="BZ158" s="285"/>
      <c r="CA158" s="285"/>
      <c r="CB158" s="285"/>
      <c r="CC158" s="285"/>
      <c r="CD158" s="285"/>
      <c r="CE158" s="285"/>
      <c r="CF158" s="285"/>
      <c r="CG158" s="285"/>
      <c r="CH158" s="285"/>
      <c r="CI158" s="285"/>
    </row>
    <row r="159" spans="1:87" ht="16.2" outlineLevel="1" x14ac:dyDescent="0.25">
      <c r="A159" s="278" t="str">
        <f t="shared" si="63"/>
        <v>lt004_protectionflg_col</v>
      </c>
      <c r="B159" s="142" t="s">
        <v>26</v>
      </c>
      <c r="C159" s="138" t="s">
        <v>26</v>
      </c>
      <c r="D159" s="236" t="s">
        <v>40</v>
      </c>
      <c r="E159" s="239" t="s">
        <v>369</v>
      </c>
      <c r="F159" s="239"/>
      <c r="G159" s="239" t="s">
        <v>480</v>
      </c>
      <c r="H159" s="236" t="str">
        <f>VLOOKUP(A159,'2. Status Detalhe Campos'!$A$7:$G$574,7,0)</f>
        <v>6. Em implementação (re-especificação)</v>
      </c>
      <c r="I159" s="280">
        <v>45593</v>
      </c>
      <c r="J159" s="333">
        <v>45624</v>
      </c>
      <c r="K159" s="334"/>
      <c r="L159" s="294">
        <f t="array" ref="L159">MIN(IF(W159:CI159&gt;0,$W$16:$CI$16))</f>
        <v>45646</v>
      </c>
      <c r="M159" s="295">
        <f t="array" ref="M159">MAX(IF(W159:CI159&gt;0,$W$16:$CI$16))</f>
        <v>45646</v>
      </c>
      <c r="N159" s="295"/>
      <c r="O159" s="249">
        <f>VLOOKUP(H159,Auxiliar!$B$16:$E$24,4,0)</f>
        <v>0</v>
      </c>
      <c r="P159" s="249">
        <f t="shared" ca="1" si="64"/>
        <v>0</v>
      </c>
      <c r="Q159" s="248">
        <f t="shared" ca="1" si="62"/>
        <v>0</v>
      </c>
      <c r="R159" s="266" t="s">
        <v>38</v>
      </c>
      <c r="S159" s="284"/>
      <c r="T159" s="274">
        <v>4.0999999999999996</v>
      </c>
      <c r="U159" s="274">
        <f t="shared" si="65"/>
        <v>0.5</v>
      </c>
      <c r="V159" s="274">
        <f>SUM(W159:CI159)-U159</f>
        <v>0</v>
      </c>
      <c r="W159" s="285"/>
      <c r="X159" s="285"/>
      <c r="Y159" s="285"/>
      <c r="Z159" s="285"/>
      <c r="AA159" s="285"/>
      <c r="AB159" s="285"/>
      <c r="AC159" s="285"/>
      <c r="AD159" s="286"/>
      <c r="AE159" s="285"/>
      <c r="AF159" s="285"/>
      <c r="AG159" s="285"/>
      <c r="AH159" s="285"/>
      <c r="AI159" s="285"/>
      <c r="AJ159" s="285"/>
      <c r="AK159" s="285"/>
      <c r="AL159" s="285"/>
      <c r="AM159" s="285"/>
      <c r="AN159" s="285"/>
      <c r="AO159" s="285"/>
      <c r="AP159" s="285"/>
      <c r="AQ159" s="285"/>
      <c r="AR159" s="285"/>
      <c r="AS159" s="285"/>
      <c r="AT159" s="285"/>
      <c r="AU159" s="285"/>
      <c r="AV159" s="285"/>
      <c r="AW159" s="287"/>
      <c r="AX159" s="285"/>
      <c r="AY159" s="285"/>
      <c r="AZ159" s="285"/>
      <c r="BA159" s="285"/>
      <c r="BB159" s="285"/>
      <c r="BC159" s="285"/>
      <c r="BD159" s="285"/>
      <c r="BE159" s="285"/>
      <c r="BF159" s="285"/>
      <c r="BG159" s="285"/>
      <c r="BH159" s="285"/>
      <c r="BI159" s="285"/>
      <c r="BJ159" s="285"/>
      <c r="BK159" s="285"/>
      <c r="BL159" s="285"/>
      <c r="BM159" s="285">
        <v>0.5</v>
      </c>
      <c r="BN159" s="285"/>
      <c r="BO159" s="286"/>
      <c r="BP159" s="286"/>
      <c r="BQ159" s="286"/>
      <c r="BR159" s="286"/>
      <c r="BS159" s="286"/>
      <c r="BT159" s="286"/>
      <c r="BU159" s="286"/>
      <c r="BV159" s="285"/>
      <c r="BW159" s="285"/>
      <c r="BX159" s="285"/>
      <c r="BY159" s="285"/>
      <c r="BZ159" s="285"/>
      <c r="CA159" s="285"/>
      <c r="CB159" s="285"/>
      <c r="CC159" s="285"/>
      <c r="CD159" s="285"/>
      <c r="CE159" s="285"/>
      <c r="CF159" s="285"/>
      <c r="CG159" s="285"/>
      <c r="CH159" s="285"/>
      <c r="CI159" s="285"/>
    </row>
    <row r="160" spans="1:87" ht="16.2" outlineLevel="1" x14ac:dyDescent="0.25">
      <c r="A160" s="278" t="str">
        <f t="shared" si="63"/>
        <v>lt004_protectionflg_pro</v>
      </c>
      <c r="B160" s="142" t="s">
        <v>26</v>
      </c>
      <c r="C160" s="138" t="s">
        <v>26</v>
      </c>
      <c r="D160" s="236" t="s">
        <v>40</v>
      </c>
      <c r="E160" s="239" t="s">
        <v>369</v>
      </c>
      <c r="F160" s="239"/>
      <c r="G160" s="239" t="s">
        <v>482</v>
      </c>
      <c r="H160" s="236" t="str">
        <f>VLOOKUP(A160,'2. Status Detalhe Campos'!$A$7:$G$574,7,0)</f>
        <v>6. Em implementação (re-especificação)</v>
      </c>
      <c r="I160" s="280">
        <v>45593</v>
      </c>
      <c r="J160" s="333">
        <v>45624</v>
      </c>
      <c r="K160" s="334"/>
      <c r="L160" s="294">
        <f t="array" ref="L160">MIN(IF(W160:CI160&gt;0,$W$16:$CI$16))</f>
        <v>45649</v>
      </c>
      <c r="M160" s="295">
        <f t="array" ref="M160">MAX(IF(W160:CI160&gt;0,$W$16:$CI$16))</f>
        <v>45649</v>
      </c>
      <c r="N160" s="295"/>
      <c r="O160" s="249">
        <f>VLOOKUP(H160,Auxiliar!$B$16:$E$24,4,0)</f>
        <v>0</v>
      </c>
      <c r="P160" s="249">
        <f t="shared" ca="1" si="64"/>
        <v>0</v>
      </c>
      <c r="Q160" s="248">
        <f t="shared" ca="1" si="62"/>
        <v>0</v>
      </c>
      <c r="R160" s="266" t="s">
        <v>38</v>
      </c>
      <c r="S160" s="284"/>
      <c r="T160" s="274">
        <v>4.0999999999999996</v>
      </c>
      <c r="U160" s="274">
        <f t="shared" si="65"/>
        <v>0.5</v>
      </c>
      <c r="V160" s="274">
        <f>SUM(W160:CI160)-U160</f>
        <v>0</v>
      </c>
      <c r="W160" s="285"/>
      <c r="X160" s="285"/>
      <c r="Y160" s="285"/>
      <c r="Z160" s="285"/>
      <c r="AA160" s="285"/>
      <c r="AB160" s="285"/>
      <c r="AC160" s="285"/>
      <c r="AD160" s="286"/>
      <c r="AE160" s="285"/>
      <c r="AF160" s="285"/>
      <c r="AG160" s="285"/>
      <c r="AH160" s="285"/>
      <c r="AI160" s="285"/>
      <c r="AJ160" s="285"/>
      <c r="AK160" s="285"/>
      <c r="AL160" s="285"/>
      <c r="AM160" s="285"/>
      <c r="AN160" s="285"/>
      <c r="AO160" s="285"/>
      <c r="AP160" s="285"/>
      <c r="AQ160" s="285"/>
      <c r="AR160" s="285"/>
      <c r="AS160" s="285"/>
      <c r="AT160" s="285"/>
      <c r="AU160" s="285"/>
      <c r="AV160" s="285"/>
      <c r="AW160" s="287"/>
      <c r="AX160" s="285"/>
      <c r="AY160" s="285"/>
      <c r="AZ160" s="285"/>
      <c r="BA160" s="285"/>
      <c r="BB160" s="285"/>
      <c r="BC160" s="285"/>
      <c r="BD160" s="285"/>
      <c r="BE160" s="285"/>
      <c r="BF160" s="285"/>
      <c r="BG160" s="285"/>
      <c r="BH160" s="285"/>
      <c r="BI160" s="285"/>
      <c r="BJ160" s="285"/>
      <c r="BK160" s="285"/>
      <c r="BL160" s="285"/>
      <c r="BM160" s="285"/>
      <c r="BN160" s="285">
        <v>0.5</v>
      </c>
      <c r="BO160" s="286"/>
      <c r="BP160" s="286"/>
      <c r="BQ160" s="286"/>
      <c r="BR160" s="286"/>
      <c r="BS160" s="286"/>
      <c r="BT160" s="286"/>
      <c r="BU160" s="286"/>
      <c r="BV160" s="285"/>
      <c r="BW160" s="285"/>
      <c r="BX160" s="285"/>
      <c r="BY160" s="285"/>
      <c r="BZ160" s="285"/>
      <c r="CA160" s="285"/>
      <c r="CB160" s="285"/>
      <c r="CC160" s="285"/>
      <c r="CD160" s="285"/>
      <c r="CE160" s="285"/>
      <c r="CF160" s="285"/>
      <c r="CG160" s="285"/>
      <c r="CH160" s="285"/>
      <c r="CI160" s="285"/>
    </row>
    <row r="161" spans="1:87" ht="15" customHeight="1" x14ac:dyDescent="0.25">
      <c r="A161" s="278"/>
      <c r="B161" s="142" t="s">
        <v>26</v>
      </c>
      <c r="C161" s="138" t="s">
        <v>26</v>
      </c>
      <c r="D161" s="134"/>
      <c r="E161" s="242" t="s">
        <v>369</v>
      </c>
      <c r="F161" s="240" t="s">
        <v>2011</v>
      </c>
      <c r="G161" s="241">
        <f>COUNTA(G162)</f>
        <v>1</v>
      </c>
      <c r="H161" s="279" t="s">
        <v>2023</v>
      </c>
      <c r="I161" s="309">
        <f>MIN(I162)</f>
        <v>45603</v>
      </c>
      <c r="J161" s="281">
        <f>MIN(J162)</f>
        <v>45624</v>
      </c>
      <c r="K161" s="280"/>
      <c r="L161" s="281">
        <f>MIN(L162)</f>
        <v>45663</v>
      </c>
      <c r="M161" s="282">
        <f>MAX(M162)</f>
        <v>45663</v>
      </c>
      <c r="N161" s="332">
        <f t="array" ref="N161">MAX(IF(W161:CI161&gt;0,$W$16:$CI$16))</f>
        <v>45664</v>
      </c>
      <c r="O161" s="324">
        <f>O162</f>
        <v>0</v>
      </c>
      <c r="P161" s="324">
        <f ca="1">P162</f>
        <v>0</v>
      </c>
      <c r="Q161" s="248">
        <f t="shared" ca="1" si="62"/>
        <v>0</v>
      </c>
      <c r="R161" s="266" t="s">
        <v>2033</v>
      </c>
      <c r="S161" s="284"/>
      <c r="T161" s="274"/>
      <c r="U161" s="274"/>
      <c r="V161" s="274"/>
      <c r="W161" s="285"/>
      <c r="X161" s="285"/>
      <c r="Y161" s="285"/>
      <c r="Z161" s="285"/>
      <c r="AA161" s="285"/>
      <c r="AB161" s="285"/>
      <c r="AC161" s="285"/>
      <c r="AD161" s="286"/>
      <c r="AE161" s="285"/>
      <c r="AF161" s="285"/>
      <c r="AG161" s="285"/>
      <c r="AH161" s="293"/>
      <c r="AI161" s="285"/>
      <c r="AJ161" s="285"/>
      <c r="AK161" s="285"/>
      <c r="AL161" s="285"/>
      <c r="AM161" s="285"/>
      <c r="AN161" s="285"/>
      <c r="AO161" s="285"/>
      <c r="AP161" s="285"/>
      <c r="AQ161" s="285"/>
      <c r="AR161" s="285"/>
      <c r="AS161" s="285"/>
      <c r="AT161" s="285"/>
      <c r="AU161" s="285"/>
      <c r="AV161" s="285"/>
      <c r="AW161" s="287"/>
      <c r="AX161" s="285"/>
      <c r="AY161" s="285"/>
      <c r="AZ161" s="285"/>
      <c r="BA161" s="285"/>
      <c r="BB161" s="285"/>
      <c r="BC161" s="285"/>
      <c r="BD161" s="285"/>
      <c r="BE161" s="285"/>
      <c r="BF161" s="285"/>
      <c r="BG161" s="285"/>
      <c r="BH161" s="285"/>
      <c r="BI161" s="285"/>
      <c r="BJ161" s="285"/>
      <c r="BK161" s="285"/>
      <c r="BL161" s="285"/>
      <c r="BM161" s="285"/>
      <c r="BN161" s="285"/>
      <c r="BO161" s="286"/>
      <c r="BP161" s="286"/>
      <c r="BQ161" s="286"/>
      <c r="BR161" s="286"/>
      <c r="BS161" s="286"/>
      <c r="BT161" s="286"/>
      <c r="BU161" s="286"/>
      <c r="BV161" s="285"/>
      <c r="BW161" s="285"/>
      <c r="BX161" s="285"/>
      <c r="BY161" s="288" t="s">
        <v>444</v>
      </c>
      <c r="BZ161" s="285"/>
      <c r="CA161" s="285"/>
      <c r="CB161" s="285"/>
      <c r="CC161" s="285"/>
      <c r="CD161" s="285"/>
      <c r="CE161" s="285"/>
      <c r="CF161" s="285"/>
      <c r="CG161" s="285"/>
      <c r="CH161" s="285"/>
      <c r="CI161" s="285"/>
    </row>
    <row r="162" spans="1:87" ht="16.2" outlineLevel="1" x14ac:dyDescent="0.25">
      <c r="A162" s="278" t="str">
        <f>E162&amp;G162</f>
        <v>lt004_protectiontyp_prtctn</v>
      </c>
      <c r="B162" s="142" t="s">
        <v>26</v>
      </c>
      <c r="C162" s="138" t="s">
        <v>26</v>
      </c>
      <c r="D162" s="236" t="s">
        <v>40</v>
      </c>
      <c r="E162" s="239" t="s">
        <v>369</v>
      </c>
      <c r="F162" s="239"/>
      <c r="G162" s="239" t="s">
        <v>437</v>
      </c>
      <c r="H162" s="236" t="str">
        <f>VLOOKUP(A162,'2. Status Detalhe Campos'!$A$7:$G$574,7,0)</f>
        <v>6. Em implementação (re-especificação)</v>
      </c>
      <c r="I162" s="313">
        <v>45603</v>
      </c>
      <c r="J162" s="313">
        <v>45624</v>
      </c>
      <c r="K162" s="313"/>
      <c r="L162" s="294">
        <f t="array" ref="L162">MIN(IF(W162:CI162&gt;0,$W$16:$CI$16))</f>
        <v>45663</v>
      </c>
      <c r="M162" s="295">
        <f t="array" ref="M162">MAX(IF(W162:CI162&gt;0,$W$16:$CI$16))</f>
        <v>45663</v>
      </c>
      <c r="N162" s="295"/>
      <c r="O162" s="249">
        <f>VLOOKUP(H162,Auxiliar!$B$16:$E$24,4,0)</f>
        <v>0</v>
      </c>
      <c r="P162" s="249">
        <f t="shared" ref="P162" ca="1" si="66">IF(TODAY()&lt;=L162,0,MIN((TODAY()-L162)/(M162-L162+1),100%))</f>
        <v>0</v>
      </c>
      <c r="Q162" s="248">
        <f t="shared" ca="1" si="62"/>
        <v>0</v>
      </c>
      <c r="R162" s="266" t="s">
        <v>38</v>
      </c>
      <c r="S162" s="284"/>
      <c r="T162" s="304">
        <v>4.0999999999999996</v>
      </c>
      <c r="U162" s="274">
        <f>ROUND(T162/8,1)</f>
        <v>0.5</v>
      </c>
      <c r="V162" s="274">
        <f>SUM(W162:CI162)-U162</f>
        <v>0</v>
      </c>
      <c r="W162" s="285"/>
      <c r="X162" s="285"/>
      <c r="Y162" s="285"/>
      <c r="Z162" s="285"/>
      <c r="AA162" s="285"/>
      <c r="AB162" s="301"/>
      <c r="AC162" s="285"/>
      <c r="AD162" s="286"/>
      <c r="AE162" s="285"/>
      <c r="AF162" s="285"/>
      <c r="AG162" s="285"/>
      <c r="AH162" s="293"/>
      <c r="AI162" s="285"/>
      <c r="AJ162" s="285"/>
      <c r="AK162" s="285"/>
      <c r="AL162" s="285"/>
      <c r="AM162" s="285"/>
      <c r="AN162" s="285"/>
      <c r="AO162" s="285"/>
      <c r="AP162" s="285"/>
      <c r="AQ162" s="285"/>
      <c r="AR162" s="285"/>
      <c r="AS162" s="285"/>
      <c r="AT162" s="285"/>
      <c r="AU162" s="285"/>
      <c r="AV162" s="285"/>
      <c r="AW162" s="287"/>
      <c r="AX162" s="285"/>
      <c r="AY162" s="285"/>
      <c r="AZ162" s="285"/>
      <c r="BA162" s="285"/>
      <c r="BB162" s="285"/>
      <c r="BC162" s="285"/>
      <c r="BD162" s="285"/>
      <c r="BE162" s="285"/>
      <c r="BF162" s="285"/>
      <c r="BG162" s="285"/>
      <c r="BH162" s="285"/>
      <c r="BI162" s="285"/>
      <c r="BJ162" s="285"/>
      <c r="BK162" s="285"/>
      <c r="BL162" s="285"/>
      <c r="BM162" s="285"/>
      <c r="BN162" s="285"/>
      <c r="BO162" s="286"/>
      <c r="BP162" s="286"/>
      <c r="BQ162" s="286"/>
      <c r="BR162" s="286"/>
      <c r="BS162" s="286"/>
      <c r="BT162" s="286"/>
      <c r="BU162" s="286"/>
      <c r="BV162" s="285"/>
      <c r="BW162" s="285"/>
      <c r="BX162" s="285">
        <v>0.5</v>
      </c>
      <c r="BY162" s="285"/>
      <c r="BZ162" s="285"/>
      <c r="CA162" s="285"/>
      <c r="CB162" s="285"/>
      <c r="CC162" s="285"/>
      <c r="CD162" s="285"/>
      <c r="CE162" s="285"/>
      <c r="CF162" s="285"/>
      <c r="CG162" s="285"/>
      <c r="CH162" s="285"/>
      <c r="CI162" s="285"/>
    </row>
    <row r="163" spans="1:87" ht="15" customHeight="1" x14ac:dyDescent="0.25">
      <c r="A163" s="278"/>
      <c r="B163" s="142" t="s">
        <v>26</v>
      </c>
      <c r="C163" s="138" t="s">
        <v>311</v>
      </c>
      <c r="D163" s="134"/>
      <c r="E163" s="240" t="s">
        <v>334</v>
      </c>
      <c r="F163" s="240" t="s">
        <v>1979</v>
      </c>
      <c r="G163" s="241">
        <f>COUNTA(G164:G175)</f>
        <v>12</v>
      </c>
      <c r="H163" s="279" t="s">
        <v>2023</v>
      </c>
      <c r="I163" s="280" t="s">
        <v>38</v>
      </c>
      <c r="J163" s="300">
        <f>MIN(J164:J175)</f>
        <v>45628</v>
      </c>
      <c r="K163" s="280"/>
      <c r="L163" s="281">
        <f>MIN(L164:L175)</f>
        <v>45630</v>
      </c>
      <c r="M163" s="282">
        <f>MAX(M164:M175)</f>
        <v>45645</v>
      </c>
      <c r="N163" s="332">
        <f t="array" ref="N163">MAX(IF(W163:CI163&gt;0,$W$16:$CI$16))</f>
        <v>45646</v>
      </c>
      <c r="O163" s="251">
        <f>SUMPRODUCT(O164:O175,U164:U175)/SUM(U164:U175)</f>
        <v>0</v>
      </c>
      <c r="P163" s="251">
        <f ca="1">SUMPRODUCT(P164:P175,U164:U175)/SUM(U164:U175)</f>
        <v>0</v>
      </c>
      <c r="Q163" s="248">
        <f t="shared" ca="1" si="62"/>
        <v>0</v>
      </c>
      <c r="R163" s="264" t="s">
        <v>2043</v>
      </c>
      <c r="S163" s="284"/>
      <c r="T163" s="274"/>
      <c r="U163" s="274"/>
      <c r="V163" s="274"/>
      <c r="W163" s="285"/>
      <c r="X163" s="285"/>
      <c r="Y163" s="285"/>
      <c r="Z163" s="285"/>
      <c r="AA163" s="285"/>
      <c r="AB163" s="285"/>
      <c r="AC163" s="285"/>
      <c r="AD163" s="286"/>
      <c r="AE163" s="285"/>
      <c r="AF163" s="285"/>
      <c r="AG163" s="285"/>
      <c r="AH163" s="285"/>
      <c r="AI163" s="285"/>
      <c r="AJ163" s="285"/>
      <c r="AK163" s="285"/>
      <c r="AL163" s="285"/>
      <c r="AM163" s="285"/>
      <c r="AN163" s="285"/>
      <c r="AO163" s="285"/>
      <c r="AP163" s="285"/>
      <c r="AQ163" s="285"/>
      <c r="AR163" s="285"/>
      <c r="AS163" s="285"/>
      <c r="AT163" s="285"/>
      <c r="AU163" s="285"/>
      <c r="AV163" s="285"/>
      <c r="AW163" s="287"/>
      <c r="AX163" s="285"/>
      <c r="AY163" s="287"/>
      <c r="AZ163" s="285"/>
      <c r="BA163" s="285"/>
      <c r="BB163" s="285"/>
      <c r="BC163" s="285"/>
      <c r="BD163" s="285"/>
      <c r="BE163" s="285"/>
      <c r="BF163" s="285"/>
      <c r="BG163" s="285"/>
      <c r="BH163" s="285"/>
      <c r="BI163" s="285"/>
      <c r="BJ163" s="285"/>
      <c r="BK163" s="285"/>
      <c r="BL163" s="285"/>
      <c r="BM163" s="285" t="s">
        <v>444</v>
      </c>
      <c r="BN163" s="285"/>
      <c r="BO163" s="286"/>
      <c r="BP163" s="286"/>
      <c r="BQ163" s="286"/>
      <c r="BR163" s="286"/>
      <c r="BS163" s="286"/>
      <c r="BT163" s="286"/>
      <c r="BU163" s="286"/>
      <c r="BV163" s="285"/>
      <c r="BW163" s="285"/>
      <c r="BX163" s="285"/>
      <c r="BY163" s="285"/>
      <c r="BZ163" s="285"/>
      <c r="CA163" s="285"/>
      <c r="CB163" s="285"/>
      <c r="CC163" s="285"/>
      <c r="CD163" s="285"/>
      <c r="CE163" s="285"/>
      <c r="CF163" s="285"/>
      <c r="CG163" s="285"/>
      <c r="CH163" s="285"/>
      <c r="CI163" s="285"/>
    </row>
    <row r="164" spans="1:87" ht="16.2" outlineLevel="1" x14ac:dyDescent="0.25">
      <c r="A164" s="278" t="str">
        <f t="shared" ref="A164:A175" si="67">E164&amp;G164</f>
        <v>modesg_out_sfcs_taxon_europeiacbalcao</v>
      </c>
      <c r="B164" s="142" t="s">
        <v>26</v>
      </c>
      <c r="C164" s="138" t="s">
        <v>311</v>
      </c>
      <c r="D164" s="236" t="s">
        <v>40</v>
      </c>
      <c r="E164" s="237" t="s">
        <v>334</v>
      </c>
      <c r="F164" s="237"/>
      <c r="G164" s="236" t="s">
        <v>183</v>
      </c>
      <c r="H164" s="236" t="str">
        <f>VLOOKUP(A164,'2. Status Detalhe Campos'!$A$7:$G$574,7,0)</f>
        <v>6. Em implementação (re-especificação)</v>
      </c>
      <c r="I164" s="280" t="s">
        <v>38</v>
      </c>
      <c r="J164" s="333">
        <v>45628</v>
      </c>
      <c r="K164" s="334"/>
      <c r="L164" s="294">
        <f t="array" ref="L164">MIN(IF(W164:CI164&gt;0,$W$16:$CI$16))</f>
        <v>45630</v>
      </c>
      <c r="M164" s="295">
        <f t="array" ref="M164">MAX(IF(W164:CI164&gt;0,$W$16:$CI$16))</f>
        <v>45630</v>
      </c>
      <c r="N164" s="295"/>
      <c r="O164" s="249">
        <f>VLOOKUP(H164,Auxiliar!$B$16:$E$24,4,0)</f>
        <v>0</v>
      </c>
      <c r="P164" s="249">
        <f t="shared" ref="P164:P175" ca="1" si="68">IF(TODAY()&lt;=L164,0,MIN((TODAY()-L164)/(M164-L164+1),100%))</f>
        <v>0</v>
      </c>
      <c r="Q164" s="248">
        <f t="shared" ca="1" si="62"/>
        <v>0</v>
      </c>
      <c r="R164" s="265"/>
      <c r="S164" s="284"/>
      <c r="T164" s="274">
        <v>4.0999999999999996</v>
      </c>
      <c r="U164" s="274">
        <f t="shared" ref="U164:U175" si="69">ROUND(T164/8,1)</f>
        <v>0.5</v>
      </c>
      <c r="V164" s="274">
        <f t="shared" ref="V164:V175" si="70">SUM(W164:CI164)-U164</f>
        <v>0</v>
      </c>
      <c r="W164" s="285"/>
      <c r="X164" s="285"/>
      <c r="Y164" s="285"/>
      <c r="Z164" s="285"/>
      <c r="AA164" s="285"/>
      <c r="AB164" s="285"/>
      <c r="AC164" s="285"/>
      <c r="AD164" s="286"/>
      <c r="AE164" s="285"/>
      <c r="AF164" s="285"/>
      <c r="AG164" s="285"/>
      <c r="AH164" s="285"/>
      <c r="AI164" s="285"/>
      <c r="AJ164" s="285"/>
      <c r="AK164" s="285"/>
      <c r="AL164" s="285"/>
      <c r="AM164" s="285"/>
      <c r="AN164" s="285"/>
      <c r="AO164" s="285"/>
      <c r="AP164" s="285"/>
      <c r="AQ164" s="285"/>
      <c r="AR164" s="285"/>
      <c r="AS164" s="285"/>
      <c r="AT164" s="285"/>
      <c r="AU164" s="285"/>
      <c r="AV164" s="285"/>
      <c r="AW164" s="287"/>
      <c r="AX164" s="285"/>
      <c r="AY164" s="287"/>
      <c r="AZ164" s="285"/>
      <c r="BA164" s="285">
        <v>0.5</v>
      </c>
      <c r="BB164" s="285"/>
      <c r="BC164" s="285"/>
      <c r="BD164" s="285"/>
      <c r="BE164" s="285"/>
      <c r="BF164" s="285"/>
      <c r="BG164" s="285"/>
      <c r="BH164" s="285"/>
      <c r="BI164" s="285"/>
      <c r="BJ164" s="285"/>
      <c r="BK164" s="285"/>
      <c r="BL164" s="285"/>
      <c r="BM164" s="285"/>
      <c r="BN164" s="285"/>
      <c r="BO164" s="286"/>
      <c r="BP164" s="286"/>
      <c r="BQ164" s="286"/>
      <c r="BR164" s="286"/>
      <c r="BS164" s="286"/>
      <c r="BT164" s="286"/>
      <c r="BU164" s="286"/>
      <c r="BV164" s="285"/>
      <c r="BW164" s="285"/>
      <c r="BX164" s="285"/>
      <c r="BY164" s="285"/>
      <c r="BZ164" s="285"/>
      <c r="CA164" s="285"/>
      <c r="CB164" s="285"/>
      <c r="CC164" s="285"/>
      <c r="CD164" s="285"/>
      <c r="CE164" s="285"/>
      <c r="CF164" s="285"/>
      <c r="CG164" s="285"/>
      <c r="CH164" s="285"/>
      <c r="CI164" s="285"/>
    </row>
    <row r="165" spans="1:87" ht="16.2" outlineLevel="1" x14ac:dyDescent="0.25">
      <c r="A165" s="278" t="str">
        <f t="shared" si="67"/>
        <v>modesg_out_sfcs_taxon_europeiacempresa</v>
      </c>
      <c r="B165" s="142" t="s">
        <v>26</v>
      </c>
      <c r="C165" s="138" t="s">
        <v>311</v>
      </c>
      <c r="D165" s="236" t="s">
        <v>40</v>
      </c>
      <c r="E165" s="237" t="s">
        <v>334</v>
      </c>
      <c r="F165" s="237"/>
      <c r="G165" s="236" t="s">
        <v>184</v>
      </c>
      <c r="H165" s="236" t="str">
        <f>VLOOKUP(A165,'2. Status Detalhe Campos'!$A$7:$G$574,7,0)</f>
        <v>6. Em implementação (re-especificação)</v>
      </c>
      <c r="I165" s="280" t="s">
        <v>38</v>
      </c>
      <c r="J165" s="333">
        <v>45628</v>
      </c>
      <c r="K165" s="334"/>
      <c r="L165" s="294">
        <f t="array" ref="L165">MIN(IF(W165:CI165&gt;0,$W$16:$CI$16))</f>
        <v>45630</v>
      </c>
      <c r="M165" s="295">
        <f t="array" ref="M165">MAX(IF(W165:CI165&gt;0,$W$16:$CI$16))</f>
        <v>45630</v>
      </c>
      <c r="N165" s="295"/>
      <c r="O165" s="249">
        <f>VLOOKUP(H165,Auxiliar!$B$16:$E$24,4,0)</f>
        <v>0</v>
      </c>
      <c r="P165" s="249">
        <f t="shared" ca="1" si="68"/>
        <v>0</v>
      </c>
      <c r="Q165" s="248">
        <f t="shared" ca="1" si="62"/>
        <v>0</v>
      </c>
      <c r="R165" s="265"/>
      <c r="S165" s="284"/>
      <c r="T165" s="274">
        <v>4.0999999999999996</v>
      </c>
      <c r="U165" s="274">
        <f t="shared" si="69"/>
        <v>0.5</v>
      </c>
      <c r="V165" s="274">
        <f t="shared" si="70"/>
        <v>0</v>
      </c>
      <c r="W165" s="285"/>
      <c r="X165" s="285"/>
      <c r="Y165" s="285"/>
      <c r="Z165" s="285"/>
      <c r="AA165" s="285"/>
      <c r="AB165" s="285"/>
      <c r="AC165" s="285"/>
      <c r="AD165" s="286"/>
      <c r="AE165" s="285"/>
      <c r="AF165" s="285"/>
      <c r="AG165" s="285"/>
      <c r="AH165" s="285"/>
      <c r="AI165" s="285"/>
      <c r="AJ165" s="285"/>
      <c r="AK165" s="285"/>
      <c r="AL165" s="285"/>
      <c r="AM165" s="285"/>
      <c r="AN165" s="285"/>
      <c r="AO165" s="285"/>
      <c r="AP165" s="285"/>
      <c r="AQ165" s="285"/>
      <c r="AR165" s="285"/>
      <c r="AS165" s="285"/>
      <c r="AT165" s="285"/>
      <c r="AU165" s="285"/>
      <c r="AV165" s="285"/>
      <c r="AW165" s="287"/>
      <c r="AX165" s="285"/>
      <c r="AY165" s="287"/>
      <c r="AZ165" s="285"/>
      <c r="BA165" s="285">
        <v>0.5</v>
      </c>
      <c r="BB165" s="285"/>
      <c r="BC165" s="285"/>
      <c r="BD165" s="285"/>
      <c r="BE165" s="285"/>
      <c r="BF165" s="285"/>
      <c r="BG165" s="285"/>
      <c r="BH165" s="285"/>
      <c r="BI165" s="285"/>
      <c r="BJ165" s="285"/>
      <c r="BK165" s="285"/>
      <c r="BL165" s="285"/>
      <c r="BM165" s="285"/>
      <c r="BN165" s="285"/>
      <c r="BO165" s="286"/>
      <c r="BP165" s="286"/>
      <c r="BQ165" s="286"/>
      <c r="BR165" s="286"/>
      <c r="BS165" s="286"/>
      <c r="BT165" s="286"/>
      <c r="BU165" s="286"/>
      <c r="BV165" s="285"/>
      <c r="BW165" s="285"/>
      <c r="BX165" s="285"/>
      <c r="BY165" s="285"/>
      <c r="BZ165" s="285"/>
      <c r="CA165" s="285"/>
      <c r="CB165" s="285"/>
      <c r="CC165" s="285"/>
      <c r="CD165" s="285"/>
      <c r="CE165" s="285"/>
      <c r="CF165" s="285"/>
      <c r="CG165" s="285"/>
      <c r="CH165" s="285"/>
      <c r="CI165" s="285"/>
    </row>
    <row r="166" spans="1:87" ht="16.2" outlineLevel="1" x14ac:dyDescent="0.25">
      <c r="A166" s="278" t="str">
        <f t="shared" si="67"/>
        <v>modesg_out_sfcs_taxon_europeiacnumecta</v>
      </c>
      <c r="B166" s="142" t="s">
        <v>26</v>
      </c>
      <c r="C166" s="138" t="s">
        <v>311</v>
      </c>
      <c r="D166" s="236" t="s">
        <v>40</v>
      </c>
      <c r="E166" s="237" t="s">
        <v>334</v>
      </c>
      <c r="F166" s="237"/>
      <c r="G166" s="236" t="s">
        <v>189</v>
      </c>
      <c r="H166" s="236" t="str">
        <f>VLOOKUP(A166,'2. Status Detalhe Campos'!$A$7:$G$574,7,0)</f>
        <v>6. Em implementação (re-especificação)</v>
      </c>
      <c r="I166" s="280" t="s">
        <v>38</v>
      </c>
      <c r="J166" s="333">
        <v>45628</v>
      </c>
      <c r="K166" s="334"/>
      <c r="L166" s="294">
        <f t="array" ref="L166">MIN(IF(W166:CI166&gt;0,$W$16:$CI$16))</f>
        <v>45631</v>
      </c>
      <c r="M166" s="295">
        <f t="array" ref="M166">MAX(IF(W166:CI166&gt;0,$W$16:$CI$16))</f>
        <v>45631</v>
      </c>
      <c r="N166" s="295"/>
      <c r="O166" s="249">
        <f>VLOOKUP(H166,Auxiliar!$B$16:$E$24,4,0)</f>
        <v>0</v>
      </c>
      <c r="P166" s="249">
        <f t="shared" ca="1" si="68"/>
        <v>0</v>
      </c>
      <c r="Q166" s="248">
        <f t="shared" ca="1" si="62"/>
        <v>0</v>
      </c>
      <c r="R166" s="265"/>
      <c r="S166" s="284"/>
      <c r="T166" s="274">
        <v>4.0999999999999996</v>
      </c>
      <c r="U166" s="274">
        <f t="shared" si="69"/>
        <v>0.5</v>
      </c>
      <c r="V166" s="274">
        <f t="shared" si="70"/>
        <v>0</v>
      </c>
      <c r="W166" s="285"/>
      <c r="X166" s="285"/>
      <c r="Y166" s="285"/>
      <c r="Z166" s="285"/>
      <c r="AA166" s="285"/>
      <c r="AB166" s="285"/>
      <c r="AC166" s="285"/>
      <c r="AD166" s="286"/>
      <c r="AE166" s="285"/>
      <c r="AF166" s="285"/>
      <c r="AG166" s="285"/>
      <c r="AH166" s="285"/>
      <c r="AI166" s="285"/>
      <c r="AJ166" s="285"/>
      <c r="AK166" s="285"/>
      <c r="AL166" s="285"/>
      <c r="AM166" s="285"/>
      <c r="AN166" s="285"/>
      <c r="AO166" s="285"/>
      <c r="AP166" s="285"/>
      <c r="AQ166" s="285"/>
      <c r="AR166" s="285"/>
      <c r="AS166" s="285"/>
      <c r="AT166" s="285"/>
      <c r="AU166" s="285"/>
      <c r="AV166" s="285"/>
      <c r="AW166" s="287"/>
      <c r="AX166" s="285"/>
      <c r="AY166" s="287"/>
      <c r="AZ166" s="285"/>
      <c r="BA166" s="285"/>
      <c r="BB166" s="285">
        <v>0.5</v>
      </c>
      <c r="BC166" s="285"/>
      <c r="BD166" s="285"/>
      <c r="BE166" s="285"/>
      <c r="BF166" s="285"/>
      <c r="BG166" s="285"/>
      <c r="BH166" s="285"/>
      <c r="BI166" s="285"/>
      <c r="BJ166" s="285"/>
      <c r="BK166" s="285"/>
      <c r="BL166" s="285"/>
      <c r="BM166" s="285"/>
      <c r="BN166" s="285"/>
      <c r="BO166" s="286"/>
      <c r="BP166" s="286"/>
      <c r="BQ166" s="286"/>
      <c r="BR166" s="286"/>
      <c r="BS166" s="286"/>
      <c r="BT166" s="286"/>
      <c r="BU166" s="286"/>
      <c r="BV166" s="285"/>
      <c r="BW166" s="285"/>
      <c r="BX166" s="285"/>
      <c r="BY166" s="285"/>
      <c r="BZ166" s="285"/>
      <c r="CA166" s="285"/>
      <c r="CB166" s="285"/>
      <c r="CC166" s="285"/>
      <c r="CD166" s="285"/>
      <c r="CE166" s="285"/>
      <c r="CF166" s="285"/>
      <c r="CG166" s="285"/>
      <c r="CH166" s="285"/>
      <c r="CI166" s="285"/>
    </row>
    <row r="167" spans="1:87" ht="16.2" outlineLevel="1" x14ac:dyDescent="0.25">
      <c r="A167" s="278" t="str">
        <f t="shared" si="67"/>
        <v>modesg_out_sfcs_taxon_europeiacod_regra</v>
      </c>
      <c r="B167" s="142" t="s">
        <v>26</v>
      </c>
      <c r="C167" s="138" t="s">
        <v>311</v>
      </c>
      <c r="D167" s="236" t="s">
        <v>40</v>
      </c>
      <c r="E167" s="237" t="s">
        <v>334</v>
      </c>
      <c r="F167" s="237"/>
      <c r="G167" s="236" t="s">
        <v>191</v>
      </c>
      <c r="H167" s="236" t="str">
        <f>VLOOKUP(A167,'2. Status Detalhe Campos'!$A$7:$G$574,7,0)</f>
        <v>6. Em implementação (re-especificação)</v>
      </c>
      <c r="I167" s="280" t="s">
        <v>38</v>
      </c>
      <c r="J167" s="333">
        <v>45628</v>
      </c>
      <c r="K167" s="334"/>
      <c r="L167" s="294">
        <f t="array" ref="L167">MIN(IF(W167:CI167&gt;0,$W$16:$CI$16))</f>
        <v>45631</v>
      </c>
      <c r="M167" s="295">
        <f t="array" ref="M167">MAX(IF(W167:CI167&gt;0,$W$16:$CI$16))</f>
        <v>45631</v>
      </c>
      <c r="N167" s="295"/>
      <c r="O167" s="249">
        <f>VLOOKUP(H167,Auxiliar!$B$16:$E$24,4,0)</f>
        <v>0</v>
      </c>
      <c r="P167" s="249">
        <f t="shared" ca="1" si="68"/>
        <v>0</v>
      </c>
      <c r="Q167" s="248">
        <f t="shared" ca="1" si="62"/>
        <v>0</v>
      </c>
      <c r="R167" s="265"/>
      <c r="S167" s="284"/>
      <c r="T167" s="274">
        <v>4.0999999999999996</v>
      </c>
      <c r="U167" s="274">
        <f t="shared" si="69"/>
        <v>0.5</v>
      </c>
      <c r="V167" s="274">
        <f t="shared" si="70"/>
        <v>0</v>
      </c>
      <c r="W167" s="285"/>
      <c r="X167" s="285"/>
      <c r="Y167" s="285"/>
      <c r="Z167" s="285"/>
      <c r="AA167" s="285"/>
      <c r="AB167" s="285"/>
      <c r="AC167" s="285"/>
      <c r="AD167" s="286"/>
      <c r="AE167" s="285"/>
      <c r="AF167" s="285"/>
      <c r="AG167" s="285"/>
      <c r="AH167" s="285"/>
      <c r="AI167" s="285"/>
      <c r="AJ167" s="285"/>
      <c r="AK167" s="285"/>
      <c r="AL167" s="285"/>
      <c r="AM167" s="285"/>
      <c r="AN167" s="285"/>
      <c r="AO167" s="285"/>
      <c r="AP167" s="285"/>
      <c r="AQ167" s="285"/>
      <c r="AR167" s="285"/>
      <c r="AS167" s="285"/>
      <c r="AT167" s="285"/>
      <c r="AU167" s="285"/>
      <c r="AV167" s="285"/>
      <c r="AW167" s="287"/>
      <c r="AX167" s="285"/>
      <c r="AY167" s="287"/>
      <c r="AZ167" s="285"/>
      <c r="BA167" s="285"/>
      <c r="BB167" s="285">
        <v>0.5</v>
      </c>
      <c r="BC167" s="285"/>
      <c r="BD167" s="285"/>
      <c r="BE167" s="285"/>
      <c r="BF167" s="285"/>
      <c r="BG167" s="285"/>
      <c r="BH167" s="285"/>
      <c r="BI167" s="285"/>
      <c r="BJ167" s="285"/>
      <c r="BK167" s="285"/>
      <c r="BL167" s="285"/>
      <c r="BM167" s="285"/>
      <c r="BN167" s="285"/>
      <c r="BO167" s="286"/>
      <c r="BP167" s="286"/>
      <c r="BQ167" s="286"/>
      <c r="BR167" s="286"/>
      <c r="BS167" s="286"/>
      <c r="BT167" s="286"/>
      <c r="BU167" s="286"/>
      <c r="BV167" s="285"/>
      <c r="BW167" s="285"/>
      <c r="BX167" s="285"/>
      <c r="BY167" s="285"/>
      <c r="BZ167" s="285"/>
      <c r="CA167" s="285"/>
      <c r="CB167" s="285"/>
      <c r="CC167" s="285"/>
      <c r="CD167" s="285"/>
      <c r="CE167" s="285"/>
      <c r="CF167" s="285"/>
      <c r="CG167" s="285"/>
      <c r="CH167" s="285"/>
      <c r="CI167" s="285"/>
    </row>
    <row r="168" spans="1:87" ht="16.2" outlineLevel="1" x14ac:dyDescent="0.25">
      <c r="A168" s="278" t="str">
        <f t="shared" si="67"/>
        <v>modesg_out_sfcs_taxon_europeiamontante_pndrc</v>
      </c>
      <c r="B168" s="142" t="s">
        <v>26</v>
      </c>
      <c r="C168" s="138" t="s">
        <v>311</v>
      </c>
      <c r="D168" s="236" t="s">
        <v>40</v>
      </c>
      <c r="E168" s="237" t="s">
        <v>334</v>
      </c>
      <c r="F168" s="237"/>
      <c r="G168" s="236" t="s">
        <v>202</v>
      </c>
      <c r="H168" s="236" t="str">
        <f>VLOOKUP(A168,'2. Status Detalhe Campos'!$A$7:$G$574,7,0)</f>
        <v>6. Em implementação (re-especificação)</v>
      </c>
      <c r="I168" s="280" t="s">
        <v>38</v>
      </c>
      <c r="J168" s="333">
        <v>45628</v>
      </c>
      <c r="K168" s="334"/>
      <c r="L168" s="294">
        <f t="array" ref="L168">MIN(IF(W168:CI168&gt;0,$W$16:$CI$16))</f>
        <v>45632</v>
      </c>
      <c r="M168" s="295">
        <f t="array" ref="M168">MAX(IF(W168:CI168&gt;0,$W$16:$CI$16))</f>
        <v>45635</v>
      </c>
      <c r="N168" s="295"/>
      <c r="O168" s="249">
        <f>VLOOKUP(H168,Auxiliar!$B$16:$E$24,4,0)</f>
        <v>0</v>
      </c>
      <c r="P168" s="249">
        <f t="shared" ca="1" si="68"/>
        <v>0</v>
      </c>
      <c r="Q168" s="248">
        <f t="shared" ca="1" si="62"/>
        <v>0</v>
      </c>
      <c r="R168" s="265"/>
      <c r="S168" s="284"/>
      <c r="T168" s="274">
        <v>16.100000000000001</v>
      </c>
      <c r="U168" s="274">
        <f t="shared" si="69"/>
        <v>2</v>
      </c>
      <c r="V168" s="274">
        <f t="shared" si="70"/>
        <v>0</v>
      </c>
      <c r="W168" s="285"/>
      <c r="X168" s="285"/>
      <c r="Y168" s="285"/>
      <c r="Z168" s="285"/>
      <c r="AA168" s="285"/>
      <c r="AB168" s="285"/>
      <c r="AC168" s="285"/>
      <c r="AD168" s="286"/>
      <c r="AE168" s="285"/>
      <c r="AF168" s="285"/>
      <c r="AG168" s="285"/>
      <c r="AH168" s="285"/>
      <c r="AI168" s="285"/>
      <c r="AJ168" s="285"/>
      <c r="AK168" s="285"/>
      <c r="AL168" s="285"/>
      <c r="AM168" s="285"/>
      <c r="AN168" s="285"/>
      <c r="AO168" s="285"/>
      <c r="AP168" s="285"/>
      <c r="AQ168" s="285"/>
      <c r="AR168" s="285"/>
      <c r="AS168" s="285"/>
      <c r="AT168" s="285"/>
      <c r="AU168" s="285"/>
      <c r="AV168" s="285"/>
      <c r="AW168" s="287"/>
      <c r="AX168" s="285"/>
      <c r="AY168" s="287"/>
      <c r="AZ168" s="285"/>
      <c r="BA168" s="285"/>
      <c r="BB168" s="285"/>
      <c r="BC168" s="285">
        <v>1</v>
      </c>
      <c r="BD168" s="285">
        <v>1</v>
      </c>
      <c r="BE168" s="285"/>
      <c r="BF168" s="285"/>
      <c r="BG168" s="285"/>
      <c r="BH168" s="285"/>
      <c r="BI168" s="285"/>
      <c r="BJ168" s="285"/>
      <c r="BK168" s="285"/>
      <c r="BL168" s="285"/>
      <c r="BM168" s="285"/>
      <c r="BN168" s="285"/>
      <c r="BO168" s="286"/>
      <c r="BP168" s="286"/>
      <c r="BQ168" s="286"/>
      <c r="BR168" s="286"/>
      <c r="BS168" s="286"/>
      <c r="BT168" s="286"/>
      <c r="BU168" s="286"/>
      <c r="BV168" s="285"/>
      <c r="BW168" s="285"/>
      <c r="BX168" s="285"/>
      <c r="BY168" s="285"/>
      <c r="BZ168" s="285"/>
      <c r="CA168" s="285"/>
      <c r="CB168" s="285"/>
      <c r="CC168" s="285"/>
      <c r="CD168" s="285"/>
      <c r="CE168" s="285"/>
      <c r="CF168" s="285"/>
      <c r="CG168" s="285"/>
      <c r="CH168" s="285"/>
      <c r="CI168" s="285"/>
    </row>
    <row r="169" spans="1:87" ht="16.2" outlineLevel="1" x14ac:dyDescent="0.25">
      <c r="A169" s="278" t="str">
        <f t="shared" si="67"/>
        <v>modesg_out_sfcs_taxon_europeianome_ctgr_sfcs</v>
      </c>
      <c r="B169" s="142" t="s">
        <v>26</v>
      </c>
      <c r="C169" s="138" t="s">
        <v>311</v>
      </c>
      <c r="D169" s="236" t="s">
        <v>40</v>
      </c>
      <c r="E169" s="237" t="s">
        <v>334</v>
      </c>
      <c r="F169" s="237"/>
      <c r="G169" s="236" t="s">
        <v>203</v>
      </c>
      <c r="H169" s="236" t="str">
        <f>VLOOKUP(A169,'2. Status Detalhe Campos'!$A$7:$G$574,7,0)</f>
        <v>6. Em implementação (re-especificação)</v>
      </c>
      <c r="I169" s="280" t="s">
        <v>38</v>
      </c>
      <c r="J169" s="333">
        <v>45628</v>
      </c>
      <c r="K169" s="334"/>
      <c r="L169" s="294">
        <f t="array" ref="L169">MIN(IF(W169:CI169&gt;0,$W$16:$CI$16))</f>
        <v>45636</v>
      </c>
      <c r="M169" s="295">
        <f t="array" ref="M169">MAX(IF(W169:CI169&gt;0,$W$16:$CI$16))</f>
        <v>45637</v>
      </c>
      <c r="N169" s="295"/>
      <c r="O169" s="249">
        <f>VLOOKUP(H169,Auxiliar!$B$16:$E$24,4,0)</f>
        <v>0</v>
      </c>
      <c r="P169" s="249">
        <f t="shared" ca="1" si="68"/>
        <v>0</v>
      </c>
      <c r="Q169" s="248">
        <f t="shared" ca="1" si="62"/>
        <v>0</v>
      </c>
      <c r="R169" s="265"/>
      <c r="S169" s="284"/>
      <c r="T169" s="274">
        <v>16.100000000000001</v>
      </c>
      <c r="U169" s="274">
        <f t="shared" si="69"/>
        <v>2</v>
      </c>
      <c r="V169" s="274">
        <f t="shared" si="70"/>
        <v>0</v>
      </c>
      <c r="W169" s="285"/>
      <c r="X169" s="285"/>
      <c r="Y169" s="285"/>
      <c r="Z169" s="285"/>
      <c r="AA169" s="285"/>
      <c r="AB169" s="285"/>
      <c r="AC169" s="285"/>
      <c r="AD169" s="286"/>
      <c r="AE169" s="285"/>
      <c r="AF169" s="285"/>
      <c r="AG169" s="285"/>
      <c r="AH169" s="285"/>
      <c r="AI169" s="285"/>
      <c r="AJ169" s="285"/>
      <c r="AK169" s="285"/>
      <c r="AL169" s="285"/>
      <c r="AM169" s="285"/>
      <c r="AN169" s="285"/>
      <c r="AO169" s="285"/>
      <c r="AP169" s="285"/>
      <c r="AQ169" s="285"/>
      <c r="AR169" s="285"/>
      <c r="AS169" s="285"/>
      <c r="AT169" s="285"/>
      <c r="AU169" s="285"/>
      <c r="AV169" s="285"/>
      <c r="AW169" s="287"/>
      <c r="AX169" s="285"/>
      <c r="AY169" s="287"/>
      <c r="AZ169" s="285"/>
      <c r="BA169" s="285"/>
      <c r="BB169" s="285"/>
      <c r="BC169" s="285"/>
      <c r="BD169" s="285"/>
      <c r="BE169" s="285">
        <v>1</v>
      </c>
      <c r="BF169" s="285">
        <v>1</v>
      </c>
      <c r="BG169" s="285"/>
      <c r="BH169" s="285"/>
      <c r="BI169" s="285"/>
      <c r="BJ169" s="285"/>
      <c r="BK169" s="285"/>
      <c r="BL169" s="285"/>
      <c r="BM169" s="285"/>
      <c r="BN169" s="285"/>
      <c r="BO169" s="286"/>
      <c r="BP169" s="286"/>
      <c r="BQ169" s="286"/>
      <c r="BR169" s="286"/>
      <c r="BS169" s="286"/>
      <c r="BT169" s="286"/>
      <c r="BU169" s="286"/>
      <c r="BV169" s="285"/>
      <c r="BW169" s="285"/>
      <c r="BX169" s="285"/>
      <c r="BY169" s="285"/>
      <c r="BZ169" s="285"/>
      <c r="CA169" s="285"/>
      <c r="CB169" s="285"/>
      <c r="CC169" s="285"/>
      <c r="CD169" s="285"/>
      <c r="CE169" s="285"/>
      <c r="CF169" s="285"/>
      <c r="CG169" s="285"/>
      <c r="CH169" s="285"/>
      <c r="CI169" s="285"/>
    </row>
    <row r="170" spans="1:87" ht="16.2" outlineLevel="1" x14ac:dyDescent="0.25">
      <c r="A170" s="278" t="str">
        <f t="shared" si="67"/>
        <v>modesg_out_sfcs_taxon_europeianome_general_specific_purpose</v>
      </c>
      <c r="B170" s="142" t="s">
        <v>26</v>
      </c>
      <c r="C170" s="138" t="s">
        <v>311</v>
      </c>
      <c r="D170" s="236" t="s">
        <v>40</v>
      </c>
      <c r="E170" s="237" t="s">
        <v>334</v>
      </c>
      <c r="F170" s="237"/>
      <c r="G170" s="236" t="s">
        <v>204</v>
      </c>
      <c r="H170" s="236" t="str">
        <f>VLOOKUP(A170,'2. Status Detalhe Campos'!$A$7:$G$574,7,0)</f>
        <v>6. Em implementação (re-especificação)</v>
      </c>
      <c r="I170" s="280" t="s">
        <v>38</v>
      </c>
      <c r="J170" s="333">
        <v>45628</v>
      </c>
      <c r="K170" s="334"/>
      <c r="L170" s="294">
        <f t="array" ref="L170">MIN(IF(W170:CI170&gt;0,$W$16:$CI$16))</f>
        <v>45638</v>
      </c>
      <c r="M170" s="295">
        <f t="array" ref="M170">MAX(IF(W170:CI170&gt;0,$W$16:$CI$16))</f>
        <v>45638</v>
      </c>
      <c r="N170" s="295"/>
      <c r="O170" s="249">
        <f>VLOOKUP(H170,Auxiliar!$B$16:$E$24,4,0)</f>
        <v>0</v>
      </c>
      <c r="P170" s="249">
        <f t="shared" ca="1" si="68"/>
        <v>0</v>
      </c>
      <c r="Q170" s="248">
        <f t="shared" ca="1" si="62"/>
        <v>0</v>
      </c>
      <c r="R170" s="265"/>
      <c r="S170" s="284"/>
      <c r="T170" s="274">
        <v>8.1</v>
      </c>
      <c r="U170" s="274">
        <f t="shared" si="69"/>
        <v>1</v>
      </c>
      <c r="V170" s="274">
        <f t="shared" si="70"/>
        <v>0</v>
      </c>
      <c r="W170" s="285"/>
      <c r="X170" s="285"/>
      <c r="Y170" s="285"/>
      <c r="Z170" s="285"/>
      <c r="AA170" s="285"/>
      <c r="AB170" s="285"/>
      <c r="AC170" s="285"/>
      <c r="AD170" s="286"/>
      <c r="AE170" s="285"/>
      <c r="AF170" s="285"/>
      <c r="AG170" s="285"/>
      <c r="AH170" s="285"/>
      <c r="AI170" s="285"/>
      <c r="AJ170" s="285"/>
      <c r="AK170" s="285"/>
      <c r="AL170" s="285"/>
      <c r="AM170" s="285"/>
      <c r="AN170" s="285"/>
      <c r="AO170" s="285"/>
      <c r="AP170" s="285"/>
      <c r="AQ170" s="285"/>
      <c r="AR170" s="285"/>
      <c r="AS170" s="285"/>
      <c r="AT170" s="285"/>
      <c r="AU170" s="285"/>
      <c r="AV170" s="285"/>
      <c r="AW170" s="287"/>
      <c r="AX170" s="285"/>
      <c r="AY170" s="287"/>
      <c r="AZ170" s="285"/>
      <c r="BA170" s="285"/>
      <c r="BB170" s="285"/>
      <c r="BC170" s="285"/>
      <c r="BD170" s="285"/>
      <c r="BE170" s="285"/>
      <c r="BF170" s="285"/>
      <c r="BG170" s="285">
        <v>1</v>
      </c>
      <c r="BH170" s="285"/>
      <c r="BI170" s="285"/>
      <c r="BJ170" s="285"/>
      <c r="BK170" s="285"/>
      <c r="BL170" s="285"/>
      <c r="BM170" s="285"/>
      <c r="BN170" s="285"/>
      <c r="BO170" s="286"/>
      <c r="BP170" s="286"/>
      <c r="BQ170" s="286"/>
      <c r="BR170" s="286"/>
      <c r="BS170" s="286"/>
      <c r="BT170" s="286"/>
      <c r="BU170" s="286"/>
      <c r="BV170" s="285"/>
      <c r="BW170" s="285"/>
      <c r="BX170" s="285"/>
      <c r="BY170" s="285"/>
      <c r="BZ170" s="285"/>
      <c r="CA170" s="285"/>
      <c r="CB170" s="285"/>
      <c r="CC170" s="285"/>
      <c r="CD170" s="285"/>
      <c r="CE170" s="285"/>
      <c r="CF170" s="285"/>
      <c r="CG170" s="285"/>
      <c r="CH170" s="285"/>
      <c r="CI170" s="285"/>
    </row>
    <row r="171" spans="1:87" ht="16.2" outlineLevel="1" x14ac:dyDescent="0.25">
      <c r="A171" s="278" t="str">
        <f t="shared" si="67"/>
        <v>modesg_out_sfcs_taxon_europeianome_purpose_esg</v>
      </c>
      <c r="B171" s="142" t="s">
        <v>26</v>
      </c>
      <c r="C171" s="138" t="s">
        <v>311</v>
      </c>
      <c r="D171" s="236" t="s">
        <v>40</v>
      </c>
      <c r="E171" s="237" t="s">
        <v>334</v>
      </c>
      <c r="F171" s="237"/>
      <c r="G171" s="236" t="s">
        <v>205</v>
      </c>
      <c r="H171" s="236" t="str">
        <f>VLOOKUP(A171,'2. Status Detalhe Campos'!$A$7:$G$574,7,0)</f>
        <v>6. Em implementação (re-especificação)</v>
      </c>
      <c r="I171" s="280" t="s">
        <v>38</v>
      </c>
      <c r="J171" s="333">
        <v>45628</v>
      </c>
      <c r="K171" s="334"/>
      <c r="L171" s="294">
        <f t="array" ref="L171">MIN(IF(W171:CI171&gt;0,$W$16:$CI$16))</f>
        <v>45639</v>
      </c>
      <c r="M171" s="295">
        <f t="array" ref="M171">MAX(IF(W171:CI171&gt;0,$W$16:$CI$16))</f>
        <v>45639</v>
      </c>
      <c r="N171" s="295"/>
      <c r="O171" s="249">
        <f>VLOOKUP(H171,Auxiliar!$B$16:$E$24,4,0)</f>
        <v>0</v>
      </c>
      <c r="P171" s="249">
        <f t="shared" ca="1" si="68"/>
        <v>0</v>
      </c>
      <c r="Q171" s="248">
        <f t="shared" ca="1" si="62"/>
        <v>0</v>
      </c>
      <c r="R171" s="265"/>
      <c r="S171" s="284"/>
      <c r="T171" s="274">
        <v>8.1</v>
      </c>
      <c r="U171" s="274">
        <f t="shared" si="69"/>
        <v>1</v>
      </c>
      <c r="V171" s="274">
        <f t="shared" si="70"/>
        <v>0</v>
      </c>
      <c r="W171" s="285"/>
      <c r="X171" s="285"/>
      <c r="Y171" s="285"/>
      <c r="Z171" s="285"/>
      <c r="AA171" s="285"/>
      <c r="AB171" s="285"/>
      <c r="AC171" s="285"/>
      <c r="AD171" s="286"/>
      <c r="AE171" s="285"/>
      <c r="AF171" s="285"/>
      <c r="AG171" s="285"/>
      <c r="AH171" s="285"/>
      <c r="AI171" s="285"/>
      <c r="AJ171" s="285"/>
      <c r="AK171" s="285"/>
      <c r="AL171" s="285"/>
      <c r="AM171" s="285"/>
      <c r="AN171" s="285"/>
      <c r="AO171" s="285"/>
      <c r="AP171" s="285"/>
      <c r="AQ171" s="285"/>
      <c r="AR171" s="285"/>
      <c r="AS171" s="285"/>
      <c r="AT171" s="285"/>
      <c r="AU171" s="285"/>
      <c r="AV171" s="285"/>
      <c r="AW171" s="287"/>
      <c r="AX171" s="285"/>
      <c r="AY171" s="287"/>
      <c r="AZ171" s="285"/>
      <c r="BA171" s="285"/>
      <c r="BB171" s="285"/>
      <c r="BC171" s="285"/>
      <c r="BD171" s="285"/>
      <c r="BE171" s="285"/>
      <c r="BF171" s="285"/>
      <c r="BG171" s="285"/>
      <c r="BH171" s="285">
        <v>1</v>
      </c>
      <c r="BI171" s="285"/>
      <c r="BJ171" s="285"/>
      <c r="BK171" s="285"/>
      <c r="BL171" s="285"/>
      <c r="BM171" s="285"/>
      <c r="BN171" s="285"/>
      <c r="BO171" s="286"/>
      <c r="BP171" s="286"/>
      <c r="BQ171" s="286"/>
      <c r="BR171" s="286"/>
      <c r="BS171" s="286"/>
      <c r="BT171" s="286"/>
      <c r="BU171" s="286"/>
      <c r="BV171" s="285"/>
      <c r="BW171" s="285"/>
      <c r="BX171" s="285"/>
      <c r="BY171" s="285"/>
      <c r="BZ171" s="285"/>
      <c r="CA171" s="285"/>
      <c r="CB171" s="285"/>
      <c r="CC171" s="285"/>
      <c r="CD171" s="285"/>
      <c r="CE171" s="285"/>
      <c r="CF171" s="285"/>
      <c r="CG171" s="285"/>
      <c r="CH171" s="285"/>
      <c r="CI171" s="285"/>
    </row>
    <row r="172" spans="1:87" ht="16.2" outlineLevel="1" x14ac:dyDescent="0.25">
      <c r="A172" s="278" t="str">
        <f t="shared" si="67"/>
        <v>modesg_out_sfcs_taxon_europeianome_specific_eligible</v>
      </c>
      <c r="B172" s="142" t="s">
        <v>26</v>
      </c>
      <c r="C172" s="138" t="s">
        <v>311</v>
      </c>
      <c r="D172" s="236" t="s">
        <v>40</v>
      </c>
      <c r="E172" s="237" t="s">
        <v>334</v>
      </c>
      <c r="F172" s="237"/>
      <c r="G172" s="236" t="s">
        <v>206</v>
      </c>
      <c r="H172" s="236" t="str">
        <f>VLOOKUP(A172,'2. Status Detalhe Campos'!$A$7:$G$574,7,0)</f>
        <v>6. Em implementação (re-especificação)</v>
      </c>
      <c r="I172" s="280" t="s">
        <v>38</v>
      </c>
      <c r="J172" s="333">
        <v>45628</v>
      </c>
      <c r="K172" s="334"/>
      <c r="L172" s="294">
        <f t="array" ref="L172">MIN(IF(W172:CI172&gt;0,$W$16:$CI$16))</f>
        <v>45642</v>
      </c>
      <c r="M172" s="295">
        <f t="array" ref="M172">MAX(IF(W172:CI172&gt;0,$W$16:$CI$16))</f>
        <v>45642</v>
      </c>
      <c r="N172" s="295"/>
      <c r="O172" s="249">
        <f>VLOOKUP(H172,Auxiliar!$B$16:$E$24,4,0)</f>
        <v>0</v>
      </c>
      <c r="P172" s="249">
        <f t="shared" ca="1" si="68"/>
        <v>0</v>
      </c>
      <c r="Q172" s="248">
        <f t="shared" ca="1" si="62"/>
        <v>0</v>
      </c>
      <c r="R172" s="265"/>
      <c r="S172" s="284"/>
      <c r="T172" s="274">
        <v>8.1</v>
      </c>
      <c r="U172" s="274">
        <f t="shared" si="69"/>
        <v>1</v>
      </c>
      <c r="V172" s="274">
        <f t="shared" si="70"/>
        <v>0</v>
      </c>
      <c r="W172" s="285"/>
      <c r="X172" s="285"/>
      <c r="Y172" s="285"/>
      <c r="Z172" s="285"/>
      <c r="AA172" s="285"/>
      <c r="AB172" s="285"/>
      <c r="AC172" s="285"/>
      <c r="AD172" s="286"/>
      <c r="AE172" s="285"/>
      <c r="AF172" s="285"/>
      <c r="AG172" s="285"/>
      <c r="AH172" s="285"/>
      <c r="AI172" s="285"/>
      <c r="AJ172" s="285"/>
      <c r="AK172" s="285"/>
      <c r="AL172" s="285"/>
      <c r="AM172" s="285"/>
      <c r="AN172" s="285"/>
      <c r="AO172" s="285"/>
      <c r="AP172" s="285"/>
      <c r="AQ172" s="285"/>
      <c r="AR172" s="285"/>
      <c r="AS172" s="285"/>
      <c r="AT172" s="285"/>
      <c r="AU172" s="285"/>
      <c r="AV172" s="285"/>
      <c r="AW172" s="287"/>
      <c r="AX172" s="285"/>
      <c r="AY172" s="287"/>
      <c r="AZ172" s="285"/>
      <c r="BA172" s="285"/>
      <c r="BB172" s="285"/>
      <c r="BC172" s="285"/>
      <c r="BD172" s="285"/>
      <c r="BE172" s="285"/>
      <c r="BF172" s="285"/>
      <c r="BG172" s="285"/>
      <c r="BH172" s="285"/>
      <c r="BI172" s="285">
        <v>1</v>
      </c>
      <c r="BJ172" s="285"/>
      <c r="BK172" s="285"/>
      <c r="BL172" s="285"/>
      <c r="BM172" s="285"/>
      <c r="BN172" s="285"/>
      <c r="BO172" s="286"/>
      <c r="BP172" s="286"/>
      <c r="BQ172" s="286"/>
      <c r="BR172" s="286"/>
      <c r="BS172" s="286"/>
      <c r="BT172" s="286"/>
      <c r="BU172" s="286"/>
      <c r="BV172" s="285"/>
      <c r="BW172" s="285"/>
      <c r="BX172" s="285"/>
      <c r="BY172" s="285"/>
      <c r="BZ172" s="285"/>
      <c r="CA172" s="285"/>
      <c r="CB172" s="285"/>
      <c r="CC172" s="285"/>
      <c r="CD172" s="285"/>
      <c r="CE172" s="285"/>
      <c r="CF172" s="285"/>
      <c r="CG172" s="285"/>
      <c r="CH172" s="285"/>
      <c r="CI172" s="285"/>
    </row>
    <row r="173" spans="1:87" ht="16.2" outlineLevel="1" x14ac:dyDescent="0.25">
      <c r="A173" s="278" t="str">
        <f t="shared" si="67"/>
        <v>modesg_out_sfcs_taxon_europeianome_specific_sustainable</v>
      </c>
      <c r="B173" s="142" t="s">
        <v>26</v>
      </c>
      <c r="C173" s="138" t="s">
        <v>311</v>
      </c>
      <c r="D173" s="236" t="s">
        <v>40</v>
      </c>
      <c r="E173" s="237" t="s">
        <v>334</v>
      </c>
      <c r="F173" s="237"/>
      <c r="G173" s="236" t="s">
        <v>207</v>
      </c>
      <c r="H173" s="236" t="str">
        <f>VLOOKUP(A173,'2. Status Detalhe Campos'!$A$7:$G$574,7,0)</f>
        <v>6. Em implementação (re-especificação)</v>
      </c>
      <c r="I173" s="280" t="s">
        <v>38</v>
      </c>
      <c r="J173" s="333">
        <v>45628</v>
      </c>
      <c r="K173" s="334"/>
      <c r="L173" s="294">
        <f t="array" ref="L173">MIN(IF(W173:CI173&gt;0,$W$16:$CI$16))</f>
        <v>45643</v>
      </c>
      <c r="M173" s="295">
        <f t="array" ref="M173">MAX(IF(W173:CI173&gt;0,$W$16:$CI$16))</f>
        <v>45643</v>
      </c>
      <c r="N173" s="295"/>
      <c r="O173" s="249">
        <f>VLOOKUP(H173,Auxiliar!$B$16:$E$24,4,0)</f>
        <v>0</v>
      </c>
      <c r="P173" s="249">
        <f t="shared" ca="1" si="68"/>
        <v>0</v>
      </c>
      <c r="Q173" s="248">
        <f t="shared" ca="1" si="62"/>
        <v>0</v>
      </c>
      <c r="R173" s="265"/>
      <c r="S173" s="284"/>
      <c r="T173" s="274">
        <v>8.1</v>
      </c>
      <c r="U173" s="274">
        <f t="shared" si="69"/>
        <v>1</v>
      </c>
      <c r="V173" s="274">
        <f t="shared" si="70"/>
        <v>0</v>
      </c>
      <c r="W173" s="285"/>
      <c r="X173" s="285"/>
      <c r="Y173" s="285"/>
      <c r="Z173" s="285"/>
      <c r="AA173" s="285"/>
      <c r="AB173" s="285"/>
      <c r="AC173" s="285"/>
      <c r="AD173" s="286"/>
      <c r="AE173" s="285"/>
      <c r="AF173" s="285"/>
      <c r="AG173" s="285"/>
      <c r="AH173" s="285"/>
      <c r="AI173" s="285"/>
      <c r="AJ173" s="285"/>
      <c r="AK173" s="285"/>
      <c r="AL173" s="285"/>
      <c r="AM173" s="285"/>
      <c r="AN173" s="285"/>
      <c r="AO173" s="285"/>
      <c r="AP173" s="285"/>
      <c r="AQ173" s="285"/>
      <c r="AR173" s="285"/>
      <c r="AS173" s="285"/>
      <c r="AT173" s="285"/>
      <c r="AU173" s="285"/>
      <c r="AV173" s="285"/>
      <c r="AW173" s="287"/>
      <c r="AX173" s="285"/>
      <c r="AY173" s="287"/>
      <c r="AZ173" s="285"/>
      <c r="BA173" s="285"/>
      <c r="BB173" s="285"/>
      <c r="BC173" s="285"/>
      <c r="BD173" s="285"/>
      <c r="BE173" s="285"/>
      <c r="BF173" s="285"/>
      <c r="BG173" s="285"/>
      <c r="BH173" s="285"/>
      <c r="BI173" s="285"/>
      <c r="BJ173" s="285">
        <v>1</v>
      </c>
      <c r="BK173" s="285"/>
      <c r="BL173" s="285"/>
      <c r="BM173" s="285"/>
      <c r="BN173" s="285"/>
      <c r="BO173" s="286"/>
      <c r="BP173" s="286"/>
      <c r="BQ173" s="286"/>
      <c r="BR173" s="286"/>
      <c r="BS173" s="286"/>
      <c r="BT173" s="286"/>
      <c r="BU173" s="286"/>
      <c r="BV173" s="285"/>
      <c r="BW173" s="285"/>
      <c r="BX173" s="285"/>
      <c r="BY173" s="285"/>
      <c r="BZ173" s="285"/>
      <c r="CA173" s="285"/>
      <c r="CB173" s="285"/>
      <c r="CC173" s="285"/>
      <c r="CD173" s="285"/>
      <c r="CE173" s="285"/>
      <c r="CF173" s="285"/>
      <c r="CG173" s="285"/>
      <c r="CH173" s="285"/>
      <c r="CI173" s="285"/>
    </row>
    <row r="174" spans="1:87" ht="16.2" outlineLevel="1" x14ac:dyDescent="0.25">
      <c r="A174" s="278" t="str">
        <f t="shared" si="67"/>
        <v>modesg_out_sfcs_taxon_europeiaref_date</v>
      </c>
      <c r="B174" s="142" t="s">
        <v>26</v>
      </c>
      <c r="C174" s="138" t="s">
        <v>311</v>
      </c>
      <c r="D174" s="236" t="s">
        <v>40</v>
      </c>
      <c r="E174" s="237" t="s">
        <v>334</v>
      </c>
      <c r="F174" s="237"/>
      <c r="G174" s="236" t="s">
        <v>208</v>
      </c>
      <c r="H174" s="236" t="str">
        <f>VLOOKUP(A174,'2. Status Detalhe Campos'!$A$7:$G$574,7,0)</f>
        <v>6. Em implementação (re-especificação)</v>
      </c>
      <c r="I174" s="280" t="s">
        <v>38</v>
      </c>
      <c r="J174" s="333">
        <v>45628</v>
      </c>
      <c r="K174" s="334"/>
      <c r="L174" s="294">
        <f t="array" ref="L174">MIN(IF(W174:CI174&gt;0,$W$16:$CI$16))</f>
        <v>45644</v>
      </c>
      <c r="M174" s="295">
        <f t="array" ref="M174">MAX(IF(W174:CI174&gt;0,$W$16:$CI$16))</f>
        <v>45644</v>
      </c>
      <c r="N174" s="295"/>
      <c r="O174" s="249">
        <f>VLOOKUP(H174,Auxiliar!$B$16:$E$24,4,0)</f>
        <v>0</v>
      </c>
      <c r="P174" s="249">
        <f t="shared" ca="1" si="68"/>
        <v>0</v>
      </c>
      <c r="Q174" s="248">
        <f t="shared" ca="1" si="62"/>
        <v>0</v>
      </c>
      <c r="R174" s="265"/>
      <c r="S174" s="284"/>
      <c r="T174" s="274">
        <v>4.0999999999999996</v>
      </c>
      <c r="U174" s="274">
        <f t="shared" si="69"/>
        <v>0.5</v>
      </c>
      <c r="V174" s="274">
        <f t="shared" si="70"/>
        <v>0</v>
      </c>
      <c r="W174" s="285"/>
      <c r="X174" s="285"/>
      <c r="Y174" s="285"/>
      <c r="Z174" s="285"/>
      <c r="AA174" s="285"/>
      <c r="AB174" s="285"/>
      <c r="AC174" s="285"/>
      <c r="AD174" s="286"/>
      <c r="AE174" s="285"/>
      <c r="AF174" s="285"/>
      <c r="AG174" s="285"/>
      <c r="AH174" s="285"/>
      <c r="AI174" s="285"/>
      <c r="AJ174" s="285"/>
      <c r="AK174" s="285"/>
      <c r="AL174" s="285"/>
      <c r="AM174" s="285"/>
      <c r="AN174" s="285"/>
      <c r="AO174" s="285"/>
      <c r="AP174" s="285"/>
      <c r="AQ174" s="285"/>
      <c r="AR174" s="285"/>
      <c r="AS174" s="285"/>
      <c r="AT174" s="285"/>
      <c r="AU174" s="285"/>
      <c r="AV174" s="285"/>
      <c r="AW174" s="287"/>
      <c r="AX174" s="285"/>
      <c r="AY174" s="287"/>
      <c r="AZ174" s="285"/>
      <c r="BA174" s="285"/>
      <c r="BB174" s="285"/>
      <c r="BC174" s="285"/>
      <c r="BD174" s="285"/>
      <c r="BE174" s="285"/>
      <c r="BF174" s="285"/>
      <c r="BG174" s="285"/>
      <c r="BH174" s="285"/>
      <c r="BI174" s="285"/>
      <c r="BJ174" s="285"/>
      <c r="BK174" s="285">
        <v>0.5</v>
      </c>
      <c r="BL174" s="285"/>
      <c r="BM174" s="285"/>
      <c r="BN174" s="285"/>
      <c r="BO174" s="286"/>
      <c r="BP174" s="286"/>
      <c r="BQ174" s="286"/>
      <c r="BR174" s="286"/>
      <c r="BS174" s="286"/>
      <c r="BT174" s="286"/>
      <c r="BU174" s="286"/>
      <c r="BV174" s="285"/>
      <c r="BW174" s="285"/>
      <c r="BX174" s="285"/>
      <c r="BY174" s="285"/>
      <c r="BZ174" s="285"/>
      <c r="CA174" s="285"/>
      <c r="CB174" s="285"/>
      <c r="CC174" s="285"/>
      <c r="CD174" s="285"/>
      <c r="CE174" s="285"/>
      <c r="CF174" s="285"/>
      <c r="CG174" s="285"/>
      <c r="CH174" s="285"/>
      <c r="CI174" s="285"/>
    </row>
    <row r="175" spans="1:87" ht="16.2" outlineLevel="1" x14ac:dyDescent="0.25">
      <c r="A175" s="278" t="str">
        <f t="shared" si="67"/>
        <v>modesg_out_sfcs_taxon_europeiazdeposit</v>
      </c>
      <c r="B175" s="142" t="s">
        <v>26</v>
      </c>
      <c r="C175" s="138" t="s">
        <v>311</v>
      </c>
      <c r="D175" s="236" t="s">
        <v>40</v>
      </c>
      <c r="E175" s="237" t="s">
        <v>334</v>
      </c>
      <c r="F175" s="237"/>
      <c r="G175" s="236" t="s">
        <v>210</v>
      </c>
      <c r="H175" s="236" t="str">
        <f>VLOOKUP(A175,'2. Status Detalhe Campos'!$A$7:$G$574,7,0)</f>
        <v>6. Em implementação (re-especificação)</v>
      </c>
      <c r="I175" s="280" t="s">
        <v>38</v>
      </c>
      <c r="J175" s="333">
        <v>45628</v>
      </c>
      <c r="K175" s="334"/>
      <c r="L175" s="294">
        <f t="array" ref="L175">MIN(IF(W175:CI175&gt;0,$W$16:$CI$16))</f>
        <v>45644</v>
      </c>
      <c r="M175" s="295">
        <f t="array" ref="M175">MAX(IF(W175:CI175&gt;0,$W$16:$CI$16))</f>
        <v>45645</v>
      </c>
      <c r="N175" s="295"/>
      <c r="O175" s="249">
        <f>VLOOKUP(H175,Auxiliar!$B$16:$E$24,4,0)</f>
        <v>0</v>
      </c>
      <c r="P175" s="249">
        <f t="shared" ca="1" si="68"/>
        <v>0</v>
      </c>
      <c r="Q175" s="248">
        <f t="shared" ca="1" si="62"/>
        <v>0</v>
      </c>
      <c r="R175" s="265"/>
      <c r="S175" s="284"/>
      <c r="T175" s="274">
        <v>8.1</v>
      </c>
      <c r="U175" s="274">
        <f t="shared" si="69"/>
        <v>1</v>
      </c>
      <c r="V175" s="274">
        <f t="shared" si="70"/>
        <v>0</v>
      </c>
      <c r="W175" s="285"/>
      <c r="X175" s="285"/>
      <c r="Y175" s="285"/>
      <c r="Z175" s="285"/>
      <c r="AA175" s="285"/>
      <c r="AB175" s="285"/>
      <c r="AC175" s="285"/>
      <c r="AD175" s="286"/>
      <c r="AE175" s="285"/>
      <c r="AF175" s="285"/>
      <c r="AG175" s="285"/>
      <c r="AH175" s="285"/>
      <c r="AI175" s="285"/>
      <c r="AJ175" s="285"/>
      <c r="AK175" s="285"/>
      <c r="AL175" s="285"/>
      <c r="AM175" s="285"/>
      <c r="AN175" s="285"/>
      <c r="AO175" s="285"/>
      <c r="AP175" s="285"/>
      <c r="AQ175" s="285"/>
      <c r="AR175" s="285"/>
      <c r="AS175" s="285"/>
      <c r="AT175" s="285"/>
      <c r="AU175" s="285"/>
      <c r="AV175" s="285"/>
      <c r="AW175" s="287"/>
      <c r="AX175" s="285"/>
      <c r="AY175" s="287"/>
      <c r="AZ175" s="285"/>
      <c r="BA175" s="285"/>
      <c r="BB175" s="285"/>
      <c r="BC175" s="285"/>
      <c r="BD175" s="285"/>
      <c r="BE175" s="285"/>
      <c r="BF175" s="285"/>
      <c r="BG175" s="285"/>
      <c r="BH175" s="285"/>
      <c r="BI175" s="285"/>
      <c r="BJ175" s="285"/>
      <c r="BK175" s="285">
        <v>0.5</v>
      </c>
      <c r="BL175" s="285">
        <v>0.5</v>
      </c>
      <c r="BM175" s="285"/>
      <c r="BN175" s="285"/>
      <c r="BO175" s="286"/>
      <c r="BP175" s="286"/>
      <c r="BQ175" s="286"/>
      <c r="BR175" s="286"/>
      <c r="BS175" s="286"/>
      <c r="BT175" s="286"/>
      <c r="BU175" s="286"/>
      <c r="BV175" s="285"/>
      <c r="BW175" s="285"/>
      <c r="BX175" s="285"/>
      <c r="BY175" s="285"/>
      <c r="BZ175" s="285"/>
      <c r="CA175" s="285"/>
      <c r="CB175" s="285"/>
      <c r="CC175" s="285"/>
      <c r="CD175" s="285"/>
      <c r="CE175" s="285"/>
      <c r="CF175" s="285"/>
      <c r="CG175" s="285"/>
      <c r="CH175" s="285"/>
      <c r="CI175" s="285"/>
    </row>
    <row r="176" spans="1:87" ht="15" customHeight="1" x14ac:dyDescent="0.25">
      <c r="A176" s="278"/>
      <c r="B176" s="142" t="s">
        <v>26</v>
      </c>
      <c r="C176" s="138" t="s">
        <v>34</v>
      </c>
      <c r="D176" s="134"/>
      <c r="E176" s="240" t="s">
        <v>37</v>
      </c>
      <c r="F176" s="240" t="s">
        <v>1979</v>
      </c>
      <c r="G176" s="241">
        <f>COUNTA(G177:G188)</f>
        <v>12</v>
      </c>
      <c r="H176" s="279" t="s">
        <v>2023</v>
      </c>
      <c r="I176" s="280" t="s">
        <v>38</v>
      </c>
      <c r="J176" s="318">
        <f>MIN(J177:J188)</f>
        <v>45630</v>
      </c>
      <c r="K176" s="282"/>
      <c r="L176" s="283">
        <f>MIN(L177:L188)</f>
        <v>0</v>
      </c>
      <c r="M176" s="283">
        <f>MAX(M177:M188)</f>
        <v>0</v>
      </c>
      <c r="N176" s="332">
        <f t="array" ref="N176">MAX(IF(W176:CI176&gt;0,$W$16:$CI$16))</f>
        <v>0</v>
      </c>
      <c r="O176" s="251">
        <f>SUMPRODUCT(O177:O188,U177:U188)/SUM(U177:U188)</f>
        <v>0</v>
      </c>
      <c r="P176" s="251">
        <f ca="1">SUMPRODUCT(P177:P188,U177:U188)/SUM(U177:U188)</f>
        <v>1</v>
      </c>
      <c r="Q176" s="248">
        <f t="shared" ca="1" si="46"/>
        <v>-1</v>
      </c>
      <c r="R176" s="264" t="s">
        <v>2019</v>
      </c>
      <c r="S176" s="284"/>
      <c r="T176" s="274"/>
      <c r="U176" s="274"/>
      <c r="V176" s="274"/>
      <c r="W176" s="285"/>
      <c r="X176" s="285"/>
      <c r="Y176" s="285"/>
      <c r="Z176" s="285"/>
      <c r="AA176" s="285"/>
      <c r="AB176" s="285"/>
      <c r="AC176" s="285"/>
      <c r="AD176" s="286"/>
      <c r="AE176" s="285"/>
      <c r="AF176" s="285"/>
      <c r="AG176" s="285"/>
      <c r="AH176" s="285"/>
      <c r="AI176" s="285"/>
      <c r="AJ176" s="285"/>
      <c r="AK176" s="285"/>
      <c r="AL176" s="285"/>
      <c r="AM176" s="285"/>
      <c r="AN176" s="285"/>
      <c r="AO176" s="285"/>
      <c r="AP176" s="285"/>
      <c r="AQ176" s="285"/>
      <c r="AR176" s="285"/>
      <c r="AS176" s="285"/>
      <c r="AT176" s="285"/>
      <c r="AU176" s="285"/>
      <c r="AV176" s="285"/>
      <c r="AW176" s="287"/>
      <c r="AX176" s="285"/>
      <c r="AY176" s="285"/>
      <c r="AZ176" s="285"/>
      <c r="BA176" s="287"/>
      <c r="BB176" s="285"/>
      <c r="BC176" s="288"/>
      <c r="BD176" s="285"/>
      <c r="BE176" s="285"/>
      <c r="BF176" s="285"/>
      <c r="BG176" s="285"/>
      <c r="BH176" s="285"/>
      <c r="BI176" s="285"/>
      <c r="BJ176" s="285"/>
      <c r="BK176" s="285"/>
      <c r="BL176" s="285"/>
      <c r="BM176" s="285"/>
      <c r="BN176" s="285"/>
      <c r="BO176" s="286"/>
      <c r="BP176" s="286"/>
      <c r="BQ176" s="286"/>
      <c r="BR176" s="286"/>
      <c r="BS176" s="286"/>
      <c r="BT176" s="286"/>
      <c r="BU176" s="286"/>
      <c r="BV176" s="285"/>
      <c r="BW176" s="285"/>
      <c r="BX176" s="285"/>
      <c r="BY176" s="285"/>
      <c r="BZ176" s="285"/>
      <c r="CA176" s="285"/>
      <c r="CB176" s="285"/>
      <c r="CC176" s="285"/>
      <c r="CD176" s="285"/>
      <c r="CE176" s="285"/>
      <c r="CF176" s="285"/>
      <c r="CG176" s="285"/>
      <c r="CH176" s="285"/>
      <c r="CI176" s="285"/>
    </row>
    <row r="177" spans="1:87" ht="15" customHeight="1" outlineLevel="1" x14ac:dyDescent="0.25">
      <c r="A177" s="278" t="str">
        <f t="shared" ref="A177:A212" si="71">E177&amp;G177</f>
        <v>ENERGY_CERTIFICATE_EST_INPUTPROPERTY_BANK_ID</v>
      </c>
      <c r="B177" s="142" t="s">
        <v>26</v>
      </c>
      <c r="C177" s="138" t="s">
        <v>34</v>
      </c>
      <c r="D177" s="236" t="s">
        <v>40</v>
      </c>
      <c r="E177" s="237" t="s">
        <v>37</v>
      </c>
      <c r="F177" s="237"/>
      <c r="G177" s="236" t="s">
        <v>41</v>
      </c>
      <c r="H177" s="236" t="str">
        <f>VLOOKUP(A177,'2. Status Detalhe Campos'!$A$7:$G$574,7,0)</f>
        <v>6. Em implementação (re-especificação)</v>
      </c>
      <c r="I177" s="280" t="s">
        <v>38</v>
      </c>
      <c r="J177" s="319">
        <v>45630</v>
      </c>
      <c r="K177" s="280"/>
      <c r="L177" s="290">
        <f t="array" ref="L177">MIN(IF(W177:CI177&gt;0,$W$16:$CI$16))</f>
        <v>0</v>
      </c>
      <c r="M177" s="291">
        <f t="array" ref="M177">MAX(IF(W177:CI177&gt;0,$W$16:$CI$16))</f>
        <v>0</v>
      </c>
      <c r="N177" s="291"/>
      <c r="O177" s="249">
        <f>VLOOKUP(H177,Auxiliar!$B$16:$E$24,4,0)</f>
        <v>0</v>
      </c>
      <c r="P177" s="249">
        <f ca="1">IF(TODAY()&lt;=L177,0,MIN((TODAY()-L177)/(M177-L177+1),100%))</f>
        <v>1</v>
      </c>
      <c r="Q177" s="248">
        <f t="shared" ref="Q177:Q212" ca="1" si="72">O177-P177</f>
        <v>-1</v>
      </c>
      <c r="R177" s="265"/>
      <c r="S177" s="284"/>
      <c r="T177" s="274">
        <v>0.6</v>
      </c>
      <c r="U177" s="274">
        <f t="shared" ref="U177:U212" si="73">ROUND(T177/8,1)</f>
        <v>0.1</v>
      </c>
      <c r="V177" s="274">
        <f t="shared" ref="V177:V188" si="74">SUM(W177:CI177)-U177</f>
        <v>-0.1</v>
      </c>
      <c r="W177" s="285"/>
      <c r="X177" s="285"/>
      <c r="Y177" s="285"/>
      <c r="Z177" s="285"/>
      <c r="AA177" s="285"/>
      <c r="AB177" s="285"/>
      <c r="AC177" s="285"/>
      <c r="AD177" s="286"/>
      <c r="AE177" s="285"/>
      <c r="AF177" s="285"/>
      <c r="AG177" s="285"/>
      <c r="AH177" s="285"/>
      <c r="AI177" s="285"/>
      <c r="AJ177" s="285"/>
      <c r="AK177" s="285"/>
      <c r="AL177" s="285"/>
      <c r="AM177" s="285"/>
      <c r="AN177" s="285"/>
      <c r="AO177" s="285"/>
      <c r="AP177" s="285"/>
      <c r="AQ177" s="285"/>
      <c r="AR177" s="285"/>
      <c r="AS177" s="285"/>
      <c r="AT177" s="285"/>
      <c r="AU177" s="285"/>
      <c r="AV177" s="285"/>
      <c r="AW177" s="287"/>
      <c r="AX177" s="285"/>
      <c r="AY177" s="285"/>
      <c r="AZ177" s="285"/>
      <c r="BA177" s="287"/>
      <c r="BB177" s="285"/>
      <c r="BC177" s="285"/>
      <c r="BD177" s="285"/>
      <c r="BE177" s="285"/>
      <c r="BF177" s="285"/>
      <c r="BG177" s="285"/>
      <c r="BH177" s="285"/>
      <c r="BI177" s="285"/>
      <c r="BJ177" s="285"/>
      <c r="BK177" s="285"/>
      <c r="BL177" s="285"/>
      <c r="BM177" s="285"/>
      <c r="BN177" s="285"/>
      <c r="BO177" s="286"/>
      <c r="BP177" s="286"/>
      <c r="BQ177" s="286"/>
      <c r="BR177" s="286"/>
      <c r="BS177" s="286"/>
      <c r="BT177" s="286"/>
      <c r="BU177" s="286"/>
      <c r="BV177" s="285"/>
      <c r="BW177" s="285"/>
      <c r="BX177" s="285"/>
      <c r="BY177" s="285"/>
      <c r="BZ177" s="285"/>
      <c r="CA177" s="285"/>
      <c r="CB177" s="285"/>
      <c r="CC177" s="285"/>
      <c r="CD177" s="285"/>
      <c r="CE177" s="285"/>
      <c r="CF177" s="285"/>
      <c r="CG177" s="285"/>
      <c r="CH177" s="285"/>
      <c r="CI177" s="285"/>
    </row>
    <row r="178" spans="1:87" ht="15" customHeight="1" outlineLevel="1" x14ac:dyDescent="0.25">
      <c r="A178" s="278" t="str">
        <f t="shared" si="71"/>
        <v>ENERGY_CERTIFICATE_EST_INPUTENCRYPTED_KEY</v>
      </c>
      <c r="B178" s="142" t="s">
        <v>26</v>
      </c>
      <c r="C178" s="138" t="s">
        <v>34</v>
      </c>
      <c r="D178" s="236" t="s">
        <v>40</v>
      </c>
      <c r="E178" s="237" t="s">
        <v>37</v>
      </c>
      <c r="F178" s="237"/>
      <c r="G178" s="236" t="s">
        <v>42</v>
      </c>
      <c r="H178" s="236" t="str">
        <f>VLOOKUP(A178,'2. Status Detalhe Campos'!$A$7:$G$574,7,0)</f>
        <v>6. Em implementação (re-especificação)</v>
      </c>
      <c r="I178" s="280" t="s">
        <v>38</v>
      </c>
      <c r="J178" s="319">
        <v>45630</v>
      </c>
      <c r="K178" s="280"/>
      <c r="L178" s="290">
        <f t="array" ref="L178">MIN(IF(W178:CI178&gt;0,$W$16:$CI$16))</f>
        <v>0</v>
      </c>
      <c r="M178" s="291">
        <f t="array" ref="M178">MAX(IF(W178:CI178&gt;0,$W$16:$CI$16))</f>
        <v>0</v>
      </c>
      <c r="N178" s="291"/>
      <c r="O178" s="249">
        <f>VLOOKUP(H178,Auxiliar!$B$16:$E$24,4,0)</f>
        <v>0</v>
      </c>
      <c r="P178" s="249">
        <f t="shared" ref="P178:P212" ca="1" si="75">IF(TODAY()&lt;=L178,0,MIN((TODAY()-L178)/(M178-L178+1),100%))</f>
        <v>1</v>
      </c>
      <c r="Q178" s="248">
        <f t="shared" ca="1" si="72"/>
        <v>-1</v>
      </c>
      <c r="R178" s="265"/>
      <c r="S178" s="284"/>
      <c r="T178" s="274">
        <v>0.6</v>
      </c>
      <c r="U178" s="274">
        <f t="shared" si="73"/>
        <v>0.1</v>
      </c>
      <c r="V178" s="274">
        <f t="shared" si="74"/>
        <v>-0.1</v>
      </c>
      <c r="W178" s="285"/>
      <c r="X178" s="285"/>
      <c r="Y178" s="285"/>
      <c r="Z178" s="285"/>
      <c r="AA178" s="285"/>
      <c r="AB178" s="285"/>
      <c r="AC178" s="285"/>
      <c r="AD178" s="286"/>
      <c r="AE178" s="285"/>
      <c r="AF178" s="285"/>
      <c r="AG178" s="285"/>
      <c r="AH178" s="285"/>
      <c r="AI178" s="285"/>
      <c r="AJ178" s="285"/>
      <c r="AK178" s="285"/>
      <c r="AL178" s="285"/>
      <c r="AM178" s="285"/>
      <c r="AN178" s="285"/>
      <c r="AO178" s="285"/>
      <c r="AP178" s="285"/>
      <c r="AQ178" s="285"/>
      <c r="AR178" s="285"/>
      <c r="AS178" s="285"/>
      <c r="AT178" s="285"/>
      <c r="AU178" s="285"/>
      <c r="AV178" s="285"/>
      <c r="AW178" s="287"/>
      <c r="AX178" s="285"/>
      <c r="AY178" s="285"/>
      <c r="AZ178" s="285"/>
      <c r="BA178" s="287"/>
      <c r="BB178" s="285"/>
      <c r="BC178" s="285"/>
      <c r="BD178" s="285"/>
      <c r="BE178" s="285"/>
      <c r="BF178" s="285"/>
      <c r="BG178" s="285"/>
      <c r="BH178" s="285"/>
      <c r="BI178" s="285"/>
      <c r="BJ178" s="285"/>
      <c r="BK178" s="285"/>
      <c r="BL178" s="285"/>
      <c r="BM178" s="285"/>
      <c r="BN178" s="285"/>
      <c r="BO178" s="286"/>
      <c r="BP178" s="286"/>
      <c r="BQ178" s="286"/>
      <c r="BR178" s="286"/>
      <c r="BS178" s="286"/>
      <c r="BT178" s="286"/>
      <c r="BU178" s="286"/>
      <c r="BV178" s="285"/>
      <c r="BW178" s="285"/>
      <c r="BX178" s="285"/>
      <c r="BY178" s="285"/>
      <c r="BZ178" s="285"/>
      <c r="CA178" s="285"/>
      <c r="CB178" s="285"/>
      <c r="CC178" s="285"/>
      <c r="CD178" s="285"/>
      <c r="CE178" s="285"/>
      <c r="CF178" s="285"/>
      <c r="CG178" s="285"/>
      <c r="CH178" s="285"/>
      <c r="CI178" s="285"/>
    </row>
    <row r="179" spans="1:87" ht="15" customHeight="1" outlineLevel="1" x14ac:dyDescent="0.25">
      <c r="A179" s="278" t="str">
        <f t="shared" si="71"/>
        <v>ENERGY_CERTIFICATE_EST_INPUTPROPERTY_BRANCH_CODE</v>
      </c>
      <c r="B179" s="142" t="s">
        <v>26</v>
      </c>
      <c r="C179" s="138" t="s">
        <v>34</v>
      </c>
      <c r="D179" s="236" t="s">
        <v>40</v>
      </c>
      <c r="E179" s="237" t="s">
        <v>37</v>
      </c>
      <c r="F179" s="237"/>
      <c r="G179" s="236" t="s">
        <v>43</v>
      </c>
      <c r="H179" s="236" t="str">
        <f>VLOOKUP(A179,'2. Status Detalhe Campos'!$A$7:$G$574,7,0)</f>
        <v>6. Em implementação (re-especificação)</v>
      </c>
      <c r="I179" s="280" t="s">
        <v>38</v>
      </c>
      <c r="J179" s="319">
        <v>45630</v>
      </c>
      <c r="K179" s="280"/>
      <c r="L179" s="290">
        <f t="array" ref="L179">MIN(IF(W179:CI179&gt;0,$W$16:$CI$16))</f>
        <v>0</v>
      </c>
      <c r="M179" s="291">
        <f t="array" ref="M179">MAX(IF(W179:CI179&gt;0,$W$16:$CI$16))</f>
        <v>0</v>
      </c>
      <c r="N179" s="291"/>
      <c r="O179" s="249">
        <f>VLOOKUP(H179,Auxiliar!$B$16:$E$24,4,0)</f>
        <v>0</v>
      </c>
      <c r="P179" s="249">
        <f t="shared" ca="1" si="75"/>
        <v>1</v>
      </c>
      <c r="Q179" s="248">
        <f t="shared" ca="1" si="72"/>
        <v>-1</v>
      </c>
      <c r="R179" s="265"/>
      <c r="S179" s="284"/>
      <c r="T179" s="274">
        <v>0.6</v>
      </c>
      <c r="U179" s="274">
        <f t="shared" si="73"/>
        <v>0.1</v>
      </c>
      <c r="V179" s="274">
        <f t="shared" si="74"/>
        <v>-0.1</v>
      </c>
      <c r="W179" s="285"/>
      <c r="X179" s="285"/>
      <c r="Y179" s="285"/>
      <c r="Z179" s="285"/>
      <c r="AA179" s="285"/>
      <c r="AB179" s="285"/>
      <c r="AC179" s="285"/>
      <c r="AD179" s="286"/>
      <c r="AE179" s="285"/>
      <c r="AF179" s="285"/>
      <c r="AG179" s="285"/>
      <c r="AH179" s="285"/>
      <c r="AI179" s="285"/>
      <c r="AJ179" s="285"/>
      <c r="AK179" s="285"/>
      <c r="AL179" s="285"/>
      <c r="AM179" s="285"/>
      <c r="AN179" s="285"/>
      <c r="AO179" s="285"/>
      <c r="AP179" s="285"/>
      <c r="AQ179" s="285"/>
      <c r="AR179" s="285"/>
      <c r="AS179" s="285"/>
      <c r="AT179" s="285"/>
      <c r="AU179" s="285"/>
      <c r="AV179" s="285"/>
      <c r="AW179" s="287"/>
      <c r="AX179" s="285"/>
      <c r="AY179" s="285"/>
      <c r="AZ179" s="285"/>
      <c r="BA179" s="287"/>
      <c r="BB179" s="285"/>
      <c r="BC179" s="285"/>
      <c r="BD179" s="285"/>
      <c r="BE179" s="285"/>
      <c r="BF179" s="285"/>
      <c r="BG179" s="285"/>
      <c r="BH179" s="285"/>
      <c r="BI179" s="285"/>
      <c r="BJ179" s="285"/>
      <c r="BK179" s="285"/>
      <c r="BL179" s="285"/>
      <c r="BM179" s="285"/>
      <c r="BN179" s="285"/>
      <c r="BO179" s="286"/>
      <c r="BP179" s="286"/>
      <c r="BQ179" s="286"/>
      <c r="BR179" s="286"/>
      <c r="BS179" s="286"/>
      <c r="BT179" s="286"/>
      <c r="BU179" s="286"/>
      <c r="BV179" s="285"/>
      <c r="BW179" s="285"/>
      <c r="BX179" s="285"/>
      <c r="BY179" s="285"/>
      <c r="BZ179" s="285"/>
      <c r="CA179" s="285"/>
      <c r="CB179" s="285"/>
      <c r="CC179" s="285"/>
      <c r="CD179" s="285"/>
      <c r="CE179" s="285"/>
      <c r="CF179" s="285"/>
      <c r="CG179" s="285"/>
      <c r="CH179" s="285"/>
      <c r="CI179" s="285"/>
    </row>
    <row r="180" spans="1:87" ht="15" customHeight="1" outlineLevel="1" x14ac:dyDescent="0.25">
      <c r="A180" s="278" t="str">
        <f t="shared" si="71"/>
        <v>ENERGY_CERTIFICATE_EST_INPUTPROPERTY_CONTRACT_ID</v>
      </c>
      <c r="B180" s="142" t="s">
        <v>26</v>
      </c>
      <c r="C180" s="138" t="s">
        <v>34</v>
      </c>
      <c r="D180" s="236" t="s">
        <v>40</v>
      </c>
      <c r="E180" s="237" t="s">
        <v>37</v>
      </c>
      <c r="F180" s="237"/>
      <c r="G180" s="236" t="s">
        <v>44</v>
      </c>
      <c r="H180" s="236" t="str">
        <f>VLOOKUP(A180,'2. Status Detalhe Campos'!$A$7:$G$574,7,0)</f>
        <v>6. Em implementação (re-especificação)</v>
      </c>
      <c r="I180" s="280" t="s">
        <v>38</v>
      </c>
      <c r="J180" s="319">
        <v>45630</v>
      </c>
      <c r="K180" s="280"/>
      <c r="L180" s="290">
        <f t="array" ref="L180">MIN(IF(W180:CI180&gt;0,$W$16:$CI$16))</f>
        <v>0</v>
      </c>
      <c r="M180" s="291">
        <f t="array" ref="M180">MAX(IF(W180:CI180&gt;0,$W$16:$CI$16))</f>
        <v>0</v>
      </c>
      <c r="N180" s="291"/>
      <c r="O180" s="249">
        <f>VLOOKUP(H180,Auxiliar!$B$16:$E$24,4,0)</f>
        <v>0</v>
      </c>
      <c r="P180" s="249">
        <f t="shared" ca="1" si="75"/>
        <v>1</v>
      </c>
      <c r="Q180" s="248">
        <f t="shared" ca="1" si="72"/>
        <v>-1</v>
      </c>
      <c r="R180" s="265"/>
      <c r="S180" s="284"/>
      <c r="T180" s="274">
        <v>0.6</v>
      </c>
      <c r="U180" s="274">
        <f t="shared" si="73"/>
        <v>0.1</v>
      </c>
      <c r="V180" s="274">
        <f t="shared" si="74"/>
        <v>-0.1</v>
      </c>
      <c r="W180" s="285"/>
      <c r="X180" s="285"/>
      <c r="Y180" s="285"/>
      <c r="Z180" s="285"/>
      <c r="AA180" s="285"/>
      <c r="AB180" s="285"/>
      <c r="AC180" s="285"/>
      <c r="AD180" s="286"/>
      <c r="AE180" s="285"/>
      <c r="AF180" s="285"/>
      <c r="AG180" s="285"/>
      <c r="AH180" s="285"/>
      <c r="AI180" s="285"/>
      <c r="AJ180" s="285"/>
      <c r="AK180" s="285"/>
      <c r="AL180" s="285"/>
      <c r="AM180" s="285"/>
      <c r="AN180" s="285"/>
      <c r="AO180" s="285"/>
      <c r="AP180" s="285"/>
      <c r="AQ180" s="285"/>
      <c r="AR180" s="285"/>
      <c r="AS180" s="285"/>
      <c r="AT180" s="285"/>
      <c r="AU180" s="285"/>
      <c r="AV180" s="285"/>
      <c r="AW180" s="287"/>
      <c r="AX180" s="285"/>
      <c r="AY180" s="285"/>
      <c r="AZ180" s="285"/>
      <c r="BA180" s="287"/>
      <c r="BB180" s="285"/>
      <c r="BC180" s="285"/>
      <c r="BD180" s="285"/>
      <c r="BE180" s="285"/>
      <c r="BF180" s="285"/>
      <c r="BG180" s="285"/>
      <c r="BH180" s="285"/>
      <c r="BI180" s="285"/>
      <c r="BJ180" s="285"/>
      <c r="BK180" s="285"/>
      <c r="BL180" s="285"/>
      <c r="BM180" s="285"/>
      <c r="BN180" s="285"/>
      <c r="BO180" s="286"/>
      <c r="BP180" s="286"/>
      <c r="BQ180" s="286"/>
      <c r="BR180" s="286"/>
      <c r="BS180" s="286"/>
      <c r="BT180" s="286"/>
      <c r="BU180" s="286"/>
      <c r="BV180" s="285"/>
      <c r="BW180" s="285"/>
      <c r="BX180" s="285"/>
      <c r="BY180" s="285"/>
      <c r="BZ180" s="285"/>
      <c r="CA180" s="285"/>
      <c r="CB180" s="285"/>
      <c r="CC180" s="285"/>
      <c r="CD180" s="285"/>
      <c r="CE180" s="285"/>
      <c r="CF180" s="285"/>
      <c r="CG180" s="285"/>
      <c r="CH180" s="285"/>
      <c r="CI180" s="285"/>
    </row>
    <row r="181" spans="1:87" ht="15" customHeight="1" outlineLevel="1" x14ac:dyDescent="0.25">
      <c r="A181" s="278" t="str">
        <f t="shared" si="71"/>
        <v>ENERGY_CERTIFICATE_EST_INPUTPROPERTY_REFERENCE_CODE</v>
      </c>
      <c r="B181" s="142" t="s">
        <v>26</v>
      </c>
      <c r="C181" s="138" t="s">
        <v>34</v>
      </c>
      <c r="D181" s="236" t="s">
        <v>40</v>
      </c>
      <c r="E181" s="237" t="s">
        <v>37</v>
      </c>
      <c r="F181" s="237"/>
      <c r="G181" s="236" t="s">
        <v>45</v>
      </c>
      <c r="H181" s="236" t="str">
        <f>VLOOKUP(A181,'2. Status Detalhe Campos'!$A$7:$G$574,7,0)</f>
        <v>6. Em implementação (re-especificação)</v>
      </c>
      <c r="I181" s="280" t="s">
        <v>38</v>
      </c>
      <c r="J181" s="319">
        <v>45630</v>
      </c>
      <c r="K181" s="280"/>
      <c r="L181" s="290">
        <f t="array" ref="L181">MIN(IF(W181:CI181&gt;0,$W$16:$CI$16))</f>
        <v>0</v>
      </c>
      <c r="M181" s="291">
        <f t="array" ref="M181">MAX(IF(W181:CI181&gt;0,$W$16:$CI$16))</f>
        <v>0</v>
      </c>
      <c r="N181" s="291"/>
      <c r="O181" s="249">
        <f>VLOOKUP(H181,Auxiliar!$B$16:$E$24,4,0)</f>
        <v>0</v>
      </c>
      <c r="P181" s="249">
        <f t="shared" ca="1" si="75"/>
        <v>1</v>
      </c>
      <c r="Q181" s="248">
        <f t="shared" ca="1" si="72"/>
        <v>-1</v>
      </c>
      <c r="R181" s="265"/>
      <c r="S181" s="284"/>
      <c r="T181" s="274">
        <v>0.6</v>
      </c>
      <c r="U181" s="274">
        <f t="shared" si="73"/>
        <v>0.1</v>
      </c>
      <c r="V181" s="274">
        <f t="shared" si="74"/>
        <v>-0.1</v>
      </c>
      <c r="W181" s="285"/>
      <c r="X181" s="285"/>
      <c r="Y181" s="285"/>
      <c r="Z181" s="285"/>
      <c r="AA181" s="285"/>
      <c r="AB181" s="285"/>
      <c r="AC181" s="285"/>
      <c r="AD181" s="286"/>
      <c r="AE181" s="285"/>
      <c r="AF181" s="285"/>
      <c r="AG181" s="285"/>
      <c r="AH181" s="285"/>
      <c r="AI181" s="285"/>
      <c r="AJ181" s="285"/>
      <c r="AK181" s="285"/>
      <c r="AL181" s="285"/>
      <c r="AM181" s="285"/>
      <c r="AN181" s="285"/>
      <c r="AO181" s="285"/>
      <c r="AP181" s="285"/>
      <c r="AQ181" s="285"/>
      <c r="AR181" s="285"/>
      <c r="AS181" s="285"/>
      <c r="AT181" s="285"/>
      <c r="AU181" s="285"/>
      <c r="AV181" s="285"/>
      <c r="AW181" s="287"/>
      <c r="AX181" s="285"/>
      <c r="AY181" s="285"/>
      <c r="AZ181" s="285"/>
      <c r="BA181" s="287"/>
      <c r="BB181" s="285"/>
      <c r="BC181" s="285"/>
      <c r="BD181" s="285"/>
      <c r="BE181" s="285"/>
      <c r="BF181" s="285"/>
      <c r="BG181" s="285"/>
      <c r="BH181" s="285"/>
      <c r="BI181" s="285"/>
      <c r="BJ181" s="285"/>
      <c r="BK181" s="285"/>
      <c r="BL181" s="285"/>
      <c r="BM181" s="285"/>
      <c r="BN181" s="285"/>
      <c r="BO181" s="286"/>
      <c r="BP181" s="286"/>
      <c r="BQ181" s="286"/>
      <c r="BR181" s="286"/>
      <c r="BS181" s="286"/>
      <c r="BT181" s="286"/>
      <c r="BU181" s="286"/>
      <c r="BV181" s="285"/>
      <c r="BW181" s="285"/>
      <c r="BX181" s="285"/>
      <c r="BY181" s="285"/>
      <c r="BZ181" s="285"/>
      <c r="CA181" s="285"/>
      <c r="CB181" s="285"/>
      <c r="CC181" s="285"/>
      <c r="CD181" s="285"/>
      <c r="CE181" s="285"/>
      <c r="CF181" s="285"/>
      <c r="CG181" s="285"/>
      <c r="CH181" s="285"/>
      <c r="CI181" s="285"/>
    </row>
    <row r="182" spans="1:87" ht="15" customHeight="1" outlineLevel="1" x14ac:dyDescent="0.25">
      <c r="A182" s="278" t="str">
        <f t="shared" si="71"/>
        <v>ENERGY_CERTIFICATE_EST_INPUTDATA_EXTRACTION_DATE</v>
      </c>
      <c r="B182" s="142" t="s">
        <v>26</v>
      </c>
      <c r="C182" s="138" t="s">
        <v>34</v>
      </c>
      <c r="D182" s="236" t="s">
        <v>40</v>
      </c>
      <c r="E182" s="237" t="s">
        <v>37</v>
      </c>
      <c r="F182" s="237"/>
      <c r="G182" s="236" t="s">
        <v>46</v>
      </c>
      <c r="H182" s="236" t="str">
        <f>VLOOKUP(A182,'2. Status Detalhe Campos'!$A$7:$G$574,7,0)</f>
        <v>6. Em implementação (re-especificação)</v>
      </c>
      <c r="I182" s="280" t="s">
        <v>38</v>
      </c>
      <c r="J182" s="319">
        <v>45630</v>
      </c>
      <c r="K182" s="280"/>
      <c r="L182" s="290">
        <f t="array" ref="L182">MIN(IF(W182:CI182&gt;0,$W$16:$CI$16))</f>
        <v>0</v>
      </c>
      <c r="M182" s="291">
        <f t="array" ref="M182">MAX(IF(W182:CI182&gt;0,$W$16:$CI$16))</f>
        <v>0</v>
      </c>
      <c r="N182" s="291"/>
      <c r="O182" s="249">
        <f>VLOOKUP(H182,Auxiliar!$B$16:$E$24,4,0)</f>
        <v>0</v>
      </c>
      <c r="P182" s="249">
        <f t="shared" ca="1" si="75"/>
        <v>1</v>
      </c>
      <c r="Q182" s="248">
        <f t="shared" ca="1" si="72"/>
        <v>-1</v>
      </c>
      <c r="R182" s="265"/>
      <c r="S182" s="284"/>
      <c r="T182" s="274">
        <v>0.6</v>
      </c>
      <c r="U182" s="274">
        <f t="shared" si="73"/>
        <v>0.1</v>
      </c>
      <c r="V182" s="274">
        <f t="shared" si="74"/>
        <v>-0.1</v>
      </c>
      <c r="W182" s="285"/>
      <c r="X182" s="285"/>
      <c r="Y182" s="285"/>
      <c r="Z182" s="285"/>
      <c r="AA182" s="285"/>
      <c r="AB182" s="285"/>
      <c r="AC182" s="285"/>
      <c r="AD182" s="286"/>
      <c r="AE182" s="285"/>
      <c r="AF182" s="285"/>
      <c r="AG182" s="285"/>
      <c r="AH182" s="285"/>
      <c r="AI182" s="285"/>
      <c r="AJ182" s="285"/>
      <c r="AK182" s="285"/>
      <c r="AL182" s="285"/>
      <c r="AM182" s="285"/>
      <c r="AN182" s="285"/>
      <c r="AO182" s="285"/>
      <c r="AP182" s="285"/>
      <c r="AQ182" s="285"/>
      <c r="AR182" s="285"/>
      <c r="AS182" s="285"/>
      <c r="AT182" s="285"/>
      <c r="AU182" s="285"/>
      <c r="AV182" s="285"/>
      <c r="AW182" s="287"/>
      <c r="AX182" s="285"/>
      <c r="AY182" s="285"/>
      <c r="AZ182" s="285"/>
      <c r="BA182" s="287"/>
      <c r="BB182" s="285"/>
      <c r="BC182" s="285"/>
      <c r="BD182" s="285"/>
      <c r="BE182" s="285"/>
      <c r="BF182" s="285"/>
      <c r="BG182" s="285"/>
      <c r="BH182" s="285"/>
      <c r="BI182" s="285"/>
      <c r="BJ182" s="285"/>
      <c r="BK182" s="285"/>
      <c r="BL182" s="285"/>
      <c r="BM182" s="285"/>
      <c r="BN182" s="285"/>
      <c r="BO182" s="286"/>
      <c r="BP182" s="286"/>
      <c r="BQ182" s="286"/>
      <c r="BR182" s="286"/>
      <c r="BS182" s="286"/>
      <c r="BT182" s="286"/>
      <c r="BU182" s="286"/>
      <c r="BV182" s="285"/>
      <c r="BW182" s="285"/>
      <c r="BX182" s="285"/>
      <c r="BY182" s="285"/>
      <c r="BZ182" s="285"/>
      <c r="CA182" s="285"/>
      <c r="CB182" s="285"/>
      <c r="CC182" s="285"/>
      <c r="CD182" s="285"/>
      <c r="CE182" s="285"/>
      <c r="CF182" s="285"/>
      <c r="CG182" s="285"/>
      <c r="CH182" s="285"/>
      <c r="CI182" s="285"/>
    </row>
    <row r="183" spans="1:87" ht="15" customHeight="1" outlineLevel="1" x14ac:dyDescent="0.25">
      <c r="A183" s="278" t="str">
        <f t="shared" si="71"/>
        <v>ENERGY_CERTIFICATE_EST_INPUTEPC</v>
      </c>
      <c r="B183" s="142" t="s">
        <v>26</v>
      </c>
      <c r="C183" s="138" t="s">
        <v>34</v>
      </c>
      <c r="D183" s="236" t="s">
        <v>40</v>
      </c>
      <c r="E183" s="237" t="s">
        <v>37</v>
      </c>
      <c r="F183" s="237"/>
      <c r="G183" s="236" t="s">
        <v>47</v>
      </c>
      <c r="H183" s="236" t="str">
        <f>VLOOKUP(A183,'2. Status Detalhe Campos'!$A$7:$G$574,7,0)</f>
        <v>6. Em implementação (re-especificação)</v>
      </c>
      <c r="I183" s="280" t="s">
        <v>38</v>
      </c>
      <c r="J183" s="319">
        <v>45630</v>
      </c>
      <c r="K183" s="280"/>
      <c r="L183" s="290">
        <f t="array" ref="L183">MIN(IF(W183:CI183&gt;0,$W$16:$CI$16))</f>
        <v>0</v>
      </c>
      <c r="M183" s="291">
        <f t="array" ref="M183">MAX(IF(W183:CI183&gt;0,$W$16:$CI$16))</f>
        <v>0</v>
      </c>
      <c r="N183" s="291"/>
      <c r="O183" s="249">
        <f>VLOOKUP(H183,Auxiliar!$B$16:$E$24,4,0)</f>
        <v>0</v>
      </c>
      <c r="P183" s="249">
        <f t="shared" ca="1" si="75"/>
        <v>1</v>
      </c>
      <c r="Q183" s="248">
        <f t="shared" ca="1" si="72"/>
        <v>-1</v>
      </c>
      <c r="R183" s="265"/>
      <c r="S183" s="284"/>
      <c r="T183" s="274">
        <v>0.6</v>
      </c>
      <c r="U183" s="274">
        <f t="shared" si="73"/>
        <v>0.1</v>
      </c>
      <c r="V183" s="274">
        <f t="shared" si="74"/>
        <v>-0.1</v>
      </c>
      <c r="W183" s="285"/>
      <c r="X183" s="285"/>
      <c r="Y183" s="285"/>
      <c r="Z183" s="285"/>
      <c r="AA183" s="285"/>
      <c r="AB183" s="285"/>
      <c r="AC183" s="285"/>
      <c r="AD183" s="286"/>
      <c r="AE183" s="285"/>
      <c r="AF183" s="285"/>
      <c r="AG183" s="285"/>
      <c r="AH183" s="285"/>
      <c r="AI183" s="285"/>
      <c r="AJ183" s="285"/>
      <c r="AK183" s="285"/>
      <c r="AL183" s="285"/>
      <c r="AM183" s="285"/>
      <c r="AN183" s="285"/>
      <c r="AO183" s="285"/>
      <c r="AP183" s="285"/>
      <c r="AQ183" s="285"/>
      <c r="AR183" s="285"/>
      <c r="AS183" s="285"/>
      <c r="AT183" s="285"/>
      <c r="AU183" s="285"/>
      <c r="AV183" s="285"/>
      <c r="AW183" s="287"/>
      <c r="AX183" s="285"/>
      <c r="AY183" s="285"/>
      <c r="AZ183" s="285"/>
      <c r="BA183" s="287"/>
      <c r="BB183" s="285"/>
      <c r="BC183" s="285"/>
      <c r="BD183" s="285"/>
      <c r="BE183" s="285"/>
      <c r="BF183" s="285"/>
      <c r="BG183" s="285"/>
      <c r="BH183" s="285"/>
      <c r="BI183" s="285"/>
      <c r="BJ183" s="285"/>
      <c r="BK183" s="285"/>
      <c r="BL183" s="285"/>
      <c r="BM183" s="285"/>
      <c r="BN183" s="285"/>
      <c r="BO183" s="286"/>
      <c r="BP183" s="286"/>
      <c r="BQ183" s="286"/>
      <c r="BR183" s="286"/>
      <c r="BS183" s="286"/>
      <c r="BT183" s="286"/>
      <c r="BU183" s="286"/>
      <c r="BV183" s="285"/>
      <c r="BW183" s="285"/>
      <c r="BX183" s="285"/>
      <c r="BY183" s="285"/>
      <c r="BZ183" s="285"/>
      <c r="CA183" s="285"/>
      <c r="CB183" s="285"/>
      <c r="CC183" s="285"/>
      <c r="CD183" s="285"/>
      <c r="CE183" s="285"/>
      <c r="CF183" s="285"/>
      <c r="CG183" s="285"/>
      <c r="CH183" s="285"/>
      <c r="CI183" s="285"/>
    </row>
    <row r="184" spans="1:87" ht="15" customHeight="1" outlineLevel="1" x14ac:dyDescent="0.25">
      <c r="A184" s="278" t="str">
        <f t="shared" si="71"/>
        <v>ENERGY_CERTIFICATE_EST_INPUTDATA_PROVIDER</v>
      </c>
      <c r="B184" s="142" t="s">
        <v>26</v>
      </c>
      <c r="C184" s="138" t="s">
        <v>34</v>
      </c>
      <c r="D184" s="236" t="s">
        <v>40</v>
      </c>
      <c r="E184" s="237" t="s">
        <v>37</v>
      </c>
      <c r="F184" s="237"/>
      <c r="G184" s="236" t="s">
        <v>48</v>
      </c>
      <c r="H184" s="236" t="str">
        <f>VLOOKUP(A184,'2. Status Detalhe Campos'!$A$7:$G$574,7,0)</f>
        <v>6. Em implementação (re-especificação)</v>
      </c>
      <c r="I184" s="280" t="s">
        <v>38</v>
      </c>
      <c r="J184" s="319">
        <v>45630</v>
      </c>
      <c r="K184" s="280"/>
      <c r="L184" s="290">
        <f t="array" ref="L184">MIN(IF(W184:CI184&gt;0,$W$16:$CI$16))</f>
        <v>0</v>
      </c>
      <c r="M184" s="291">
        <f t="array" ref="M184">MAX(IF(W184:CI184&gt;0,$W$16:$CI$16))</f>
        <v>0</v>
      </c>
      <c r="N184" s="291"/>
      <c r="O184" s="249">
        <f>VLOOKUP(H184,Auxiliar!$B$16:$E$24,4,0)</f>
        <v>0</v>
      </c>
      <c r="P184" s="249">
        <f t="shared" ca="1" si="75"/>
        <v>1</v>
      </c>
      <c r="Q184" s="248">
        <f t="shared" ca="1" si="72"/>
        <v>-1</v>
      </c>
      <c r="R184" s="265"/>
      <c r="S184" s="284"/>
      <c r="T184" s="274">
        <v>0.6</v>
      </c>
      <c r="U184" s="274">
        <f t="shared" si="73"/>
        <v>0.1</v>
      </c>
      <c r="V184" s="274">
        <f t="shared" si="74"/>
        <v>-0.1</v>
      </c>
      <c r="W184" s="285"/>
      <c r="X184" s="285"/>
      <c r="Y184" s="285"/>
      <c r="Z184" s="285"/>
      <c r="AA184" s="285"/>
      <c r="AB184" s="285"/>
      <c r="AC184" s="285"/>
      <c r="AD184" s="286"/>
      <c r="AE184" s="285"/>
      <c r="AF184" s="285"/>
      <c r="AG184" s="285"/>
      <c r="AH184" s="285"/>
      <c r="AI184" s="285"/>
      <c r="AJ184" s="285"/>
      <c r="AK184" s="285"/>
      <c r="AL184" s="285"/>
      <c r="AM184" s="285"/>
      <c r="AN184" s="285"/>
      <c r="AO184" s="285"/>
      <c r="AP184" s="285"/>
      <c r="AQ184" s="285"/>
      <c r="AR184" s="285"/>
      <c r="AS184" s="285"/>
      <c r="AT184" s="285"/>
      <c r="AU184" s="285"/>
      <c r="AV184" s="285"/>
      <c r="AW184" s="287"/>
      <c r="AX184" s="285"/>
      <c r="AY184" s="285"/>
      <c r="AZ184" s="285"/>
      <c r="BA184" s="287"/>
      <c r="BB184" s="285"/>
      <c r="BC184" s="285"/>
      <c r="BD184" s="285"/>
      <c r="BE184" s="285"/>
      <c r="BF184" s="285"/>
      <c r="BG184" s="285"/>
      <c r="BH184" s="285"/>
      <c r="BI184" s="285"/>
      <c r="BJ184" s="285"/>
      <c r="BK184" s="285"/>
      <c r="BL184" s="285"/>
      <c r="BM184" s="285"/>
      <c r="BN184" s="285"/>
      <c r="BO184" s="286"/>
      <c r="BP184" s="286"/>
      <c r="BQ184" s="286"/>
      <c r="BR184" s="286"/>
      <c r="BS184" s="286"/>
      <c r="BT184" s="286"/>
      <c r="BU184" s="286"/>
      <c r="BV184" s="285"/>
      <c r="BW184" s="285"/>
      <c r="BX184" s="285"/>
      <c r="BY184" s="285"/>
      <c r="BZ184" s="285"/>
      <c r="CA184" s="285"/>
      <c r="CB184" s="285"/>
      <c r="CC184" s="285"/>
      <c r="CD184" s="285"/>
      <c r="CE184" s="285"/>
      <c r="CF184" s="285"/>
      <c r="CG184" s="285"/>
      <c r="CH184" s="285"/>
      <c r="CI184" s="285"/>
    </row>
    <row r="185" spans="1:87" ht="15" customHeight="1" outlineLevel="1" x14ac:dyDescent="0.25">
      <c r="A185" s="278" t="str">
        <f t="shared" si="71"/>
        <v>ENERGY_CERTIFICATE_EST_INPUTACTUAL_VALUE_IND</v>
      </c>
      <c r="B185" s="142" t="s">
        <v>26</v>
      </c>
      <c r="C185" s="138" t="s">
        <v>34</v>
      </c>
      <c r="D185" s="236" t="s">
        <v>40</v>
      </c>
      <c r="E185" s="237" t="s">
        <v>37</v>
      </c>
      <c r="F185" s="237"/>
      <c r="G185" s="236" t="s">
        <v>49</v>
      </c>
      <c r="H185" s="236" t="str">
        <f>VLOOKUP(A185,'2. Status Detalhe Campos'!$A$7:$G$574,7,0)</f>
        <v>6. Em implementação (re-especificação)</v>
      </c>
      <c r="I185" s="280" t="s">
        <v>38</v>
      </c>
      <c r="J185" s="319">
        <v>45630</v>
      </c>
      <c r="K185" s="280"/>
      <c r="L185" s="290">
        <f t="array" ref="L185">MIN(IF(W185:CI185&gt;0,$W$16:$CI$16))</f>
        <v>0</v>
      </c>
      <c r="M185" s="291">
        <f t="array" ref="M185">MAX(IF(W185:CI185&gt;0,$W$16:$CI$16))</f>
        <v>0</v>
      </c>
      <c r="N185" s="291"/>
      <c r="O185" s="249">
        <f>VLOOKUP(H185,Auxiliar!$B$16:$E$24,4,0)</f>
        <v>0</v>
      </c>
      <c r="P185" s="249">
        <f t="shared" ca="1" si="75"/>
        <v>1</v>
      </c>
      <c r="Q185" s="248">
        <f t="shared" ca="1" si="72"/>
        <v>-1</v>
      </c>
      <c r="R185" s="265"/>
      <c r="S185" s="284"/>
      <c r="T185" s="274">
        <v>0.6</v>
      </c>
      <c r="U185" s="274">
        <f t="shared" si="73"/>
        <v>0.1</v>
      </c>
      <c r="V185" s="274">
        <f t="shared" si="74"/>
        <v>-0.1</v>
      </c>
      <c r="W185" s="285"/>
      <c r="X185" s="285"/>
      <c r="Y185" s="285"/>
      <c r="Z185" s="285"/>
      <c r="AA185" s="285"/>
      <c r="AB185" s="285"/>
      <c r="AC185" s="285"/>
      <c r="AD185" s="286"/>
      <c r="AE185" s="285"/>
      <c r="AF185" s="285"/>
      <c r="AG185" s="285"/>
      <c r="AH185" s="285"/>
      <c r="AI185" s="285"/>
      <c r="AJ185" s="285"/>
      <c r="AK185" s="285"/>
      <c r="AL185" s="285"/>
      <c r="AM185" s="285"/>
      <c r="AN185" s="285"/>
      <c r="AO185" s="285"/>
      <c r="AP185" s="285"/>
      <c r="AQ185" s="285"/>
      <c r="AR185" s="285"/>
      <c r="AS185" s="285"/>
      <c r="AT185" s="285"/>
      <c r="AU185" s="285"/>
      <c r="AV185" s="285"/>
      <c r="AW185" s="287"/>
      <c r="AX185" s="285"/>
      <c r="AY185" s="285"/>
      <c r="AZ185" s="285"/>
      <c r="BA185" s="287"/>
      <c r="BB185" s="285"/>
      <c r="BC185" s="285"/>
      <c r="BD185" s="285"/>
      <c r="BE185" s="285"/>
      <c r="BF185" s="285"/>
      <c r="BG185" s="285"/>
      <c r="BH185" s="285"/>
      <c r="BI185" s="285"/>
      <c r="BJ185" s="285"/>
      <c r="BK185" s="285"/>
      <c r="BL185" s="285"/>
      <c r="BM185" s="285"/>
      <c r="BN185" s="285"/>
      <c r="BO185" s="286"/>
      <c r="BP185" s="286"/>
      <c r="BQ185" s="286"/>
      <c r="BR185" s="286"/>
      <c r="BS185" s="286"/>
      <c r="BT185" s="286"/>
      <c r="BU185" s="286"/>
      <c r="BV185" s="285"/>
      <c r="BW185" s="285"/>
      <c r="BX185" s="285"/>
      <c r="BY185" s="285"/>
      <c r="BZ185" s="285"/>
      <c r="CA185" s="285"/>
      <c r="CB185" s="285"/>
      <c r="CC185" s="285"/>
      <c r="CD185" s="285"/>
      <c r="CE185" s="285"/>
      <c r="CF185" s="285"/>
      <c r="CG185" s="285"/>
      <c r="CH185" s="285"/>
      <c r="CI185" s="285"/>
    </row>
    <row r="186" spans="1:87" ht="15" customHeight="1" outlineLevel="1" x14ac:dyDescent="0.25">
      <c r="A186" s="278" t="str">
        <f t="shared" si="71"/>
        <v>ENERGY_CERTIFICATE_EST_INPUTQUALITY_SCORE</v>
      </c>
      <c r="B186" s="142" t="s">
        <v>26</v>
      </c>
      <c r="C186" s="138" t="s">
        <v>34</v>
      </c>
      <c r="D186" s="236" t="s">
        <v>40</v>
      </c>
      <c r="E186" s="237" t="s">
        <v>37</v>
      </c>
      <c r="F186" s="237"/>
      <c r="G186" s="236" t="s">
        <v>50</v>
      </c>
      <c r="H186" s="236" t="str">
        <f>VLOOKUP(A186,'2. Status Detalhe Campos'!$A$7:$G$574,7,0)</f>
        <v>6. Em implementação (re-especificação)</v>
      </c>
      <c r="I186" s="280" t="s">
        <v>38</v>
      </c>
      <c r="J186" s="319">
        <v>45630</v>
      </c>
      <c r="K186" s="280"/>
      <c r="L186" s="290">
        <f t="array" ref="L186">MIN(IF(W186:CI186&gt;0,$W$16:$CI$16))</f>
        <v>0</v>
      </c>
      <c r="M186" s="291">
        <f t="array" ref="M186">MAX(IF(W186:CI186&gt;0,$W$16:$CI$16))</f>
        <v>0</v>
      </c>
      <c r="N186" s="291"/>
      <c r="O186" s="249">
        <f>VLOOKUP(H186,Auxiliar!$B$16:$E$24,4,0)</f>
        <v>0</v>
      </c>
      <c r="P186" s="249">
        <f t="shared" ca="1" si="75"/>
        <v>1</v>
      </c>
      <c r="Q186" s="248">
        <f t="shared" ca="1" si="72"/>
        <v>-1</v>
      </c>
      <c r="R186" s="265"/>
      <c r="S186" s="284"/>
      <c r="T186" s="274">
        <v>0.6</v>
      </c>
      <c r="U186" s="274">
        <f t="shared" si="73"/>
        <v>0.1</v>
      </c>
      <c r="V186" s="274">
        <f t="shared" si="74"/>
        <v>-0.1</v>
      </c>
      <c r="W186" s="285"/>
      <c r="X186" s="285"/>
      <c r="Y186" s="285"/>
      <c r="Z186" s="285"/>
      <c r="AA186" s="285"/>
      <c r="AB186" s="285"/>
      <c r="AC186" s="285"/>
      <c r="AD186" s="286"/>
      <c r="AE186" s="285"/>
      <c r="AF186" s="285"/>
      <c r="AG186" s="285"/>
      <c r="AH186" s="285"/>
      <c r="AI186" s="285"/>
      <c r="AJ186" s="285"/>
      <c r="AK186" s="285"/>
      <c r="AL186" s="285"/>
      <c r="AM186" s="285"/>
      <c r="AN186" s="285"/>
      <c r="AO186" s="285"/>
      <c r="AP186" s="285"/>
      <c r="AQ186" s="285"/>
      <c r="AR186" s="285"/>
      <c r="AS186" s="285"/>
      <c r="AT186" s="285"/>
      <c r="AU186" s="285"/>
      <c r="AV186" s="285"/>
      <c r="AW186" s="287"/>
      <c r="AX186" s="285"/>
      <c r="AY186" s="285"/>
      <c r="AZ186" s="285"/>
      <c r="BA186" s="287"/>
      <c r="BB186" s="285"/>
      <c r="BC186" s="285"/>
      <c r="BD186" s="285"/>
      <c r="BE186" s="285"/>
      <c r="BF186" s="285"/>
      <c r="BG186" s="285"/>
      <c r="BH186" s="285"/>
      <c r="BI186" s="285"/>
      <c r="BJ186" s="285"/>
      <c r="BK186" s="285"/>
      <c r="BL186" s="285"/>
      <c r="BM186" s="285"/>
      <c r="BN186" s="285"/>
      <c r="BO186" s="286"/>
      <c r="BP186" s="286"/>
      <c r="BQ186" s="286"/>
      <c r="BR186" s="286"/>
      <c r="BS186" s="286"/>
      <c r="BT186" s="286"/>
      <c r="BU186" s="286"/>
      <c r="BV186" s="285"/>
      <c r="BW186" s="285"/>
      <c r="BX186" s="285"/>
      <c r="BY186" s="285"/>
      <c r="BZ186" s="285"/>
      <c r="CA186" s="285"/>
      <c r="CB186" s="285"/>
      <c r="CC186" s="285"/>
      <c r="CD186" s="285"/>
      <c r="CE186" s="285"/>
      <c r="CF186" s="285"/>
      <c r="CG186" s="285"/>
      <c r="CH186" s="285"/>
      <c r="CI186" s="285"/>
    </row>
    <row r="187" spans="1:87" ht="15" customHeight="1" outlineLevel="1" x14ac:dyDescent="0.25">
      <c r="A187" s="278" t="str">
        <f t="shared" si="71"/>
        <v>ENERGY_CERTIFICATE_EST_INPUTENERGY_CONSUMPTION_VALUE_YEAR</v>
      </c>
      <c r="B187" s="142" t="s">
        <v>26</v>
      </c>
      <c r="C187" s="138" t="s">
        <v>34</v>
      </c>
      <c r="D187" s="236" t="s">
        <v>40</v>
      </c>
      <c r="E187" s="237" t="s">
        <v>37</v>
      </c>
      <c r="F187" s="237"/>
      <c r="G187" s="236" t="s">
        <v>51</v>
      </c>
      <c r="H187" s="236" t="str">
        <f>VLOOKUP(A187,'2. Status Detalhe Campos'!$A$7:$G$574,7,0)</f>
        <v>6. Em implementação (re-especificação)</v>
      </c>
      <c r="I187" s="280" t="s">
        <v>38</v>
      </c>
      <c r="J187" s="319">
        <v>45630</v>
      </c>
      <c r="K187" s="280"/>
      <c r="L187" s="290">
        <f t="array" ref="L187">MIN(IF(W187:CI187&gt;0,$W$16:$CI$16))</f>
        <v>0</v>
      </c>
      <c r="M187" s="291">
        <f t="array" ref="M187">MAX(IF(W187:CI187&gt;0,$W$16:$CI$16))</f>
        <v>0</v>
      </c>
      <c r="N187" s="291"/>
      <c r="O187" s="249">
        <f>VLOOKUP(H187,Auxiliar!$B$16:$E$24,4,0)</f>
        <v>0</v>
      </c>
      <c r="P187" s="249">
        <f t="shared" ca="1" si="75"/>
        <v>1</v>
      </c>
      <c r="Q187" s="248">
        <f t="shared" ca="1" si="72"/>
        <v>-1</v>
      </c>
      <c r="R187" s="265"/>
      <c r="S187" s="284"/>
      <c r="T187" s="274">
        <v>0.6</v>
      </c>
      <c r="U187" s="274">
        <f t="shared" si="73"/>
        <v>0.1</v>
      </c>
      <c r="V187" s="274">
        <f t="shared" si="74"/>
        <v>-0.1</v>
      </c>
      <c r="W187" s="285"/>
      <c r="X187" s="285"/>
      <c r="Y187" s="285"/>
      <c r="Z187" s="285"/>
      <c r="AA187" s="285"/>
      <c r="AB187" s="285"/>
      <c r="AC187" s="285"/>
      <c r="AD187" s="286"/>
      <c r="AE187" s="285"/>
      <c r="AF187" s="285"/>
      <c r="AG187" s="285"/>
      <c r="AH187" s="285"/>
      <c r="AI187" s="285"/>
      <c r="AJ187" s="285"/>
      <c r="AK187" s="285"/>
      <c r="AL187" s="285"/>
      <c r="AM187" s="285"/>
      <c r="AN187" s="285"/>
      <c r="AO187" s="285"/>
      <c r="AP187" s="285"/>
      <c r="AQ187" s="285"/>
      <c r="AR187" s="285"/>
      <c r="AS187" s="285"/>
      <c r="AT187" s="285"/>
      <c r="AU187" s="285"/>
      <c r="AV187" s="285"/>
      <c r="AW187" s="287"/>
      <c r="AX187" s="285"/>
      <c r="AY187" s="285"/>
      <c r="AZ187" s="285"/>
      <c r="BA187" s="287"/>
      <c r="BB187" s="285"/>
      <c r="BC187" s="285"/>
      <c r="BD187" s="285"/>
      <c r="BE187" s="285"/>
      <c r="BF187" s="285"/>
      <c r="BG187" s="285"/>
      <c r="BH187" s="285"/>
      <c r="BI187" s="285"/>
      <c r="BJ187" s="285"/>
      <c r="BK187" s="285"/>
      <c r="BL187" s="285"/>
      <c r="BM187" s="285"/>
      <c r="BN187" s="285"/>
      <c r="BO187" s="286"/>
      <c r="BP187" s="286"/>
      <c r="BQ187" s="286"/>
      <c r="BR187" s="286"/>
      <c r="BS187" s="286"/>
      <c r="BT187" s="286"/>
      <c r="BU187" s="286"/>
      <c r="BV187" s="285"/>
      <c r="BW187" s="285"/>
      <c r="BX187" s="285"/>
      <c r="BY187" s="285"/>
      <c r="BZ187" s="285"/>
      <c r="CA187" s="285"/>
      <c r="CB187" s="285"/>
      <c r="CC187" s="285"/>
      <c r="CD187" s="285"/>
      <c r="CE187" s="285"/>
      <c r="CF187" s="285"/>
      <c r="CG187" s="285"/>
      <c r="CH187" s="285"/>
      <c r="CI187" s="285"/>
    </row>
    <row r="188" spans="1:87" ht="15" customHeight="1" outlineLevel="1" x14ac:dyDescent="0.25">
      <c r="A188" s="278" t="str">
        <f t="shared" si="71"/>
        <v>ENERGY_CERTIFICATE_EST_INPUTCARBON_EMISSION_VALUE_YEAR</v>
      </c>
      <c r="B188" s="142" t="s">
        <v>26</v>
      </c>
      <c r="C188" s="138" t="s">
        <v>34</v>
      </c>
      <c r="D188" s="236" t="s">
        <v>40</v>
      </c>
      <c r="E188" s="237" t="s">
        <v>37</v>
      </c>
      <c r="F188" s="237"/>
      <c r="G188" s="236" t="s">
        <v>52</v>
      </c>
      <c r="H188" s="236" t="str">
        <f>VLOOKUP(A188,'2. Status Detalhe Campos'!$A$7:$G$574,7,0)</f>
        <v>6. Em implementação (re-especificação)</v>
      </c>
      <c r="I188" s="280" t="s">
        <v>38</v>
      </c>
      <c r="J188" s="319">
        <v>45630</v>
      </c>
      <c r="K188" s="280"/>
      <c r="L188" s="290">
        <f t="array" ref="L188">MIN(IF(W188:CI188&gt;0,$W$16:$CI$16))</f>
        <v>0</v>
      </c>
      <c r="M188" s="291">
        <f t="array" ref="M188">MAX(IF(W188:CI188&gt;0,$W$16:$CI$16))</f>
        <v>0</v>
      </c>
      <c r="N188" s="291"/>
      <c r="O188" s="249">
        <f>VLOOKUP(H188,Auxiliar!$B$16:$E$24,4,0)</f>
        <v>0</v>
      </c>
      <c r="P188" s="249">
        <f t="shared" ca="1" si="75"/>
        <v>1</v>
      </c>
      <c r="Q188" s="248">
        <f t="shared" ca="1" si="72"/>
        <v>-1</v>
      </c>
      <c r="R188" s="265"/>
      <c r="S188" s="284"/>
      <c r="T188" s="274">
        <v>0.6</v>
      </c>
      <c r="U188" s="274">
        <f t="shared" si="73"/>
        <v>0.1</v>
      </c>
      <c r="V188" s="274">
        <f t="shared" si="74"/>
        <v>-0.1</v>
      </c>
      <c r="W188" s="285"/>
      <c r="X188" s="285"/>
      <c r="Y188" s="285"/>
      <c r="Z188" s="285"/>
      <c r="AA188" s="285"/>
      <c r="AB188" s="285"/>
      <c r="AC188" s="285"/>
      <c r="AD188" s="286"/>
      <c r="AE188" s="285"/>
      <c r="AF188" s="285"/>
      <c r="AG188" s="285"/>
      <c r="AH188" s="285"/>
      <c r="AI188" s="285"/>
      <c r="AJ188" s="285"/>
      <c r="AK188" s="285"/>
      <c r="AL188" s="285"/>
      <c r="AM188" s="285"/>
      <c r="AN188" s="285"/>
      <c r="AO188" s="285"/>
      <c r="AP188" s="285"/>
      <c r="AQ188" s="285"/>
      <c r="AR188" s="285"/>
      <c r="AS188" s="285"/>
      <c r="AT188" s="285"/>
      <c r="AU188" s="285"/>
      <c r="AV188" s="285"/>
      <c r="AW188" s="287"/>
      <c r="AX188" s="285"/>
      <c r="AY188" s="285"/>
      <c r="AZ188" s="285"/>
      <c r="BA188" s="287"/>
      <c r="BB188" s="285"/>
      <c r="BC188" s="285"/>
      <c r="BD188" s="285"/>
      <c r="BE188" s="285"/>
      <c r="BF188" s="285"/>
      <c r="BG188" s="285"/>
      <c r="BH188" s="285"/>
      <c r="BI188" s="285"/>
      <c r="BJ188" s="285"/>
      <c r="BK188" s="285"/>
      <c r="BL188" s="285"/>
      <c r="BM188" s="285"/>
      <c r="BN188" s="285"/>
      <c r="BO188" s="286"/>
      <c r="BP188" s="286"/>
      <c r="BQ188" s="286"/>
      <c r="BR188" s="286"/>
      <c r="BS188" s="286"/>
      <c r="BT188" s="286"/>
      <c r="BU188" s="286"/>
      <c r="BV188" s="285"/>
      <c r="BW188" s="285"/>
      <c r="BX188" s="285"/>
      <c r="BY188" s="285"/>
      <c r="BZ188" s="285"/>
      <c r="CA188" s="285"/>
      <c r="CB188" s="285"/>
      <c r="CC188" s="285"/>
      <c r="CD188" s="285"/>
      <c r="CE188" s="285"/>
      <c r="CF188" s="285"/>
      <c r="CG188" s="285"/>
      <c r="CH188" s="285"/>
      <c r="CI188" s="285"/>
    </row>
    <row r="189" spans="1:87" ht="15" customHeight="1" x14ac:dyDescent="0.25">
      <c r="A189" s="278"/>
      <c r="B189" s="142" t="s">
        <v>26</v>
      </c>
      <c r="C189" s="138" t="s">
        <v>34</v>
      </c>
      <c r="D189" s="134"/>
      <c r="E189" s="242" t="s">
        <v>2020</v>
      </c>
      <c r="F189" s="240" t="s">
        <v>1979</v>
      </c>
      <c r="G189" s="242" t="s">
        <v>1958</v>
      </c>
      <c r="H189" s="279" t="s">
        <v>2023</v>
      </c>
      <c r="I189" s="282">
        <v>45604</v>
      </c>
      <c r="J189" s="321">
        <v>45630</v>
      </c>
      <c r="K189" s="280"/>
      <c r="L189" s="283">
        <f t="array" ref="L189">MIN(IF(W189:CI189&gt;0,$W$16:$CI$16))</f>
        <v>45659</v>
      </c>
      <c r="M189" s="316">
        <f t="array" ref="M189">MAX(IF(W189:CI189&gt;0,$W$16:$CI$16))</f>
        <v>45660</v>
      </c>
      <c r="N189" s="332">
        <f t="array" ref="N189">MAX(IF(W189:CI189&gt;0,$W$16:$CI$16))</f>
        <v>45660</v>
      </c>
      <c r="O189" s="324">
        <v>0</v>
      </c>
      <c r="P189" s="324">
        <v>0</v>
      </c>
      <c r="Q189" s="248">
        <f>O189-P189</f>
        <v>0</v>
      </c>
      <c r="R189" s="264" t="s">
        <v>2019</v>
      </c>
      <c r="S189" s="284"/>
      <c r="T189" s="274"/>
      <c r="U189" s="274"/>
      <c r="V189" s="274"/>
      <c r="W189" s="285"/>
      <c r="X189" s="285"/>
      <c r="Y189" s="285"/>
      <c r="Z189" s="285"/>
      <c r="AA189" s="285"/>
      <c r="AB189" s="285"/>
      <c r="AC189" s="285"/>
      <c r="AD189" s="286"/>
      <c r="AE189" s="285"/>
      <c r="AF189" s="285"/>
      <c r="AG189" s="285"/>
      <c r="AH189" s="285"/>
      <c r="AI189" s="293"/>
      <c r="AJ189" s="285"/>
      <c r="AK189" s="285"/>
      <c r="AL189" s="285"/>
      <c r="AM189" s="285"/>
      <c r="AN189" s="285"/>
      <c r="AO189" s="285"/>
      <c r="AP189" s="285"/>
      <c r="AQ189" s="285"/>
      <c r="AR189" s="285"/>
      <c r="AS189" s="285"/>
      <c r="AT189" s="285"/>
      <c r="AU189" s="285"/>
      <c r="AV189" s="285"/>
      <c r="AW189" s="287"/>
      <c r="AX189" s="285"/>
      <c r="AY189" s="285"/>
      <c r="AZ189" s="285"/>
      <c r="BA189" s="287"/>
      <c r="BB189" s="285"/>
      <c r="BC189" s="285"/>
      <c r="BD189" s="285"/>
      <c r="BE189" s="285"/>
      <c r="BF189" s="285"/>
      <c r="BG189" s="285"/>
      <c r="BH189" s="285"/>
      <c r="BI189" s="285"/>
      <c r="BJ189" s="285"/>
      <c r="BK189" s="285"/>
      <c r="BL189" s="285"/>
      <c r="BM189" s="285"/>
      <c r="BN189" s="285"/>
      <c r="BO189" s="286"/>
      <c r="BP189" s="286"/>
      <c r="BQ189" s="286"/>
      <c r="BR189" s="286"/>
      <c r="BS189" s="286"/>
      <c r="BT189" s="286"/>
      <c r="BU189" s="286"/>
      <c r="BV189" s="285">
        <v>1</v>
      </c>
      <c r="BW189" s="285">
        <v>1</v>
      </c>
      <c r="BX189" s="285"/>
      <c r="BY189" s="285"/>
      <c r="BZ189" s="285"/>
      <c r="CA189" s="285"/>
      <c r="CB189" s="285"/>
      <c r="CC189" s="285"/>
      <c r="CD189" s="285"/>
      <c r="CE189" s="285"/>
      <c r="CF189" s="285"/>
      <c r="CG189" s="285"/>
      <c r="CH189" s="285"/>
      <c r="CI189" s="285"/>
    </row>
    <row r="190" spans="1:87" ht="15" customHeight="1" x14ac:dyDescent="0.25">
      <c r="A190" s="278"/>
      <c r="B190" s="142" t="s">
        <v>26</v>
      </c>
      <c r="C190" s="138" t="s">
        <v>54</v>
      </c>
      <c r="D190" s="134"/>
      <c r="E190" s="240" t="s">
        <v>123</v>
      </c>
      <c r="F190" s="240" t="s">
        <v>2003</v>
      </c>
      <c r="G190" s="241">
        <f>COUNTA(G191:G212)</f>
        <v>22</v>
      </c>
      <c r="H190" s="279" t="s">
        <v>2023</v>
      </c>
      <c r="I190" s="280" t="s">
        <v>38</v>
      </c>
      <c r="J190" s="318">
        <f>MIN(J191:J212)</f>
        <v>45638</v>
      </c>
      <c r="K190" s="282"/>
      <c r="L190" s="283">
        <f>MIN(L191:L212)</f>
        <v>45594</v>
      </c>
      <c r="M190" s="283">
        <f>MAX(M191:M212)</f>
        <v>45608</v>
      </c>
      <c r="N190" s="332">
        <f t="array" ref="N190">MAX(IF(W190:CI190&gt;0,$W$16:$CI$16))</f>
        <v>0</v>
      </c>
      <c r="O190" s="251">
        <f>SUMPRODUCT(O191:O212,U191:U212)/SUM(U191:U212)</f>
        <v>0</v>
      </c>
      <c r="P190" s="252">
        <f ca="1">SUMPRODUCT(P191:P212,U191:U212)/SUM(U191:U212)</f>
        <v>1</v>
      </c>
      <c r="Q190" s="248">
        <f t="shared" ca="1" si="72"/>
        <v>-1</v>
      </c>
      <c r="R190" s="264" t="s">
        <v>2021</v>
      </c>
      <c r="S190" s="284"/>
      <c r="T190" s="274"/>
      <c r="U190" s="274"/>
      <c r="V190" s="274"/>
      <c r="W190" s="285"/>
      <c r="X190" s="285"/>
      <c r="Y190" s="285"/>
      <c r="Z190" s="292"/>
      <c r="AA190" s="285"/>
      <c r="AB190" s="285"/>
      <c r="AC190" s="285"/>
      <c r="AD190" s="286"/>
      <c r="AE190" s="292"/>
      <c r="AF190" s="285"/>
      <c r="AG190" s="285"/>
      <c r="AH190" s="285"/>
      <c r="AI190" s="293"/>
      <c r="AJ190" s="285"/>
      <c r="AK190" s="285"/>
      <c r="AL190" s="285"/>
      <c r="AM190" s="285"/>
      <c r="AN190" s="288"/>
      <c r="AO190" s="285"/>
      <c r="AP190" s="285"/>
      <c r="AQ190" s="293"/>
      <c r="AR190" s="285"/>
      <c r="AS190" s="285"/>
      <c r="AT190" s="285"/>
      <c r="AU190" s="285"/>
      <c r="AV190" s="285"/>
      <c r="AW190" s="285"/>
      <c r="AX190" s="285"/>
      <c r="AY190" s="285"/>
      <c r="AZ190" s="285"/>
      <c r="BA190" s="285"/>
      <c r="BB190" s="285"/>
      <c r="BC190" s="285"/>
      <c r="BD190" s="285"/>
      <c r="BE190" s="285"/>
      <c r="BF190" s="285"/>
      <c r="BG190" s="287"/>
      <c r="BH190" s="285"/>
      <c r="BI190" s="285"/>
      <c r="BJ190" s="285"/>
      <c r="BK190" s="285"/>
      <c r="BL190" s="285"/>
      <c r="BM190" s="285"/>
      <c r="BN190" s="285"/>
      <c r="BO190" s="286"/>
      <c r="BP190" s="286"/>
      <c r="BQ190" s="286"/>
      <c r="BR190" s="286"/>
      <c r="BS190" s="286"/>
      <c r="BT190" s="286"/>
      <c r="BU190" s="286"/>
      <c r="BV190" s="285"/>
      <c r="BW190" s="285"/>
      <c r="BX190" s="285"/>
      <c r="BY190" s="285"/>
      <c r="BZ190" s="285"/>
      <c r="CA190" s="285"/>
      <c r="CB190" s="285"/>
      <c r="CC190" s="285"/>
      <c r="CD190" s="285"/>
      <c r="CE190" s="285"/>
      <c r="CF190" s="285"/>
      <c r="CG190" s="285"/>
      <c r="CH190" s="285"/>
      <c r="CI190" s="285"/>
    </row>
    <row r="191" spans="1:87" ht="16.2" outlineLevel="1" x14ac:dyDescent="0.25">
      <c r="A191" s="278" t="str">
        <f t="shared" si="71"/>
        <v>PROPERTY_ENERGY_CERTIFICATELAND_REGISTRY_OFFICE_CODE</v>
      </c>
      <c r="B191" s="142" t="s">
        <v>26</v>
      </c>
      <c r="C191" s="138" t="s">
        <v>54</v>
      </c>
      <c r="D191" s="236" t="s">
        <v>40</v>
      </c>
      <c r="E191" s="237" t="s">
        <v>123</v>
      </c>
      <c r="F191" s="237"/>
      <c r="G191" s="236" t="s">
        <v>125</v>
      </c>
      <c r="H191" s="236" t="str">
        <f>VLOOKUP(A191,'2. Status Detalhe Campos'!$A$7:$G$574,7,0)</f>
        <v>6. Em implementação (re-especificação)</v>
      </c>
      <c r="I191" s="280" t="s">
        <v>38</v>
      </c>
      <c r="J191" s="289">
        <v>45638</v>
      </c>
      <c r="K191" s="289"/>
      <c r="L191" s="294">
        <f t="array" ref="L191">MIN(IF(W191:CI191&gt;0,$W$16:$CI$16))</f>
        <v>45594</v>
      </c>
      <c r="M191" s="295">
        <f t="array" ref="M191">MAX(IF(W191:CI191&gt;0,$W$16:$CI$16))</f>
        <v>45594</v>
      </c>
      <c r="N191" s="295"/>
      <c r="O191" s="249">
        <f>VLOOKUP(H191,Auxiliar!$B$16:$E$24,4,0)</f>
        <v>0</v>
      </c>
      <c r="P191" s="323">
        <f t="shared" ca="1" si="75"/>
        <v>1</v>
      </c>
      <c r="Q191" s="248">
        <f t="shared" ca="1" si="72"/>
        <v>-1</v>
      </c>
      <c r="R191" s="265"/>
      <c r="S191" s="296" t="s">
        <v>1951</v>
      </c>
      <c r="T191" s="274">
        <v>4.0999999999999996</v>
      </c>
      <c r="U191" s="274">
        <f t="shared" si="73"/>
        <v>0.5</v>
      </c>
      <c r="V191" s="274">
        <f t="shared" ref="V191:V212" si="76">SUM(W191:CI191)-U191</f>
        <v>0</v>
      </c>
      <c r="W191" s="285"/>
      <c r="X191" s="285"/>
      <c r="Y191" s="285"/>
      <c r="Z191" s="292"/>
      <c r="AA191" s="285">
        <v>0.5</v>
      </c>
      <c r="AB191" s="285"/>
      <c r="AC191" s="285"/>
      <c r="AD191" s="286"/>
      <c r="AE191" s="292"/>
      <c r="AF191" s="285"/>
      <c r="AG191" s="285"/>
      <c r="AH191" s="285"/>
      <c r="AI191" s="293"/>
      <c r="AJ191" s="285"/>
      <c r="AK191" s="285"/>
      <c r="AL191" s="285"/>
      <c r="AM191" s="285"/>
      <c r="AN191" s="285"/>
      <c r="AO191" s="285"/>
      <c r="AP191" s="285"/>
      <c r="AQ191" s="293"/>
      <c r="AR191" s="285"/>
      <c r="AS191" s="285"/>
      <c r="AT191" s="285"/>
      <c r="AU191" s="285"/>
      <c r="AV191" s="285"/>
      <c r="AW191" s="285"/>
      <c r="AX191" s="285"/>
      <c r="AY191" s="285"/>
      <c r="AZ191" s="285"/>
      <c r="BA191" s="285"/>
      <c r="BB191" s="285"/>
      <c r="BC191" s="285"/>
      <c r="BD191" s="285"/>
      <c r="BE191" s="285"/>
      <c r="BF191" s="285"/>
      <c r="BG191" s="287"/>
      <c r="BH191" s="285"/>
      <c r="BI191" s="285"/>
      <c r="BJ191" s="285"/>
      <c r="BK191" s="285"/>
      <c r="BL191" s="285"/>
      <c r="BM191" s="285"/>
      <c r="BN191" s="285"/>
      <c r="BO191" s="286"/>
      <c r="BP191" s="286"/>
      <c r="BQ191" s="286"/>
      <c r="BR191" s="286"/>
      <c r="BS191" s="286"/>
      <c r="BT191" s="286"/>
      <c r="BU191" s="286"/>
      <c r="BV191" s="285"/>
      <c r="BW191" s="285"/>
      <c r="BX191" s="285"/>
      <c r="BY191" s="285"/>
      <c r="BZ191" s="285"/>
      <c r="CA191" s="285"/>
      <c r="CB191" s="285"/>
      <c r="CC191" s="285"/>
      <c r="CD191" s="285"/>
      <c r="CE191" s="285"/>
      <c r="CF191" s="285"/>
      <c r="CG191" s="285"/>
      <c r="CH191" s="285"/>
      <c r="CI191" s="285"/>
    </row>
    <row r="192" spans="1:87" ht="16.2" outlineLevel="1" x14ac:dyDescent="0.25">
      <c r="A192" s="278" t="str">
        <f t="shared" si="71"/>
        <v>PROPERTY_ENERGY_CERTIFICATEPROPERTY_IDENTIFICATION_CODE</v>
      </c>
      <c r="B192" s="142" t="s">
        <v>26</v>
      </c>
      <c r="C192" s="138" t="s">
        <v>54</v>
      </c>
      <c r="D192" s="236" t="s">
        <v>40</v>
      </c>
      <c r="E192" s="237" t="s">
        <v>123</v>
      </c>
      <c r="F192" s="237"/>
      <c r="G192" s="236" t="s">
        <v>126</v>
      </c>
      <c r="H192" s="236" t="str">
        <f>VLOOKUP(A192,'2. Status Detalhe Campos'!$A$7:$G$574,7,0)</f>
        <v>6. Em implementação (re-especificação)</v>
      </c>
      <c r="I192" s="280" t="s">
        <v>38</v>
      </c>
      <c r="J192" s="289">
        <v>45638</v>
      </c>
      <c r="K192" s="289"/>
      <c r="L192" s="294">
        <f t="array" ref="L192">MIN(IF(W192:CI192&gt;0,$W$16:$CI$16))</f>
        <v>45595</v>
      </c>
      <c r="M192" s="295">
        <f t="array" ref="M192">MAX(IF(W192:CI192&gt;0,$W$16:$CI$16))</f>
        <v>45595</v>
      </c>
      <c r="N192" s="295"/>
      <c r="O192" s="249">
        <f>VLOOKUP(H192,Auxiliar!$B$16:$E$24,4,0)</f>
        <v>0</v>
      </c>
      <c r="P192" s="323">
        <f t="shared" ca="1" si="75"/>
        <v>1</v>
      </c>
      <c r="Q192" s="248">
        <f t="shared" ca="1" si="72"/>
        <v>-1</v>
      </c>
      <c r="R192" s="265"/>
      <c r="S192" s="296" t="s">
        <v>1951</v>
      </c>
      <c r="T192" s="274">
        <v>4.0999999999999996</v>
      </c>
      <c r="U192" s="274">
        <f t="shared" si="73"/>
        <v>0.5</v>
      </c>
      <c r="V192" s="274">
        <f t="shared" si="76"/>
        <v>0</v>
      </c>
      <c r="W192" s="285"/>
      <c r="X192" s="285"/>
      <c r="Y192" s="285"/>
      <c r="Z192" s="292"/>
      <c r="AA192" s="285"/>
      <c r="AB192" s="285">
        <v>0.5</v>
      </c>
      <c r="AC192" s="285"/>
      <c r="AD192" s="286"/>
      <c r="AE192" s="292"/>
      <c r="AF192" s="285"/>
      <c r="AG192" s="285"/>
      <c r="AH192" s="285"/>
      <c r="AI192" s="293"/>
      <c r="AJ192" s="285"/>
      <c r="AK192" s="285"/>
      <c r="AL192" s="285"/>
      <c r="AM192" s="285"/>
      <c r="AN192" s="285"/>
      <c r="AO192" s="285"/>
      <c r="AP192" s="285"/>
      <c r="AQ192" s="293"/>
      <c r="AR192" s="285"/>
      <c r="AS192" s="285"/>
      <c r="AT192" s="285"/>
      <c r="AU192" s="285"/>
      <c r="AV192" s="285"/>
      <c r="AW192" s="285"/>
      <c r="AX192" s="285"/>
      <c r="AY192" s="285"/>
      <c r="AZ192" s="285"/>
      <c r="BA192" s="285"/>
      <c r="BB192" s="285"/>
      <c r="BC192" s="285"/>
      <c r="BD192" s="285"/>
      <c r="BE192" s="285"/>
      <c r="BF192" s="285"/>
      <c r="BG192" s="287"/>
      <c r="BH192" s="285"/>
      <c r="BI192" s="285"/>
      <c r="BJ192" s="285"/>
      <c r="BK192" s="285"/>
      <c r="BL192" s="285"/>
      <c r="BM192" s="285"/>
      <c r="BN192" s="285"/>
      <c r="BO192" s="286"/>
      <c r="BP192" s="286"/>
      <c r="BQ192" s="286"/>
      <c r="BR192" s="286"/>
      <c r="BS192" s="286"/>
      <c r="BT192" s="286"/>
      <c r="BU192" s="286"/>
      <c r="BV192" s="285"/>
      <c r="BW192" s="285"/>
      <c r="BX192" s="285"/>
      <c r="BY192" s="285"/>
      <c r="BZ192" s="285"/>
      <c r="CA192" s="285"/>
      <c r="CB192" s="285"/>
      <c r="CC192" s="285"/>
      <c r="CD192" s="285"/>
      <c r="CE192" s="285"/>
      <c r="CF192" s="285"/>
      <c r="CG192" s="285"/>
      <c r="CH192" s="285"/>
      <c r="CI192" s="285"/>
    </row>
    <row r="193" spans="1:87" ht="16.2" outlineLevel="1" x14ac:dyDescent="0.25">
      <c r="A193" s="278" t="str">
        <f t="shared" si="71"/>
        <v>PROPERTY_ENERGY_CERTIFICATEENERGY_CERTIFICATION_SYSTEM_CODE</v>
      </c>
      <c r="B193" s="142" t="s">
        <v>26</v>
      </c>
      <c r="C193" s="138" t="s">
        <v>54</v>
      </c>
      <c r="D193" s="236" t="s">
        <v>40</v>
      </c>
      <c r="E193" s="237" t="s">
        <v>123</v>
      </c>
      <c r="F193" s="237"/>
      <c r="G193" s="236" t="s">
        <v>127</v>
      </c>
      <c r="H193" s="236" t="str">
        <f>VLOOKUP(A193,'2. Status Detalhe Campos'!$A$7:$G$574,7,0)</f>
        <v>6. Em implementação (re-especificação)</v>
      </c>
      <c r="I193" s="280" t="s">
        <v>38</v>
      </c>
      <c r="J193" s="289">
        <v>45638</v>
      </c>
      <c r="K193" s="289"/>
      <c r="L193" s="294">
        <f t="array" ref="L193">MIN(IF(W193:CI193&gt;0,$W$16:$CI$16))</f>
        <v>45595</v>
      </c>
      <c r="M193" s="295">
        <f t="array" ref="M193">MAX(IF(W193:CI193&gt;0,$W$16:$CI$16))</f>
        <v>45595</v>
      </c>
      <c r="N193" s="295"/>
      <c r="O193" s="249">
        <f>VLOOKUP(H193,Auxiliar!$B$16:$E$24,4,0)</f>
        <v>0</v>
      </c>
      <c r="P193" s="323">
        <f t="shared" ca="1" si="75"/>
        <v>1</v>
      </c>
      <c r="Q193" s="248">
        <f t="shared" ca="1" si="72"/>
        <v>-1</v>
      </c>
      <c r="R193" s="265"/>
      <c r="S193" s="296" t="s">
        <v>1951</v>
      </c>
      <c r="T193" s="274">
        <v>4.0999999999999996</v>
      </c>
      <c r="U193" s="274">
        <f t="shared" si="73"/>
        <v>0.5</v>
      </c>
      <c r="V193" s="274">
        <f t="shared" si="76"/>
        <v>0</v>
      </c>
      <c r="W193" s="285"/>
      <c r="X193" s="285"/>
      <c r="Y193" s="285"/>
      <c r="Z193" s="292"/>
      <c r="AA193" s="285"/>
      <c r="AB193" s="285">
        <v>0.5</v>
      </c>
      <c r="AC193" s="285"/>
      <c r="AD193" s="286"/>
      <c r="AE193" s="292"/>
      <c r="AF193" s="285"/>
      <c r="AG193" s="285"/>
      <c r="AH193" s="285"/>
      <c r="AI193" s="293"/>
      <c r="AJ193" s="285"/>
      <c r="AK193" s="285"/>
      <c r="AL193" s="285"/>
      <c r="AM193" s="285"/>
      <c r="AN193" s="285"/>
      <c r="AO193" s="285"/>
      <c r="AP193" s="285"/>
      <c r="AQ193" s="293"/>
      <c r="AR193" s="285"/>
      <c r="AS193" s="285"/>
      <c r="AT193" s="285"/>
      <c r="AU193" s="285"/>
      <c r="AV193" s="285"/>
      <c r="AW193" s="285"/>
      <c r="AX193" s="285"/>
      <c r="AY193" s="285"/>
      <c r="AZ193" s="285"/>
      <c r="BA193" s="285"/>
      <c r="BB193" s="285"/>
      <c r="BC193" s="285"/>
      <c r="BD193" s="285"/>
      <c r="BE193" s="285"/>
      <c r="BF193" s="285"/>
      <c r="BG193" s="287"/>
      <c r="BH193" s="285"/>
      <c r="BI193" s="285"/>
      <c r="BJ193" s="285"/>
      <c r="BK193" s="285"/>
      <c r="BL193" s="285"/>
      <c r="BM193" s="285"/>
      <c r="BN193" s="285"/>
      <c r="BO193" s="286"/>
      <c r="BP193" s="286"/>
      <c r="BQ193" s="286"/>
      <c r="BR193" s="286"/>
      <c r="BS193" s="286"/>
      <c r="BT193" s="286"/>
      <c r="BU193" s="286"/>
      <c r="BV193" s="285"/>
      <c r="BW193" s="285"/>
      <c r="BX193" s="285"/>
      <c r="BY193" s="285"/>
      <c r="BZ193" s="285"/>
      <c r="CA193" s="285"/>
      <c r="CB193" s="285"/>
      <c r="CC193" s="285"/>
      <c r="CD193" s="285"/>
      <c r="CE193" s="285"/>
      <c r="CF193" s="285"/>
      <c r="CG193" s="285"/>
      <c r="CH193" s="285"/>
      <c r="CI193" s="285"/>
    </row>
    <row r="194" spans="1:87" ht="16.2" outlineLevel="1" x14ac:dyDescent="0.25">
      <c r="A194" s="278" t="str">
        <f t="shared" si="71"/>
        <v>PROPERTY_ENERGY_CERTIFICATEEPC_ISSUING_DATE</v>
      </c>
      <c r="B194" s="142" t="s">
        <v>26</v>
      </c>
      <c r="C194" s="138" t="s">
        <v>54</v>
      </c>
      <c r="D194" s="236" t="s">
        <v>40</v>
      </c>
      <c r="E194" s="237" t="s">
        <v>123</v>
      </c>
      <c r="F194" s="237"/>
      <c r="G194" s="236" t="s">
        <v>128</v>
      </c>
      <c r="H194" s="236" t="str">
        <f>VLOOKUP(A194,'2. Status Detalhe Campos'!$A$7:$G$574,7,0)</f>
        <v>6. Em implementação (re-especificação)</v>
      </c>
      <c r="I194" s="280" t="s">
        <v>38</v>
      </c>
      <c r="J194" s="289">
        <v>45638</v>
      </c>
      <c r="K194" s="289"/>
      <c r="L194" s="294">
        <f t="array" ref="L194">MIN(IF(W194:CI194&gt;0,$W$16:$CI$16))</f>
        <v>45602</v>
      </c>
      <c r="M194" s="295">
        <f t="array" ref="M194">MAX(IF(W194:CI194&gt;0,$W$16:$CI$16))</f>
        <v>45602</v>
      </c>
      <c r="N194" s="295"/>
      <c r="O194" s="249">
        <f>VLOOKUP(H194,Auxiliar!$B$16:$E$24,4,0)</f>
        <v>0</v>
      </c>
      <c r="P194" s="323">
        <f t="shared" ca="1" si="75"/>
        <v>1</v>
      </c>
      <c r="Q194" s="248">
        <f t="shared" ca="1" si="72"/>
        <v>-1</v>
      </c>
      <c r="R194" s="265"/>
      <c r="S194" s="296" t="s">
        <v>1951</v>
      </c>
      <c r="T194" s="274">
        <v>4.0999999999999996</v>
      </c>
      <c r="U194" s="274">
        <f t="shared" si="73"/>
        <v>0.5</v>
      </c>
      <c r="V194" s="274">
        <f t="shared" si="76"/>
        <v>0</v>
      </c>
      <c r="W194" s="285"/>
      <c r="X194" s="285"/>
      <c r="Y194" s="285"/>
      <c r="Z194" s="292"/>
      <c r="AA194" s="285"/>
      <c r="AB194" s="285"/>
      <c r="AC194" s="285"/>
      <c r="AD194" s="286"/>
      <c r="AE194" s="292"/>
      <c r="AF194" s="285"/>
      <c r="AG194" s="285">
        <v>0.5</v>
      </c>
      <c r="AH194" s="285"/>
      <c r="AI194" s="293"/>
      <c r="AJ194" s="285"/>
      <c r="AK194" s="285"/>
      <c r="AL194" s="285"/>
      <c r="AM194" s="285"/>
      <c r="AN194" s="285"/>
      <c r="AO194" s="285"/>
      <c r="AP194" s="285"/>
      <c r="AQ194" s="293"/>
      <c r="AR194" s="285"/>
      <c r="AS194" s="285"/>
      <c r="AT194" s="285"/>
      <c r="AU194" s="285"/>
      <c r="AV194" s="285"/>
      <c r="AW194" s="285"/>
      <c r="AX194" s="285"/>
      <c r="AY194" s="285"/>
      <c r="AZ194" s="285"/>
      <c r="BA194" s="285"/>
      <c r="BB194" s="285"/>
      <c r="BC194" s="285"/>
      <c r="BD194" s="285"/>
      <c r="BE194" s="285"/>
      <c r="BF194" s="285"/>
      <c r="BG194" s="287"/>
      <c r="BH194" s="285"/>
      <c r="BI194" s="285"/>
      <c r="BJ194" s="285"/>
      <c r="BK194" s="285"/>
      <c r="BL194" s="285"/>
      <c r="BM194" s="285"/>
      <c r="BN194" s="285"/>
      <c r="BO194" s="286"/>
      <c r="BP194" s="286"/>
      <c r="BQ194" s="286"/>
      <c r="BR194" s="286"/>
      <c r="BS194" s="286"/>
      <c r="BT194" s="286"/>
      <c r="BU194" s="286"/>
      <c r="BV194" s="285"/>
      <c r="BW194" s="285"/>
      <c r="BX194" s="285"/>
      <c r="BY194" s="285"/>
      <c r="BZ194" s="285"/>
      <c r="CA194" s="285"/>
      <c r="CB194" s="285"/>
      <c r="CC194" s="285"/>
      <c r="CD194" s="285"/>
      <c r="CE194" s="285"/>
      <c r="CF194" s="285"/>
      <c r="CG194" s="285"/>
      <c r="CH194" s="285"/>
      <c r="CI194" s="285"/>
    </row>
    <row r="195" spans="1:87" ht="16.2" outlineLevel="1" x14ac:dyDescent="0.25">
      <c r="A195" s="278" t="str">
        <f t="shared" si="71"/>
        <v>PROPERTY_ENERGY_CERTIFICATEEPC_EXPIRATION_DATE</v>
      </c>
      <c r="B195" s="142" t="s">
        <v>26</v>
      </c>
      <c r="C195" s="138" t="s">
        <v>54</v>
      </c>
      <c r="D195" s="236" t="s">
        <v>40</v>
      </c>
      <c r="E195" s="237" t="s">
        <v>123</v>
      </c>
      <c r="F195" s="237"/>
      <c r="G195" s="236" t="s">
        <v>129</v>
      </c>
      <c r="H195" s="236" t="str">
        <f>VLOOKUP(A195,'2. Status Detalhe Campos'!$A$7:$G$574,7,0)</f>
        <v>6. Em implementação (re-especificação)</v>
      </c>
      <c r="I195" s="280" t="s">
        <v>38</v>
      </c>
      <c r="J195" s="289">
        <v>45638</v>
      </c>
      <c r="K195" s="289"/>
      <c r="L195" s="294">
        <f t="array" ref="L195">MIN(IF(W195:CI195&gt;0,$W$16:$CI$16))</f>
        <v>45602</v>
      </c>
      <c r="M195" s="295">
        <f t="array" ref="M195">MAX(IF(W195:CI195&gt;0,$W$16:$CI$16))</f>
        <v>45602</v>
      </c>
      <c r="N195" s="295"/>
      <c r="O195" s="249">
        <f>VLOOKUP(H195,Auxiliar!$B$16:$E$24,4,0)</f>
        <v>0</v>
      </c>
      <c r="P195" s="323">
        <f t="shared" ca="1" si="75"/>
        <v>1</v>
      </c>
      <c r="Q195" s="248">
        <f t="shared" ca="1" si="72"/>
        <v>-1</v>
      </c>
      <c r="R195" s="265"/>
      <c r="S195" s="296" t="s">
        <v>1951</v>
      </c>
      <c r="T195" s="274">
        <v>4.0999999999999996</v>
      </c>
      <c r="U195" s="274">
        <f t="shared" si="73"/>
        <v>0.5</v>
      </c>
      <c r="V195" s="274">
        <f t="shared" si="76"/>
        <v>0</v>
      </c>
      <c r="W195" s="285"/>
      <c r="X195" s="285"/>
      <c r="Y195" s="285"/>
      <c r="Z195" s="292"/>
      <c r="AA195" s="285"/>
      <c r="AB195" s="285"/>
      <c r="AC195" s="285"/>
      <c r="AD195" s="286"/>
      <c r="AE195" s="292"/>
      <c r="AF195" s="285"/>
      <c r="AG195" s="285">
        <v>0.5</v>
      </c>
      <c r="AH195" s="285"/>
      <c r="AI195" s="293"/>
      <c r="AJ195" s="285"/>
      <c r="AK195" s="285"/>
      <c r="AL195" s="285"/>
      <c r="AM195" s="285"/>
      <c r="AN195" s="285"/>
      <c r="AO195" s="285"/>
      <c r="AP195" s="285"/>
      <c r="AQ195" s="293"/>
      <c r="AR195" s="285"/>
      <c r="AS195" s="285"/>
      <c r="AT195" s="285"/>
      <c r="AU195" s="285"/>
      <c r="AV195" s="285"/>
      <c r="AW195" s="285"/>
      <c r="AX195" s="285"/>
      <c r="AY195" s="285"/>
      <c r="AZ195" s="285"/>
      <c r="BA195" s="285"/>
      <c r="BB195" s="285"/>
      <c r="BC195" s="285"/>
      <c r="BD195" s="285"/>
      <c r="BE195" s="285"/>
      <c r="BF195" s="285"/>
      <c r="BG195" s="287"/>
      <c r="BH195" s="285"/>
      <c r="BI195" s="285"/>
      <c r="BJ195" s="285"/>
      <c r="BK195" s="285"/>
      <c r="BL195" s="285"/>
      <c r="BM195" s="285"/>
      <c r="BN195" s="285"/>
      <c r="BO195" s="286"/>
      <c r="BP195" s="286"/>
      <c r="BQ195" s="286"/>
      <c r="BR195" s="286"/>
      <c r="BS195" s="286"/>
      <c r="BT195" s="286"/>
      <c r="BU195" s="286"/>
      <c r="BV195" s="285"/>
      <c r="BW195" s="285"/>
      <c r="BX195" s="285"/>
      <c r="BY195" s="285"/>
      <c r="BZ195" s="285"/>
      <c r="CA195" s="285"/>
      <c r="CB195" s="285"/>
      <c r="CC195" s="285"/>
      <c r="CD195" s="285"/>
      <c r="CE195" s="285"/>
      <c r="CF195" s="285"/>
      <c r="CG195" s="285"/>
      <c r="CH195" s="285"/>
      <c r="CI195" s="285"/>
    </row>
    <row r="196" spans="1:87" ht="16.2" outlineLevel="1" x14ac:dyDescent="0.25">
      <c r="A196" s="278" t="str">
        <f t="shared" si="71"/>
        <v>PROPERTY_ENERGY_CERTIFICATEEPC</v>
      </c>
      <c r="B196" s="142" t="s">
        <v>26</v>
      </c>
      <c r="C196" s="138" t="s">
        <v>54</v>
      </c>
      <c r="D196" s="236" t="s">
        <v>40</v>
      </c>
      <c r="E196" s="237" t="s">
        <v>123</v>
      </c>
      <c r="F196" s="237"/>
      <c r="G196" s="236" t="s">
        <v>47</v>
      </c>
      <c r="H196" s="236" t="str">
        <f>VLOOKUP(A196,'2. Status Detalhe Campos'!$A$7:$G$574,7,0)</f>
        <v>6. Em implementação (re-especificação)</v>
      </c>
      <c r="I196" s="280" t="s">
        <v>38</v>
      </c>
      <c r="J196" s="289">
        <v>45638</v>
      </c>
      <c r="K196" s="289"/>
      <c r="L196" s="294">
        <f t="array" ref="L196">MIN(IF(W196:CI196&gt;0,$W$16:$CI$16))</f>
        <v>45602</v>
      </c>
      <c r="M196" s="295">
        <f t="array" ref="M196">MAX(IF(W196:CI196&gt;0,$W$16:$CI$16))</f>
        <v>45602</v>
      </c>
      <c r="N196" s="295"/>
      <c r="O196" s="249">
        <f>VLOOKUP(H196,Auxiliar!$B$16:$E$24,4,0)</f>
        <v>0</v>
      </c>
      <c r="P196" s="323">
        <f t="shared" ca="1" si="75"/>
        <v>1</v>
      </c>
      <c r="Q196" s="248">
        <f t="shared" ca="1" si="72"/>
        <v>-1</v>
      </c>
      <c r="R196" s="265"/>
      <c r="S196" s="296" t="s">
        <v>1951</v>
      </c>
      <c r="T196" s="274">
        <v>4.0999999999999996</v>
      </c>
      <c r="U196" s="274">
        <f t="shared" si="73"/>
        <v>0.5</v>
      </c>
      <c r="V196" s="274">
        <f t="shared" si="76"/>
        <v>0</v>
      </c>
      <c r="W196" s="285"/>
      <c r="X196" s="285"/>
      <c r="Y196" s="285"/>
      <c r="Z196" s="292"/>
      <c r="AA196" s="285"/>
      <c r="AB196" s="285"/>
      <c r="AC196" s="285"/>
      <c r="AD196" s="286"/>
      <c r="AE196" s="292"/>
      <c r="AF196" s="285"/>
      <c r="AG196" s="285">
        <v>0.5</v>
      </c>
      <c r="AH196" s="285"/>
      <c r="AI196" s="293"/>
      <c r="AJ196" s="285"/>
      <c r="AK196" s="285"/>
      <c r="AL196" s="285"/>
      <c r="AM196" s="285"/>
      <c r="AN196" s="285"/>
      <c r="AO196" s="285"/>
      <c r="AP196" s="285"/>
      <c r="AQ196" s="293"/>
      <c r="AR196" s="285"/>
      <c r="AS196" s="285"/>
      <c r="AT196" s="285"/>
      <c r="AU196" s="285"/>
      <c r="AV196" s="285"/>
      <c r="AW196" s="285"/>
      <c r="AX196" s="285"/>
      <c r="AY196" s="285"/>
      <c r="AZ196" s="285"/>
      <c r="BA196" s="285"/>
      <c r="BB196" s="285"/>
      <c r="BC196" s="285"/>
      <c r="BD196" s="285"/>
      <c r="BE196" s="285"/>
      <c r="BF196" s="285"/>
      <c r="BG196" s="287"/>
      <c r="BH196" s="285"/>
      <c r="BI196" s="285"/>
      <c r="BJ196" s="285"/>
      <c r="BK196" s="285"/>
      <c r="BL196" s="285"/>
      <c r="BM196" s="285"/>
      <c r="BN196" s="285"/>
      <c r="BO196" s="286"/>
      <c r="BP196" s="286"/>
      <c r="BQ196" s="286"/>
      <c r="BR196" s="286"/>
      <c r="BS196" s="286"/>
      <c r="BT196" s="286"/>
      <c r="BU196" s="286"/>
      <c r="BV196" s="285"/>
      <c r="BW196" s="285"/>
      <c r="BX196" s="285"/>
      <c r="BY196" s="285"/>
      <c r="BZ196" s="285"/>
      <c r="CA196" s="285"/>
      <c r="CB196" s="285"/>
      <c r="CC196" s="285"/>
      <c r="CD196" s="285"/>
      <c r="CE196" s="285"/>
      <c r="CF196" s="285"/>
      <c r="CG196" s="285"/>
      <c r="CH196" s="285"/>
      <c r="CI196" s="285"/>
    </row>
    <row r="197" spans="1:87" ht="16.2" outlineLevel="1" x14ac:dyDescent="0.25">
      <c r="A197" s="278" t="str">
        <f t="shared" si="71"/>
        <v>PROPERTY_ENERGY_CERTIFICATEENERGY_EFFICIENCY_IND</v>
      </c>
      <c r="B197" s="142" t="s">
        <v>26</v>
      </c>
      <c r="C197" s="138" t="s">
        <v>54</v>
      </c>
      <c r="D197" s="236" t="s">
        <v>40</v>
      </c>
      <c r="E197" s="237" t="s">
        <v>123</v>
      </c>
      <c r="F197" s="237"/>
      <c r="G197" s="236" t="s">
        <v>132</v>
      </c>
      <c r="H197" s="236" t="str">
        <f>VLOOKUP(A197,'2. Status Detalhe Campos'!$A$7:$G$574,7,0)</f>
        <v>6. Em implementação (re-especificação)</v>
      </c>
      <c r="I197" s="280" t="s">
        <v>38</v>
      </c>
      <c r="J197" s="289">
        <v>45638</v>
      </c>
      <c r="K197" s="289"/>
      <c r="L197" s="294">
        <f t="array" ref="L197">MIN(IF(W197:CI197&gt;0,$W$16:$CI$16))</f>
        <v>45602</v>
      </c>
      <c r="M197" s="295">
        <f t="array" ref="M197">MAX(IF(W197:CI197&gt;0,$W$16:$CI$16))</f>
        <v>45602</v>
      </c>
      <c r="N197" s="295"/>
      <c r="O197" s="249">
        <f>VLOOKUP(H197,Auxiliar!$B$16:$E$24,4,0)</f>
        <v>0</v>
      </c>
      <c r="P197" s="323">
        <f t="shared" ca="1" si="75"/>
        <v>1</v>
      </c>
      <c r="Q197" s="248">
        <f t="shared" ca="1" si="72"/>
        <v>-1</v>
      </c>
      <c r="R197" s="265"/>
      <c r="S197" s="296" t="s">
        <v>1951</v>
      </c>
      <c r="T197" s="274">
        <v>4.0999999999999996</v>
      </c>
      <c r="U197" s="274">
        <f t="shared" si="73"/>
        <v>0.5</v>
      </c>
      <c r="V197" s="274">
        <f t="shared" si="76"/>
        <v>0</v>
      </c>
      <c r="W197" s="285"/>
      <c r="X197" s="285"/>
      <c r="Y197" s="285"/>
      <c r="Z197" s="292"/>
      <c r="AA197" s="285"/>
      <c r="AB197" s="285"/>
      <c r="AC197" s="285"/>
      <c r="AD197" s="286"/>
      <c r="AE197" s="292"/>
      <c r="AF197" s="285"/>
      <c r="AG197" s="285">
        <v>0.5</v>
      </c>
      <c r="AH197" s="285"/>
      <c r="AI197" s="293"/>
      <c r="AJ197" s="285"/>
      <c r="AK197" s="285"/>
      <c r="AL197" s="285"/>
      <c r="AM197" s="285"/>
      <c r="AN197" s="285"/>
      <c r="AO197" s="285"/>
      <c r="AP197" s="285"/>
      <c r="AQ197" s="293"/>
      <c r="AR197" s="285"/>
      <c r="AS197" s="285"/>
      <c r="AT197" s="285"/>
      <c r="AU197" s="285"/>
      <c r="AV197" s="285"/>
      <c r="AW197" s="285"/>
      <c r="AX197" s="285"/>
      <c r="AY197" s="285"/>
      <c r="AZ197" s="285"/>
      <c r="BA197" s="285"/>
      <c r="BB197" s="285"/>
      <c r="BC197" s="285"/>
      <c r="BD197" s="285"/>
      <c r="BE197" s="285"/>
      <c r="BF197" s="285"/>
      <c r="BG197" s="287"/>
      <c r="BH197" s="285"/>
      <c r="BI197" s="285"/>
      <c r="BJ197" s="285"/>
      <c r="BK197" s="285"/>
      <c r="BL197" s="285"/>
      <c r="BM197" s="285"/>
      <c r="BN197" s="285"/>
      <c r="BO197" s="286"/>
      <c r="BP197" s="286"/>
      <c r="BQ197" s="286"/>
      <c r="BR197" s="286"/>
      <c r="BS197" s="286"/>
      <c r="BT197" s="286"/>
      <c r="BU197" s="286"/>
      <c r="BV197" s="285"/>
      <c r="BW197" s="285"/>
      <c r="BX197" s="285"/>
      <c r="BY197" s="285"/>
      <c r="BZ197" s="285"/>
      <c r="CA197" s="285"/>
      <c r="CB197" s="285"/>
      <c r="CC197" s="285"/>
      <c r="CD197" s="285"/>
      <c r="CE197" s="285"/>
      <c r="CF197" s="285"/>
      <c r="CG197" s="285"/>
      <c r="CH197" s="285"/>
      <c r="CI197" s="285"/>
    </row>
    <row r="198" spans="1:87" ht="16.2" outlineLevel="1" x14ac:dyDescent="0.25">
      <c r="A198" s="278" t="str">
        <f t="shared" si="71"/>
        <v>PROPERTY_ENERGY_CERTIFICATENZEB_IND</v>
      </c>
      <c r="B198" s="142" t="s">
        <v>26</v>
      </c>
      <c r="C198" s="138" t="s">
        <v>54</v>
      </c>
      <c r="D198" s="236" t="s">
        <v>40</v>
      </c>
      <c r="E198" s="237" t="s">
        <v>123</v>
      </c>
      <c r="F198" s="237"/>
      <c r="G198" s="236" t="s">
        <v>134</v>
      </c>
      <c r="H198" s="236" t="str">
        <f>VLOOKUP(A198,'2. Status Detalhe Campos'!$A$7:$G$574,7,0)</f>
        <v>6. Em implementação (re-especificação)</v>
      </c>
      <c r="I198" s="280" t="s">
        <v>38</v>
      </c>
      <c r="J198" s="289">
        <v>45638</v>
      </c>
      <c r="K198" s="289"/>
      <c r="L198" s="294">
        <f t="array" ref="L198">MIN(IF(W198:CI198&gt;0,$W$16:$CI$16))</f>
        <v>45603</v>
      </c>
      <c r="M198" s="295">
        <f t="array" ref="M198">MAX(IF(W198:CI198&gt;0,$W$16:$CI$16))</f>
        <v>45603</v>
      </c>
      <c r="N198" s="295"/>
      <c r="O198" s="249">
        <f>VLOOKUP(H198,Auxiliar!$B$16:$E$24,4,0)</f>
        <v>0</v>
      </c>
      <c r="P198" s="323">
        <f t="shared" ca="1" si="75"/>
        <v>1</v>
      </c>
      <c r="Q198" s="248">
        <f t="shared" ca="1" si="72"/>
        <v>-1</v>
      </c>
      <c r="R198" s="265"/>
      <c r="S198" s="296" t="s">
        <v>1951</v>
      </c>
      <c r="T198" s="274">
        <v>4.0999999999999996</v>
      </c>
      <c r="U198" s="274">
        <f t="shared" si="73"/>
        <v>0.5</v>
      </c>
      <c r="V198" s="274">
        <f t="shared" si="76"/>
        <v>0</v>
      </c>
      <c r="W198" s="285"/>
      <c r="X198" s="285"/>
      <c r="Y198" s="285"/>
      <c r="Z198" s="292"/>
      <c r="AA198" s="285"/>
      <c r="AB198" s="285"/>
      <c r="AC198" s="285"/>
      <c r="AD198" s="286"/>
      <c r="AE198" s="292"/>
      <c r="AF198" s="285"/>
      <c r="AG198" s="285"/>
      <c r="AH198" s="285">
        <v>0.5</v>
      </c>
      <c r="AI198" s="293"/>
      <c r="AJ198" s="285"/>
      <c r="AK198" s="285"/>
      <c r="AL198" s="285"/>
      <c r="AM198" s="285"/>
      <c r="AN198" s="285"/>
      <c r="AO198" s="285"/>
      <c r="AP198" s="285"/>
      <c r="AQ198" s="293"/>
      <c r="AR198" s="285"/>
      <c r="AS198" s="285"/>
      <c r="AT198" s="285"/>
      <c r="AU198" s="285"/>
      <c r="AV198" s="285"/>
      <c r="AW198" s="285"/>
      <c r="AX198" s="285"/>
      <c r="AY198" s="285"/>
      <c r="AZ198" s="285"/>
      <c r="BA198" s="285"/>
      <c r="BB198" s="285"/>
      <c r="BC198" s="285"/>
      <c r="BD198" s="285"/>
      <c r="BE198" s="285"/>
      <c r="BF198" s="285"/>
      <c r="BG198" s="287"/>
      <c r="BH198" s="285"/>
      <c r="BI198" s="285"/>
      <c r="BJ198" s="285"/>
      <c r="BK198" s="285"/>
      <c r="BL198" s="285"/>
      <c r="BM198" s="285"/>
      <c r="BN198" s="285"/>
      <c r="BO198" s="286"/>
      <c r="BP198" s="286"/>
      <c r="BQ198" s="286"/>
      <c r="BR198" s="286"/>
      <c r="BS198" s="286"/>
      <c r="BT198" s="286"/>
      <c r="BU198" s="286"/>
      <c r="BV198" s="285"/>
      <c r="BW198" s="285"/>
      <c r="BX198" s="285"/>
      <c r="BY198" s="285"/>
      <c r="BZ198" s="285"/>
      <c r="CA198" s="285"/>
      <c r="CB198" s="285"/>
      <c r="CC198" s="285"/>
      <c r="CD198" s="285"/>
      <c r="CE198" s="285"/>
      <c r="CF198" s="285"/>
      <c r="CG198" s="285"/>
      <c r="CH198" s="285"/>
      <c r="CI198" s="285"/>
    </row>
    <row r="199" spans="1:87" ht="16.2" outlineLevel="1" x14ac:dyDescent="0.25">
      <c r="A199" s="278" t="str">
        <f t="shared" si="71"/>
        <v>PROPERTY_ENERGY_CERTIFICATEACTUAL_VALUE_IND</v>
      </c>
      <c r="B199" s="142" t="s">
        <v>26</v>
      </c>
      <c r="C199" s="138" t="s">
        <v>54</v>
      </c>
      <c r="D199" s="236" t="s">
        <v>40</v>
      </c>
      <c r="E199" s="237" t="s">
        <v>123</v>
      </c>
      <c r="F199" s="237"/>
      <c r="G199" s="236" t="s">
        <v>49</v>
      </c>
      <c r="H199" s="236" t="str">
        <f>VLOOKUP(A199,'2. Status Detalhe Campos'!$A$7:$G$574,7,0)</f>
        <v>6. Em implementação (re-especificação)</v>
      </c>
      <c r="I199" s="280" t="s">
        <v>38</v>
      </c>
      <c r="J199" s="289">
        <v>45638</v>
      </c>
      <c r="K199" s="289"/>
      <c r="L199" s="294">
        <f t="array" ref="L199">MIN(IF(W199:CI199&gt;0,$W$16:$CI$16))</f>
        <v>45603</v>
      </c>
      <c r="M199" s="295">
        <f t="array" ref="M199">MAX(IF(W199:CI199&gt;0,$W$16:$CI$16))</f>
        <v>45603</v>
      </c>
      <c r="N199" s="295"/>
      <c r="O199" s="249">
        <f>VLOOKUP(H199,Auxiliar!$B$16:$E$24,4,0)</f>
        <v>0</v>
      </c>
      <c r="P199" s="323">
        <f t="shared" ca="1" si="75"/>
        <v>1</v>
      </c>
      <c r="Q199" s="248">
        <f t="shared" ca="1" si="72"/>
        <v>-1</v>
      </c>
      <c r="R199" s="265"/>
      <c r="S199" s="296" t="s">
        <v>1951</v>
      </c>
      <c r="T199" s="274">
        <v>4.0999999999999996</v>
      </c>
      <c r="U199" s="274">
        <f t="shared" si="73"/>
        <v>0.5</v>
      </c>
      <c r="V199" s="274">
        <f t="shared" si="76"/>
        <v>0</v>
      </c>
      <c r="W199" s="285"/>
      <c r="X199" s="285"/>
      <c r="Y199" s="285"/>
      <c r="Z199" s="292"/>
      <c r="AA199" s="285"/>
      <c r="AB199" s="285"/>
      <c r="AC199" s="285"/>
      <c r="AD199" s="286"/>
      <c r="AE199" s="292"/>
      <c r="AF199" s="285"/>
      <c r="AG199" s="285"/>
      <c r="AH199" s="285">
        <v>0.5</v>
      </c>
      <c r="AI199" s="293"/>
      <c r="AJ199" s="285"/>
      <c r="AK199" s="285"/>
      <c r="AL199" s="285"/>
      <c r="AM199" s="285"/>
      <c r="AN199" s="285"/>
      <c r="AO199" s="285"/>
      <c r="AP199" s="285"/>
      <c r="AQ199" s="293"/>
      <c r="AR199" s="285"/>
      <c r="AS199" s="285"/>
      <c r="AT199" s="285"/>
      <c r="AU199" s="285"/>
      <c r="AV199" s="285"/>
      <c r="AW199" s="285"/>
      <c r="AX199" s="285"/>
      <c r="AY199" s="285"/>
      <c r="AZ199" s="285"/>
      <c r="BA199" s="285"/>
      <c r="BB199" s="285"/>
      <c r="BC199" s="285"/>
      <c r="BD199" s="285"/>
      <c r="BE199" s="285"/>
      <c r="BF199" s="285"/>
      <c r="BG199" s="287"/>
      <c r="BH199" s="285"/>
      <c r="BI199" s="285"/>
      <c r="BJ199" s="285"/>
      <c r="BK199" s="285"/>
      <c r="BL199" s="285"/>
      <c r="BM199" s="285"/>
      <c r="BN199" s="285"/>
      <c r="BO199" s="286"/>
      <c r="BP199" s="286"/>
      <c r="BQ199" s="286"/>
      <c r="BR199" s="286"/>
      <c r="BS199" s="286"/>
      <c r="BT199" s="286"/>
      <c r="BU199" s="286"/>
      <c r="BV199" s="285"/>
      <c r="BW199" s="285"/>
      <c r="BX199" s="285"/>
      <c r="BY199" s="285"/>
      <c r="BZ199" s="285"/>
      <c r="CA199" s="285"/>
      <c r="CB199" s="285"/>
      <c r="CC199" s="285"/>
      <c r="CD199" s="285"/>
      <c r="CE199" s="285"/>
      <c r="CF199" s="285"/>
      <c r="CG199" s="285"/>
      <c r="CH199" s="285"/>
      <c r="CI199" s="285"/>
    </row>
    <row r="200" spans="1:87" ht="16.2" outlineLevel="1" x14ac:dyDescent="0.25">
      <c r="A200" s="278" t="str">
        <f t="shared" si="71"/>
        <v>PROPERTY_ENERGY_CERTIFICATESOURCE_CODE</v>
      </c>
      <c r="B200" s="142" t="s">
        <v>26</v>
      </c>
      <c r="C200" s="138" t="s">
        <v>54</v>
      </c>
      <c r="D200" s="236" t="s">
        <v>40</v>
      </c>
      <c r="E200" s="237" t="s">
        <v>123</v>
      </c>
      <c r="F200" s="237"/>
      <c r="G200" s="236" t="s">
        <v>87</v>
      </c>
      <c r="H200" s="236" t="str">
        <f>VLOOKUP(A200,'2. Status Detalhe Campos'!$A$7:$G$574,7,0)</f>
        <v>6. Em implementação (re-especificação)</v>
      </c>
      <c r="I200" s="280" t="s">
        <v>38</v>
      </c>
      <c r="J200" s="289">
        <v>45638</v>
      </c>
      <c r="K200" s="289"/>
      <c r="L200" s="294">
        <f t="array" ref="L200">MIN(IF(W200:CI200&gt;0,$W$16:$CI$16))</f>
        <v>45603</v>
      </c>
      <c r="M200" s="295">
        <f t="array" ref="M200">MAX(IF(W200:CI200&gt;0,$W$16:$CI$16))</f>
        <v>45603</v>
      </c>
      <c r="N200" s="295"/>
      <c r="O200" s="249">
        <f>VLOOKUP(H200,Auxiliar!$B$16:$E$24,4,0)</f>
        <v>0</v>
      </c>
      <c r="P200" s="323">
        <f t="shared" ca="1" si="75"/>
        <v>1</v>
      </c>
      <c r="Q200" s="248">
        <f t="shared" ca="1" si="72"/>
        <v>-1</v>
      </c>
      <c r="R200" s="265"/>
      <c r="S200" s="296" t="s">
        <v>1951</v>
      </c>
      <c r="T200" s="274">
        <v>4.0999999999999996</v>
      </c>
      <c r="U200" s="274">
        <f t="shared" si="73"/>
        <v>0.5</v>
      </c>
      <c r="V200" s="274">
        <f t="shared" si="76"/>
        <v>0</v>
      </c>
      <c r="W200" s="285"/>
      <c r="X200" s="285"/>
      <c r="Y200" s="285"/>
      <c r="Z200" s="292"/>
      <c r="AA200" s="285"/>
      <c r="AB200" s="285"/>
      <c r="AC200" s="285"/>
      <c r="AD200" s="286"/>
      <c r="AE200" s="292"/>
      <c r="AF200" s="297"/>
      <c r="AG200" s="285"/>
      <c r="AH200" s="285">
        <v>0.5</v>
      </c>
      <c r="AI200" s="293"/>
      <c r="AJ200" s="285"/>
      <c r="AK200" s="285"/>
      <c r="AL200" s="285"/>
      <c r="AM200" s="285"/>
      <c r="AN200" s="285"/>
      <c r="AO200" s="285"/>
      <c r="AP200" s="285"/>
      <c r="AQ200" s="293"/>
      <c r="AR200" s="285"/>
      <c r="AS200" s="285"/>
      <c r="AT200" s="285"/>
      <c r="AU200" s="285"/>
      <c r="AV200" s="285"/>
      <c r="AW200" s="285"/>
      <c r="AX200" s="285"/>
      <c r="AY200" s="285"/>
      <c r="AZ200" s="285"/>
      <c r="BA200" s="285"/>
      <c r="BB200" s="285"/>
      <c r="BC200" s="285"/>
      <c r="BD200" s="285"/>
      <c r="BE200" s="285"/>
      <c r="BF200" s="285"/>
      <c r="BG200" s="287"/>
      <c r="BH200" s="285"/>
      <c r="BI200" s="285"/>
      <c r="BJ200" s="285"/>
      <c r="BK200" s="285"/>
      <c r="BL200" s="285"/>
      <c r="BM200" s="285"/>
      <c r="BN200" s="285"/>
      <c r="BO200" s="286"/>
      <c r="BP200" s="286"/>
      <c r="BQ200" s="286"/>
      <c r="BR200" s="286"/>
      <c r="BS200" s="286"/>
      <c r="BT200" s="286"/>
      <c r="BU200" s="286"/>
      <c r="BV200" s="285"/>
      <c r="BW200" s="285"/>
      <c r="BX200" s="285"/>
      <c r="BY200" s="285"/>
      <c r="BZ200" s="285"/>
      <c r="CA200" s="285"/>
      <c r="CB200" s="285"/>
      <c r="CC200" s="285"/>
      <c r="CD200" s="285"/>
      <c r="CE200" s="285"/>
      <c r="CF200" s="285"/>
      <c r="CG200" s="285"/>
      <c r="CH200" s="285"/>
      <c r="CI200" s="285"/>
    </row>
    <row r="201" spans="1:87" ht="16.2" outlineLevel="1" x14ac:dyDescent="0.25">
      <c r="A201" s="278" t="str">
        <f t="shared" si="71"/>
        <v>PROPERTY_ENERGY_CERTIFICATECERTIFICATE_TYPE</v>
      </c>
      <c r="B201" s="142" t="s">
        <v>26</v>
      </c>
      <c r="C201" s="138" t="s">
        <v>54</v>
      </c>
      <c r="D201" s="236" t="s">
        <v>40</v>
      </c>
      <c r="E201" s="237" t="s">
        <v>123</v>
      </c>
      <c r="F201" s="237"/>
      <c r="G201" s="236" t="s">
        <v>136</v>
      </c>
      <c r="H201" s="236" t="str">
        <f>VLOOKUP(A201,'2. Status Detalhe Campos'!$A$7:$G$574,7,0)</f>
        <v>6. Em implementação (re-especificação)</v>
      </c>
      <c r="I201" s="280" t="s">
        <v>38</v>
      </c>
      <c r="J201" s="289">
        <v>45638</v>
      </c>
      <c r="K201" s="289"/>
      <c r="L201" s="294">
        <f t="array" ref="L201">MIN(IF(W201:CI201&gt;0,$W$16:$CI$16))</f>
        <v>45603</v>
      </c>
      <c r="M201" s="295">
        <f t="array" ref="M201">MAX(IF(W201:CI201&gt;0,$W$16:$CI$16))</f>
        <v>45603</v>
      </c>
      <c r="N201" s="295"/>
      <c r="O201" s="249">
        <f>VLOOKUP(H201,Auxiliar!$B$16:$E$24,4,0)</f>
        <v>0</v>
      </c>
      <c r="P201" s="323">
        <f t="shared" ca="1" si="75"/>
        <v>1</v>
      </c>
      <c r="Q201" s="248">
        <f t="shared" ca="1" si="72"/>
        <v>-1</v>
      </c>
      <c r="R201" s="265"/>
      <c r="S201" s="296" t="s">
        <v>1951</v>
      </c>
      <c r="T201" s="274">
        <v>4.0999999999999996</v>
      </c>
      <c r="U201" s="274">
        <f t="shared" si="73"/>
        <v>0.5</v>
      </c>
      <c r="V201" s="274">
        <f t="shared" si="76"/>
        <v>0</v>
      </c>
      <c r="W201" s="285"/>
      <c r="X201" s="285"/>
      <c r="Y201" s="285"/>
      <c r="Z201" s="292"/>
      <c r="AA201" s="285"/>
      <c r="AB201" s="285"/>
      <c r="AC201" s="285"/>
      <c r="AD201" s="286"/>
      <c r="AE201" s="292"/>
      <c r="AF201" s="285"/>
      <c r="AG201" s="285"/>
      <c r="AH201" s="285">
        <v>0.5</v>
      </c>
      <c r="AI201" s="293"/>
      <c r="AJ201" s="285"/>
      <c r="AK201" s="285"/>
      <c r="AL201" s="285"/>
      <c r="AM201" s="285"/>
      <c r="AN201" s="285"/>
      <c r="AO201" s="285"/>
      <c r="AP201" s="285"/>
      <c r="AQ201" s="293"/>
      <c r="AR201" s="285"/>
      <c r="AS201" s="285"/>
      <c r="AT201" s="285"/>
      <c r="AU201" s="285"/>
      <c r="AV201" s="285"/>
      <c r="AW201" s="285"/>
      <c r="AX201" s="285"/>
      <c r="AY201" s="285"/>
      <c r="AZ201" s="285"/>
      <c r="BA201" s="285"/>
      <c r="BB201" s="285"/>
      <c r="BC201" s="285"/>
      <c r="BD201" s="285"/>
      <c r="BE201" s="285"/>
      <c r="BF201" s="285"/>
      <c r="BG201" s="287"/>
      <c r="BH201" s="285"/>
      <c r="BI201" s="285"/>
      <c r="BJ201" s="285"/>
      <c r="BK201" s="285"/>
      <c r="BL201" s="285"/>
      <c r="BM201" s="285"/>
      <c r="BN201" s="285"/>
      <c r="BO201" s="286"/>
      <c r="BP201" s="286"/>
      <c r="BQ201" s="286"/>
      <c r="BR201" s="286"/>
      <c r="BS201" s="286"/>
      <c r="BT201" s="286"/>
      <c r="BU201" s="286"/>
      <c r="BV201" s="285"/>
      <c r="BW201" s="285"/>
      <c r="BX201" s="285"/>
      <c r="BY201" s="285"/>
      <c r="BZ201" s="285"/>
      <c r="CA201" s="285"/>
      <c r="CB201" s="285"/>
      <c r="CC201" s="285"/>
      <c r="CD201" s="285"/>
      <c r="CE201" s="285"/>
      <c r="CF201" s="285"/>
      <c r="CG201" s="285"/>
      <c r="CH201" s="285"/>
      <c r="CI201" s="285"/>
    </row>
    <row r="202" spans="1:87" ht="16.2" outlineLevel="1" x14ac:dyDescent="0.25">
      <c r="A202" s="278" t="str">
        <f t="shared" si="71"/>
        <v>PROPERTY_ENERGY_CERTIFICATEENERGY_CONSUMPTION_VALUE_YEAR</v>
      </c>
      <c r="B202" s="142" t="s">
        <v>26</v>
      </c>
      <c r="C202" s="138" t="s">
        <v>54</v>
      </c>
      <c r="D202" s="236" t="s">
        <v>40</v>
      </c>
      <c r="E202" s="237" t="s">
        <v>123</v>
      </c>
      <c r="F202" s="237"/>
      <c r="G202" s="236" t="s">
        <v>51</v>
      </c>
      <c r="H202" s="236" t="str">
        <f>VLOOKUP(A202,'2. Status Detalhe Campos'!$A$7:$G$574,7,0)</f>
        <v>6. Em implementação (re-especificação)</v>
      </c>
      <c r="I202" s="280" t="s">
        <v>38</v>
      </c>
      <c r="J202" s="289">
        <v>45638</v>
      </c>
      <c r="K202" s="289"/>
      <c r="L202" s="294">
        <f t="array" ref="L202">MIN(IF(W202:CI202&gt;0,$W$16:$CI$16))</f>
        <v>45600</v>
      </c>
      <c r="M202" s="295">
        <f t="array" ref="M202">MAX(IF(W202:CI202&gt;0,$W$16:$CI$16))</f>
        <v>45600</v>
      </c>
      <c r="N202" s="295"/>
      <c r="O202" s="249">
        <f>VLOOKUP(H202,Auxiliar!$B$16:$E$24,4,0)</f>
        <v>0</v>
      </c>
      <c r="P202" s="323">
        <f t="shared" ca="1" si="75"/>
        <v>1</v>
      </c>
      <c r="Q202" s="248">
        <f t="shared" ca="1" si="72"/>
        <v>-1</v>
      </c>
      <c r="R202" s="265"/>
      <c r="S202" s="296" t="s">
        <v>1951</v>
      </c>
      <c r="T202" s="274">
        <v>4.0999999999999996</v>
      </c>
      <c r="U202" s="274">
        <f t="shared" si="73"/>
        <v>0.5</v>
      </c>
      <c r="V202" s="274">
        <f t="shared" si="76"/>
        <v>0</v>
      </c>
      <c r="W202" s="285"/>
      <c r="X202" s="285"/>
      <c r="Y202" s="285"/>
      <c r="Z202" s="292"/>
      <c r="AA202" s="285"/>
      <c r="AB202" s="285"/>
      <c r="AC202" s="285"/>
      <c r="AD202" s="286"/>
      <c r="AE202" s="292">
        <v>0.5</v>
      </c>
      <c r="AF202" s="285"/>
      <c r="AG202" s="285"/>
      <c r="AH202" s="285"/>
      <c r="AI202" s="293"/>
      <c r="AJ202" s="285"/>
      <c r="AK202" s="285"/>
      <c r="AL202" s="285"/>
      <c r="AM202" s="285"/>
      <c r="AN202" s="285"/>
      <c r="AO202" s="285"/>
      <c r="AP202" s="285"/>
      <c r="AQ202" s="293"/>
      <c r="AR202" s="285"/>
      <c r="AS202" s="285"/>
      <c r="AT202" s="285"/>
      <c r="AU202" s="285"/>
      <c r="AV202" s="285"/>
      <c r="AW202" s="285"/>
      <c r="AX202" s="285"/>
      <c r="AY202" s="285"/>
      <c r="AZ202" s="285"/>
      <c r="BA202" s="285"/>
      <c r="BB202" s="285"/>
      <c r="BC202" s="285"/>
      <c r="BD202" s="285"/>
      <c r="BE202" s="285"/>
      <c r="BF202" s="285"/>
      <c r="BG202" s="287"/>
      <c r="BH202" s="285"/>
      <c r="BI202" s="285"/>
      <c r="BJ202" s="285"/>
      <c r="BK202" s="285"/>
      <c r="BL202" s="285"/>
      <c r="BM202" s="285"/>
      <c r="BN202" s="285"/>
      <c r="BO202" s="286"/>
      <c r="BP202" s="286"/>
      <c r="BQ202" s="286"/>
      <c r="BR202" s="286"/>
      <c r="BS202" s="286"/>
      <c r="BT202" s="286"/>
      <c r="BU202" s="286"/>
      <c r="BV202" s="285"/>
      <c r="BW202" s="285"/>
      <c r="BX202" s="285"/>
      <c r="BY202" s="285"/>
      <c r="BZ202" s="285"/>
      <c r="CA202" s="285"/>
      <c r="CB202" s="285"/>
      <c r="CC202" s="285"/>
      <c r="CD202" s="285"/>
      <c r="CE202" s="285"/>
      <c r="CF202" s="285"/>
      <c r="CG202" s="285"/>
      <c r="CH202" s="285"/>
      <c r="CI202" s="285"/>
    </row>
    <row r="203" spans="1:87" ht="16.2" outlineLevel="1" x14ac:dyDescent="0.25">
      <c r="A203" s="278" t="str">
        <f t="shared" si="71"/>
        <v>PROPERTY_ENERGY_CERTIFICATECARBON_EMISSION_VALUE_YEAR</v>
      </c>
      <c r="B203" s="142" t="s">
        <v>26</v>
      </c>
      <c r="C203" s="138" t="s">
        <v>54</v>
      </c>
      <c r="D203" s="236" t="s">
        <v>40</v>
      </c>
      <c r="E203" s="237" t="s">
        <v>123</v>
      </c>
      <c r="F203" s="237"/>
      <c r="G203" s="236" t="s">
        <v>52</v>
      </c>
      <c r="H203" s="236" t="str">
        <f>VLOOKUP(A203,'2. Status Detalhe Campos'!$A$7:$G$574,7,0)</f>
        <v>6. Em implementação (re-especificação)</v>
      </c>
      <c r="I203" s="280" t="s">
        <v>38</v>
      </c>
      <c r="J203" s="289">
        <v>45638</v>
      </c>
      <c r="K203" s="289"/>
      <c r="L203" s="294">
        <f t="array" ref="L203">MIN(IF(W203:CI203&gt;0,$W$16:$CI$16))</f>
        <v>45600</v>
      </c>
      <c r="M203" s="295">
        <f t="array" ref="M203">MAX(IF(W203:CI203&gt;0,$W$16:$CI$16))</f>
        <v>45600</v>
      </c>
      <c r="N203" s="295"/>
      <c r="O203" s="249">
        <f>VLOOKUP(H203,Auxiliar!$B$16:$E$24,4,0)</f>
        <v>0</v>
      </c>
      <c r="P203" s="323">
        <f t="shared" ca="1" si="75"/>
        <v>1</v>
      </c>
      <c r="Q203" s="248">
        <f t="shared" ca="1" si="72"/>
        <v>-1</v>
      </c>
      <c r="R203" s="265"/>
      <c r="S203" s="296" t="s">
        <v>1951</v>
      </c>
      <c r="T203" s="274">
        <v>4.0999999999999996</v>
      </c>
      <c r="U203" s="274">
        <f t="shared" si="73"/>
        <v>0.5</v>
      </c>
      <c r="V203" s="274">
        <f t="shared" si="76"/>
        <v>0</v>
      </c>
      <c r="W203" s="285"/>
      <c r="X203" s="285"/>
      <c r="Y203" s="285"/>
      <c r="Z203" s="292"/>
      <c r="AA203" s="285"/>
      <c r="AB203" s="285"/>
      <c r="AC203" s="285"/>
      <c r="AD203" s="286"/>
      <c r="AE203" s="292">
        <v>0.5</v>
      </c>
      <c r="AF203" s="285"/>
      <c r="AG203" s="285"/>
      <c r="AH203" s="285"/>
      <c r="AI203" s="293"/>
      <c r="AJ203" s="285"/>
      <c r="AK203" s="285"/>
      <c r="AL203" s="285"/>
      <c r="AM203" s="285"/>
      <c r="AN203" s="285"/>
      <c r="AO203" s="285"/>
      <c r="AP203" s="285"/>
      <c r="AQ203" s="293"/>
      <c r="AR203" s="285"/>
      <c r="AS203" s="285"/>
      <c r="AT203" s="285"/>
      <c r="AU203" s="285"/>
      <c r="AV203" s="285"/>
      <c r="AW203" s="285"/>
      <c r="AX203" s="285"/>
      <c r="AY203" s="285"/>
      <c r="AZ203" s="285"/>
      <c r="BA203" s="285"/>
      <c r="BB203" s="285"/>
      <c r="BC203" s="285"/>
      <c r="BD203" s="285"/>
      <c r="BE203" s="285"/>
      <c r="BF203" s="285"/>
      <c r="BG203" s="287"/>
      <c r="BH203" s="285"/>
      <c r="BI203" s="285"/>
      <c r="BJ203" s="285"/>
      <c r="BK203" s="285"/>
      <c r="BL203" s="285"/>
      <c r="BM203" s="285"/>
      <c r="BN203" s="285"/>
      <c r="BO203" s="286"/>
      <c r="BP203" s="286"/>
      <c r="BQ203" s="286"/>
      <c r="BR203" s="286"/>
      <c r="BS203" s="286"/>
      <c r="BT203" s="286"/>
      <c r="BU203" s="286"/>
      <c r="BV203" s="285"/>
      <c r="BW203" s="285"/>
      <c r="BX203" s="285"/>
      <c r="BY203" s="285"/>
      <c r="BZ203" s="285"/>
      <c r="CA203" s="285"/>
      <c r="CB203" s="285"/>
      <c r="CC203" s="285"/>
      <c r="CD203" s="285"/>
      <c r="CE203" s="285"/>
      <c r="CF203" s="285"/>
      <c r="CG203" s="285"/>
      <c r="CH203" s="285"/>
      <c r="CI203" s="285"/>
    </row>
    <row r="204" spans="1:87" ht="16.2" outlineLevel="1" x14ac:dyDescent="0.25">
      <c r="A204" s="278" t="str">
        <f t="shared" si="71"/>
        <v>PROPERTY_ENERGY_CERTIFICATEREN_ENERGY_PRODUCED_VALUE</v>
      </c>
      <c r="B204" s="142" t="s">
        <v>26</v>
      </c>
      <c r="C204" s="138" t="s">
        <v>54</v>
      </c>
      <c r="D204" s="236" t="s">
        <v>40</v>
      </c>
      <c r="E204" s="237" t="s">
        <v>123</v>
      </c>
      <c r="F204" s="237"/>
      <c r="G204" s="236" t="s">
        <v>160</v>
      </c>
      <c r="H204" s="236" t="str">
        <f>VLOOKUP(A204,'2. Status Detalhe Campos'!$A$7:$G$574,7,0)</f>
        <v>6. Em implementação (re-especificação)</v>
      </c>
      <c r="I204" s="280" t="s">
        <v>38</v>
      </c>
      <c r="J204" s="289">
        <v>45638</v>
      </c>
      <c r="K204" s="289"/>
      <c r="L204" s="294">
        <f t="array" ref="L204">MIN(IF(W204:CI204&gt;0,$W$16:$CI$16))</f>
        <v>45600</v>
      </c>
      <c r="M204" s="295">
        <f t="array" ref="M204">MAX(IF(W204:CI204&gt;0,$W$16:$CI$16))</f>
        <v>45600</v>
      </c>
      <c r="N204" s="295"/>
      <c r="O204" s="249">
        <f>VLOOKUP(H204,Auxiliar!$B$16:$E$24,4,0)</f>
        <v>0</v>
      </c>
      <c r="P204" s="323">
        <f t="shared" ca="1" si="75"/>
        <v>1</v>
      </c>
      <c r="Q204" s="248">
        <f t="shared" ca="1" si="72"/>
        <v>-1</v>
      </c>
      <c r="R204" s="265"/>
      <c r="S204" s="296" t="s">
        <v>1951</v>
      </c>
      <c r="T204" s="274">
        <v>4.0999999999999996</v>
      </c>
      <c r="U204" s="274">
        <f t="shared" si="73"/>
        <v>0.5</v>
      </c>
      <c r="V204" s="274">
        <f t="shared" si="76"/>
        <v>0</v>
      </c>
      <c r="W204" s="285"/>
      <c r="X204" s="285"/>
      <c r="Y204" s="285"/>
      <c r="Z204" s="292"/>
      <c r="AA204" s="285"/>
      <c r="AB204" s="285"/>
      <c r="AC204" s="285"/>
      <c r="AD204" s="286"/>
      <c r="AE204" s="292">
        <v>0.5</v>
      </c>
      <c r="AF204" s="285"/>
      <c r="AG204" s="285"/>
      <c r="AH204" s="285"/>
      <c r="AI204" s="293"/>
      <c r="AJ204" s="285"/>
      <c r="AK204" s="285"/>
      <c r="AL204" s="285"/>
      <c r="AM204" s="285"/>
      <c r="AN204" s="285"/>
      <c r="AO204" s="285"/>
      <c r="AP204" s="285"/>
      <c r="AQ204" s="293"/>
      <c r="AR204" s="285"/>
      <c r="AS204" s="285"/>
      <c r="AT204" s="285"/>
      <c r="AU204" s="285"/>
      <c r="AV204" s="285"/>
      <c r="AW204" s="285"/>
      <c r="AX204" s="285"/>
      <c r="AY204" s="285"/>
      <c r="AZ204" s="285"/>
      <c r="BA204" s="285"/>
      <c r="BB204" s="285"/>
      <c r="BC204" s="285"/>
      <c r="BD204" s="285"/>
      <c r="BE204" s="285"/>
      <c r="BF204" s="285"/>
      <c r="BG204" s="287"/>
      <c r="BH204" s="285"/>
      <c r="BI204" s="285"/>
      <c r="BJ204" s="285"/>
      <c r="BK204" s="285"/>
      <c r="BL204" s="285"/>
      <c r="BM204" s="285"/>
      <c r="BN204" s="285"/>
      <c r="BO204" s="286"/>
      <c r="BP204" s="286"/>
      <c r="BQ204" s="286"/>
      <c r="BR204" s="286"/>
      <c r="BS204" s="286"/>
      <c r="BT204" s="286"/>
      <c r="BU204" s="286"/>
      <c r="BV204" s="285"/>
      <c r="BW204" s="285"/>
      <c r="BX204" s="285"/>
      <c r="BY204" s="285"/>
      <c r="BZ204" s="285"/>
      <c r="CA204" s="285"/>
      <c r="CB204" s="285"/>
      <c r="CC204" s="285"/>
      <c r="CD204" s="285"/>
      <c r="CE204" s="285"/>
      <c r="CF204" s="285"/>
      <c r="CG204" s="285"/>
      <c r="CH204" s="285"/>
      <c r="CI204" s="285"/>
    </row>
    <row r="205" spans="1:87" ht="16.2" outlineLevel="1" x14ac:dyDescent="0.25">
      <c r="A205" s="278" t="str">
        <f t="shared" si="71"/>
        <v>PROPERTY_ENERGY_CERTIFICATEPRIMARY_ENERGY_REQ_VALUE</v>
      </c>
      <c r="B205" s="142" t="s">
        <v>26</v>
      </c>
      <c r="C205" s="138" t="s">
        <v>54</v>
      </c>
      <c r="D205" s="236" t="s">
        <v>40</v>
      </c>
      <c r="E205" s="237" t="s">
        <v>123</v>
      </c>
      <c r="F205" s="237"/>
      <c r="G205" s="236" t="s">
        <v>164</v>
      </c>
      <c r="H205" s="236" t="str">
        <f>VLOOKUP(A205,'2. Status Detalhe Campos'!$A$7:$G$574,7,0)</f>
        <v>6. Em implementação (re-especificação)</v>
      </c>
      <c r="I205" s="280" t="s">
        <v>38</v>
      </c>
      <c r="J205" s="289">
        <v>45638</v>
      </c>
      <c r="K205" s="289"/>
      <c r="L205" s="294">
        <f t="array" ref="L205">MIN(IF(W205:CI205&gt;0,$W$16:$CI$16))</f>
        <v>45600</v>
      </c>
      <c r="M205" s="295">
        <f t="array" ref="M205">MAX(IF(W205:CI205&gt;0,$W$16:$CI$16))</f>
        <v>45600</v>
      </c>
      <c r="N205" s="295"/>
      <c r="O205" s="249">
        <f>VLOOKUP(H205,Auxiliar!$B$16:$E$24,4,0)</f>
        <v>0</v>
      </c>
      <c r="P205" s="323">
        <f t="shared" ca="1" si="75"/>
        <v>1</v>
      </c>
      <c r="Q205" s="248">
        <f t="shared" ca="1" si="72"/>
        <v>-1</v>
      </c>
      <c r="R205" s="265"/>
      <c r="S205" s="296" t="s">
        <v>1951</v>
      </c>
      <c r="T205" s="274">
        <v>4.0999999999999996</v>
      </c>
      <c r="U205" s="274">
        <f t="shared" si="73"/>
        <v>0.5</v>
      </c>
      <c r="V205" s="274">
        <f t="shared" si="76"/>
        <v>0</v>
      </c>
      <c r="W205" s="285"/>
      <c r="X205" s="285"/>
      <c r="Y205" s="285"/>
      <c r="Z205" s="292"/>
      <c r="AA205" s="285"/>
      <c r="AB205" s="285"/>
      <c r="AC205" s="285"/>
      <c r="AD205" s="286"/>
      <c r="AE205" s="292">
        <v>0.5</v>
      </c>
      <c r="AF205" s="285"/>
      <c r="AG205" s="285"/>
      <c r="AH205" s="285"/>
      <c r="AI205" s="293"/>
      <c r="AJ205" s="285"/>
      <c r="AK205" s="285"/>
      <c r="AL205" s="285"/>
      <c r="AM205" s="285"/>
      <c r="AN205" s="285"/>
      <c r="AO205" s="285"/>
      <c r="AP205" s="285"/>
      <c r="AQ205" s="293"/>
      <c r="AR205" s="285"/>
      <c r="AS205" s="285"/>
      <c r="AT205" s="285"/>
      <c r="AU205" s="285"/>
      <c r="AV205" s="285"/>
      <c r="AW205" s="285"/>
      <c r="AX205" s="285"/>
      <c r="AY205" s="285"/>
      <c r="AZ205" s="285"/>
      <c r="BA205" s="285"/>
      <c r="BB205" s="285"/>
      <c r="BC205" s="285"/>
      <c r="BD205" s="285"/>
      <c r="BE205" s="285"/>
      <c r="BF205" s="285"/>
      <c r="BG205" s="287"/>
      <c r="BH205" s="285"/>
      <c r="BI205" s="285"/>
      <c r="BJ205" s="285"/>
      <c r="BK205" s="285"/>
      <c r="BL205" s="285"/>
      <c r="BM205" s="285"/>
      <c r="BN205" s="285"/>
      <c r="BO205" s="286"/>
      <c r="BP205" s="286"/>
      <c r="BQ205" s="286"/>
      <c r="BR205" s="286"/>
      <c r="BS205" s="286"/>
      <c r="BT205" s="286"/>
      <c r="BU205" s="286"/>
      <c r="BV205" s="285"/>
      <c r="BW205" s="285"/>
      <c r="BX205" s="285"/>
      <c r="BY205" s="285"/>
      <c r="BZ205" s="285"/>
      <c r="CA205" s="285"/>
      <c r="CB205" s="285"/>
      <c r="CC205" s="285"/>
      <c r="CD205" s="285"/>
      <c r="CE205" s="285"/>
      <c r="CF205" s="285"/>
      <c r="CG205" s="285"/>
      <c r="CH205" s="285"/>
      <c r="CI205" s="285"/>
    </row>
    <row r="206" spans="1:87" ht="16.2" outlineLevel="1" x14ac:dyDescent="0.25">
      <c r="A206" s="278" t="str">
        <f t="shared" si="71"/>
        <v>PROPERTY_ENERGY_CERTIFICATENET_FLOOR_AREA</v>
      </c>
      <c r="B206" s="142" t="s">
        <v>26</v>
      </c>
      <c r="C206" s="138" t="s">
        <v>54</v>
      </c>
      <c r="D206" s="236" t="s">
        <v>40</v>
      </c>
      <c r="E206" s="237" t="s">
        <v>123</v>
      </c>
      <c r="F206" s="237"/>
      <c r="G206" s="236" t="s">
        <v>97</v>
      </c>
      <c r="H206" s="236" t="str">
        <f>VLOOKUP(A206,'2. Status Detalhe Campos'!$A$7:$G$574,7,0)</f>
        <v>6. Em implementação (re-especificação)</v>
      </c>
      <c r="I206" s="280" t="s">
        <v>38</v>
      </c>
      <c r="J206" s="289">
        <v>45638</v>
      </c>
      <c r="K206" s="289"/>
      <c r="L206" s="294">
        <f t="array" ref="L206">MIN(IF(W206:CI206&gt;0,$W$16:$CI$16))</f>
        <v>45607</v>
      </c>
      <c r="M206" s="295">
        <f t="array" ref="M206">MAX(IF(W206:CI206&gt;0,$W$16:$CI$16))</f>
        <v>45607</v>
      </c>
      <c r="N206" s="295"/>
      <c r="O206" s="249">
        <f>VLOOKUP(H206,Auxiliar!$B$16:$E$24,4,0)</f>
        <v>0</v>
      </c>
      <c r="P206" s="323">
        <f t="shared" ca="1" si="75"/>
        <v>1</v>
      </c>
      <c r="Q206" s="248">
        <f t="shared" ca="1" si="72"/>
        <v>-1</v>
      </c>
      <c r="R206" s="265"/>
      <c r="S206" s="296" t="s">
        <v>1951</v>
      </c>
      <c r="T206" s="274">
        <v>4.0999999999999996</v>
      </c>
      <c r="U206" s="274">
        <f t="shared" si="73"/>
        <v>0.5</v>
      </c>
      <c r="V206" s="274">
        <f t="shared" si="76"/>
        <v>0</v>
      </c>
      <c r="W206" s="285"/>
      <c r="X206" s="285"/>
      <c r="Y206" s="285"/>
      <c r="Z206" s="292"/>
      <c r="AA206" s="285"/>
      <c r="AB206" s="285"/>
      <c r="AC206" s="285"/>
      <c r="AD206" s="286"/>
      <c r="AE206" s="292"/>
      <c r="AF206" s="285"/>
      <c r="AG206" s="285"/>
      <c r="AH206" s="285"/>
      <c r="AI206" s="293"/>
      <c r="AJ206" s="285">
        <v>0.5</v>
      </c>
      <c r="AK206" s="285"/>
      <c r="AL206" s="285"/>
      <c r="AM206" s="285"/>
      <c r="AN206" s="285"/>
      <c r="AO206" s="285"/>
      <c r="AP206" s="285"/>
      <c r="AQ206" s="293"/>
      <c r="AR206" s="285"/>
      <c r="AS206" s="285"/>
      <c r="AT206" s="285"/>
      <c r="AU206" s="285"/>
      <c r="AV206" s="285"/>
      <c r="AW206" s="285"/>
      <c r="AX206" s="285"/>
      <c r="AY206" s="285"/>
      <c r="AZ206" s="285"/>
      <c r="BA206" s="285"/>
      <c r="BB206" s="285"/>
      <c r="BC206" s="285"/>
      <c r="BD206" s="285"/>
      <c r="BE206" s="285"/>
      <c r="BF206" s="285"/>
      <c r="BG206" s="287"/>
      <c r="BH206" s="285"/>
      <c r="BI206" s="285"/>
      <c r="BJ206" s="285"/>
      <c r="BK206" s="285"/>
      <c r="BL206" s="285"/>
      <c r="BM206" s="285"/>
      <c r="BN206" s="285"/>
      <c r="BO206" s="286"/>
      <c r="BP206" s="286"/>
      <c r="BQ206" s="286"/>
      <c r="BR206" s="286"/>
      <c r="BS206" s="286"/>
      <c r="BT206" s="286"/>
      <c r="BU206" s="286"/>
      <c r="BV206" s="285"/>
      <c r="BW206" s="285"/>
      <c r="BX206" s="285"/>
      <c r="BY206" s="285"/>
      <c r="BZ206" s="285"/>
      <c r="CA206" s="285"/>
      <c r="CB206" s="285"/>
      <c r="CC206" s="285"/>
      <c r="CD206" s="285"/>
      <c r="CE206" s="285"/>
      <c r="CF206" s="285"/>
      <c r="CG206" s="285"/>
      <c r="CH206" s="285"/>
      <c r="CI206" s="285"/>
    </row>
    <row r="207" spans="1:87" ht="16.2" outlineLevel="1" x14ac:dyDescent="0.25">
      <c r="A207" s="278" t="str">
        <f t="shared" si="71"/>
        <v>PROPERTY_ENERGY_CERTIFICATECADASTRAL_REGISTER_CODE</v>
      </c>
      <c r="B207" s="142" t="s">
        <v>26</v>
      </c>
      <c r="C207" s="138" t="s">
        <v>54</v>
      </c>
      <c r="D207" s="236" t="s">
        <v>40</v>
      </c>
      <c r="E207" s="237" t="s">
        <v>123</v>
      </c>
      <c r="F207" s="237"/>
      <c r="G207" s="236" t="s">
        <v>98</v>
      </c>
      <c r="H207" s="236" t="str">
        <f>VLOOKUP(A207,'2. Status Detalhe Campos'!$A$7:$G$574,7,0)</f>
        <v>6. Em implementação (re-especificação)</v>
      </c>
      <c r="I207" s="280" t="s">
        <v>38</v>
      </c>
      <c r="J207" s="289">
        <v>45638</v>
      </c>
      <c r="K207" s="289"/>
      <c r="L207" s="294">
        <f t="array" ref="L207">MIN(IF(W207:CI207&gt;0,$W$16:$CI$16))</f>
        <v>45607</v>
      </c>
      <c r="M207" s="295">
        <f t="array" ref="M207">MAX(IF(W207:CI207&gt;0,$W$16:$CI$16))</f>
        <v>45607</v>
      </c>
      <c r="N207" s="295"/>
      <c r="O207" s="249">
        <f>VLOOKUP(H207,Auxiliar!$B$16:$E$24,4,0)</f>
        <v>0</v>
      </c>
      <c r="P207" s="323">
        <f t="shared" ca="1" si="75"/>
        <v>1</v>
      </c>
      <c r="Q207" s="248">
        <f t="shared" ca="1" si="72"/>
        <v>-1</v>
      </c>
      <c r="R207" s="265"/>
      <c r="S207" s="296" t="s">
        <v>1951</v>
      </c>
      <c r="T207" s="274">
        <v>4.0999999999999996</v>
      </c>
      <c r="U207" s="274">
        <f t="shared" si="73"/>
        <v>0.5</v>
      </c>
      <c r="V207" s="274">
        <f t="shared" si="76"/>
        <v>0</v>
      </c>
      <c r="W207" s="285"/>
      <c r="X207" s="285"/>
      <c r="Y207" s="285"/>
      <c r="Z207" s="292"/>
      <c r="AA207" s="285"/>
      <c r="AB207" s="285"/>
      <c r="AC207" s="285"/>
      <c r="AD207" s="286"/>
      <c r="AE207" s="292"/>
      <c r="AF207" s="285"/>
      <c r="AG207" s="285"/>
      <c r="AH207" s="285"/>
      <c r="AI207" s="293"/>
      <c r="AJ207" s="285">
        <v>0.5</v>
      </c>
      <c r="AK207" s="285"/>
      <c r="AL207" s="285"/>
      <c r="AM207" s="285"/>
      <c r="AN207" s="285"/>
      <c r="AO207" s="285"/>
      <c r="AP207" s="285"/>
      <c r="AQ207" s="293"/>
      <c r="AR207" s="285"/>
      <c r="AS207" s="285"/>
      <c r="AT207" s="285"/>
      <c r="AU207" s="285"/>
      <c r="AV207" s="285"/>
      <c r="AW207" s="285"/>
      <c r="AX207" s="285"/>
      <c r="AY207" s="285"/>
      <c r="AZ207" s="285"/>
      <c r="BA207" s="285"/>
      <c r="BB207" s="285"/>
      <c r="BC207" s="285"/>
      <c r="BD207" s="285"/>
      <c r="BE207" s="285"/>
      <c r="BF207" s="285"/>
      <c r="BG207" s="287"/>
      <c r="BH207" s="285"/>
      <c r="BI207" s="285"/>
      <c r="BJ207" s="285"/>
      <c r="BK207" s="285"/>
      <c r="BL207" s="285"/>
      <c r="BM207" s="285"/>
      <c r="BN207" s="285"/>
      <c r="BO207" s="286"/>
      <c r="BP207" s="286"/>
      <c r="BQ207" s="286"/>
      <c r="BR207" s="286"/>
      <c r="BS207" s="286"/>
      <c r="BT207" s="286"/>
      <c r="BU207" s="286"/>
      <c r="BV207" s="285"/>
      <c r="BW207" s="285"/>
      <c r="BX207" s="285"/>
      <c r="BY207" s="285"/>
      <c r="BZ207" s="285"/>
      <c r="CA207" s="285"/>
      <c r="CB207" s="285"/>
      <c r="CC207" s="285"/>
      <c r="CD207" s="285"/>
      <c r="CE207" s="285"/>
      <c r="CF207" s="285"/>
      <c r="CG207" s="285"/>
      <c r="CH207" s="285"/>
      <c r="CI207" s="285"/>
    </row>
    <row r="208" spans="1:87" ht="16.2" outlineLevel="1" x14ac:dyDescent="0.25">
      <c r="A208" s="278" t="str">
        <f t="shared" si="71"/>
        <v>PROPERTY_ENERGY_CERTIFICATEDISTRICT_MUNICIP_PARISH_CODE</v>
      </c>
      <c r="B208" s="142" t="s">
        <v>26</v>
      </c>
      <c r="C208" s="138" t="s">
        <v>54</v>
      </c>
      <c r="D208" s="236" t="s">
        <v>40</v>
      </c>
      <c r="E208" s="237" t="s">
        <v>123</v>
      </c>
      <c r="F208" s="237"/>
      <c r="G208" s="236" t="s">
        <v>101</v>
      </c>
      <c r="H208" s="236" t="str">
        <f>VLOOKUP(A208,'2. Status Detalhe Campos'!$A$7:$G$574,7,0)</f>
        <v>6. Em implementação (re-especificação)</v>
      </c>
      <c r="I208" s="280" t="s">
        <v>38</v>
      </c>
      <c r="J208" s="289">
        <v>45638</v>
      </c>
      <c r="K208" s="289"/>
      <c r="L208" s="294">
        <f t="array" ref="L208">MIN(IF(W208:CI208&gt;0,$W$16:$CI$16))</f>
        <v>45607</v>
      </c>
      <c r="M208" s="295">
        <f t="array" ref="M208">MAX(IF(W208:CI208&gt;0,$W$16:$CI$16))</f>
        <v>45607</v>
      </c>
      <c r="N208" s="295"/>
      <c r="O208" s="249">
        <f>VLOOKUP(H208,Auxiliar!$B$16:$E$24,4,0)</f>
        <v>0</v>
      </c>
      <c r="P208" s="323">
        <f t="shared" ca="1" si="75"/>
        <v>1</v>
      </c>
      <c r="Q208" s="248">
        <f t="shared" ca="1" si="72"/>
        <v>-1</v>
      </c>
      <c r="R208" s="265"/>
      <c r="S208" s="296" t="s">
        <v>1951</v>
      </c>
      <c r="T208" s="274">
        <v>4.0999999999999996</v>
      </c>
      <c r="U208" s="274">
        <f t="shared" si="73"/>
        <v>0.5</v>
      </c>
      <c r="V208" s="274">
        <f t="shared" si="76"/>
        <v>0</v>
      </c>
      <c r="W208" s="285"/>
      <c r="X208" s="285"/>
      <c r="Y208" s="285"/>
      <c r="Z208" s="292"/>
      <c r="AA208" s="285"/>
      <c r="AB208" s="285"/>
      <c r="AC208" s="285"/>
      <c r="AD208" s="286"/>
      <c r="AE208" s="292"/>
      <c r="AF208" s="285"/>
      <c r="AG208" s="285"/>
      <c r="AH208" s="285"/>
      <c r="AI208" s="293"/>
      <c r="AJ208" s="285">
        <v>0.5</v>
      </c>
      <c r="AK208" s="285"/>
      <c r="AL208" s="285"/>
      <c r="AM208" s="285"/>
      <c r="AN208" s="285"/>
      <c r="AO208" s="285"/>
      <c r="AP208" s="285"/>
      <c r="AQ208" s="293"/>
      <c r="AR208" s="285"/>
      <c r="AS208" s="285"/>
      <c r="AT208" s="285"/>
      <c r="AU208" s="285"/>
      <c r="AV208" s="285"/>
      <c r="AW208" s="285"/>
      <c r="AX208" s="285"/>
      <c r="AY208" s="285"/>
      <c r="AZ208" s="285"/>
      <c r="BA208" s="285"/>
      <c r="BB208" s="285"/>
      <c r="BC208" s="285"/>
      <c r="BD208" s="285"/>
      <c r="BE208" s="285"/>
      <c r="BF208" s="285"/>
      <c r="BG208" s="287"/>
      <c r="BH208" s="285"/>
      <c r="BI208" s="285"/>
      <c r="BJ208" s="285"/>
      <c r="BK208" s="285"/>
      <c r="BL208" s="285"/>
      <c r="BM208" s="285"/>
      <c r="BN208" s="285"/>
      <c r="BO208" s="286"/>
      <c r="BP208" s="286"/>
      <c r="BQ208" s="286"/>
      <c r="BR208" s="286"/>
      <c r="BS208" s="286"/>
      <c r="BT208" s="286"/>
      <c r="BU208" s="286"/>
      <c r="BV208" s="285"/>
      <c r="BW208" s="285"/>
      <c r="BX208" s="285"/>
      <c r="BY208" s="285"/>
      <c r="BZ208" s="285"/>
      <c r="CA208" s="285"/>
      <c r="CB208" s="285"/>
      <c r="CC208" s="285"/>
      <c r="CD208" s="285"/>
      <c r="CE208" s="285"/>
      <c r="CF208" s="285"/>
      <c r="CG208" s="285"/>
      <c r="CH208" s="285"/>
      <c r="CI208" s="285"/>
    </row>
    <row r="209" spans="1:87" ht="16.2" outlineLevel="1" x14ac:dyDescent="0.25">
      <c r="A209" s="278" t="str">
        <f t="shared" si="71"/>
        <v>PROPERTY_ENERGY_CERTIFICATEPROPERTY_PURPOSE_CODE</v>
      </c>
      <c r="B209" s="142" t="s">
        <v>26</v>
      </c>
      <c r="C209" s="138" t="s">
        <v>54</v>
      </c>
      <c r="D209" s="236" t="s">
        <v>40</v>
      </c>
      <c r="E209" s="237" t="s">
        <v>123</v>
      </c>
      <c r="F209" s="237"/>
      <c r="G209" s="236" t="s">
        <v>102</v>
      </c>
      <c r="H209" s="236" t="str">
        <f>VLOOKUP(A209,'2. Status Detalhe Campos'!$A$7:$G$574,7,0)</f>
        <v>6. Em implementação (re-especificação)</v>
      </c>
      <c r="I209" s="280" t="s">
        <v>38</v>
      </c>
      <c r="J209" s="289">
        <v>45638</v>
      </c>
      <c r="K209" s="289"/>
      <c r="L209" s="294">
        <f t="array" ref="L209">MIN(IF(W209:CI209&gt;0,$W$16:$CI$16))</f>
        <v>45607</v>
      </c>
      <c r="M209" s="295">
        <f t="array" ref="M209">MAX(IF(W209:CI209&gt;0,$W$16:$CI$16))</f>
        <v>45607</v>
      </c>
      <c r="N209" s="295"/>
      <c r="O209" s="249">
        <f>VLOOKUP(H209,Auxiliar!$B$16:$E$24,4,0)</f>
        <v>0</v>
      </c>
      <c r="P209" s="323">
        <f t="shared" ca="1" si="75"/>
        <v>1</v>
      </c>
      <c r="Q209" s="248">
        <f t="shared" ca="1" si="72"/>
        <v>-1</v>
      </c>
      <c r="R209" s="265"/>
      <c r="S209" s="296" t="s">
        <v>1951</v>
      </c>
      <c r="T209" s="274">
        <v>4.0999999999999996</v>
      </c>
      <c r="U209" s="274">
        <f t="shared" si="73"/>
        <v>0.5</v>
      </c>
      <c r="V209" s="274">
        <f t="shared" si="76"/>
        <v>0</v>
      </c>
      <c r="W209" s="285"/>
      <c r="X209" s="285"/>
      <c r="Y209" s="285"/>
      <c r="Z209" s="292"/>
      <c r="AA209" s="285"/>
      <c r="AB209" s="285"/>
      <c r="AC209" s="285"/>
      <c r="AD209" s="286"/>
      <c r="AE209" s="292"/>
      <c r="AF209" s="285"/>
      <c r="AG209" s="285"/>
      <c r="AH209" s="285"/>
      <c r="AI209" s="293"/>
      <c r="AJ209" s="285">
        <v>0.5</v>
      </c>
      <c r="AK209" s="285"/>
      <c r="AL209" s="285"/>
      <c r="AM209" s="285"/>
      <c r="AN209" s="285"/>
      <c r="AO209" s="285"/>
      <c r="AP209" s="285"/>
      <c r="AQ209" s="293"/>
      <c r="AR209" s="285"/>
      <c r="AS209" s="285"/>
      <c r="AT209" s="285"/>
      <c r="AU209" s="285"/>
      <c r="AV209" s="285"/>
      <c r="AW209" s="285"/>
      <c r="AX209" s="285"/>
      <c r="AY209" s="285"/>
      <c r="AZ209" s="285"/>
      <c r="BA209" s="285"/>
      <c r="BB209" s="285"/>
      <c r="BC209" s="285"/>
      <c r="BD209" s="285"/>
      <c r="BE209" s="285"/>
      <c r="BF209" s="285"/>
      <c r="BG209" s="287"/>
      <c r="BH209" s="285"/>
      <c r="BI209" s="285"/>
      <c r="BJ209" s="285"/>
      <c r="BK209" s="285"/>
      <c r="BL209" s="285"/>
      <c r="BM209" s="285"/>
      <c r="BN209" s="285"/>
      <c r="BO209" s="286"/>
      <c r="BP209" s="286"/>
      <c r="BQ209" s="286"/>
      <c r="BR209" s="286"/>
      <c r="BS209" s="286"/>
      <c r="BT209" s="286"/>
      <c r="BU209" s="286"/>
      <c r="BV209" s="285"/>
      <c r="BW209" s="285"/>
      <c r="BX209" s="285"/>
      <c r="BY209" s="285"/>
      <c r="BZ209" s="285"/>
      <c r="CA209" s="285"/>
      <c r="CB209" s="285"/>
      <c r="CC209" s="285"/>
      <c r="CD209" s="285"/>
      <c r="CE209" s="285"/>
      <c r="CF209" s="285"/>
      <c r="CG209" s="285"/>
      <c r="CH209" s="285"/>
      <c r="CI209" s="285"/>
    </row>
    <row r="210" spans="1:87" ht="16.2" outlineLevel="1" x14ac:dyDescent="0.25">
      <c r="A210" s="278" t="str">
        <f t="shared" si="71"/>
        <v>PROPERTY_ENERGY_CERTIFICATEADDRESS_CODE</v>
      </c>
      <c r="B210" s="142" t="s">
        <v>26</v>
      </c>
      <c r="C210" s="138" t="s">
        <v>54</v>
      </c>
      <c r="D210" s="236" t="s">
        <v>40</v>
      </c>
      <c r="E210" s="237" t="s">
        <v>123</v>
      </c>
      <c r="F210" s="237"/>
      <c r="G210" s="236" t="s">
        <v>104</v>
      </c>
      <c r="H210" s="236" t="str">
        <f>VLOOKUP(A210,'2. Status Detalhe Campos'!$A$7:$G$574,7,0)</f>
        <v>6. Em implementação (re-especificação)</v>
      </c>
      <c r="I210" s="280" t="s">
        <v>38</v>
      </c>
      <c r="J210" s="289">
        <v>45638</v>
      </c>
      <c r="K210" s="289"/>
      <c r="L210" s="294">
        <f t="array" ref="L210">MIN(IF(W210:CI210&gt;0,$W$16:$CI$16))</f>
        <v>45608</v>
      </c>
      <c r="M210" s="295">
        <f t="array" ref="M210">MAX(IF(W210:CI210&gt;0,$W$16:$CI$16))</f>
        <v>45608</v>
      </c>
      <c r="N210" s="295"/>
      <c r="O210" s="249">
        <f>VLOOKUP(H210,Auxiliar!$B$16:$E$24,4,0)</f>
        <v>0</v>
      </c>
      <c r="P210" s="323">
        <f t="shared" ca="1" si="75"/>
        <v>1</v>
      </c>
      <c r="Q210" s="248">
        <f t="shared" ca="1" si="72"/>
        <v>-1</v>
      </c>
      <c r="R210" s="265"/>
      <c r="S210" s="296" t="s">
        <v>1951</v>
      </c>
      <c r="T210" s="274">
        <v>4.0999999999999996</v>
      </c>
      <c r="U210" s="274">
        <f t="shared" si="73"/>
        <v>0.5</v>
      </c>
      <c r="V210" s="274">
        <f t="shared" si="76"/>
        <v>0</v>
      </c>
      <c r="W210" s="285"/>
      <c r="X210" s="285"/>
      <c r="Y210" s="285"/>
      <c r="Z210" s="292"/>
      <c r="AA210" s="285"/>
      <c r="AB210" s="285"/>
      <c r="AC210" s="285"/>
      <c r="AD210" s="286"/>
      <c r="AE210" s="292"/>
      <c r="AF210" s="285"/>
      <c r="AG210" s="285"/>
      <c r="AH210" s="285"/>
      <c r="AI210" s="293"/>
      <c r="AJ210" s="285"/>
      <c r="AK210" s="285">
        <v>0.5</v>
      </c>
      <c r="AL210" s="285"/>
      <c r="AM210" s="285"/>
      <c r="AN210" s="285"/>
      <c r="AO210" s="285"/>
      <c r="AP210" s="285"/>
      <c r="AQ210" s="293"/>
      <c r="AR210" s="285"/>
      <c r="AS210" s="285"/>
      <c r="AT210" s="285"/>
      <c r="AU210" s="285"/>
      <c r="AV210" s="285"/>
      <c r="AW210" s="285"/>
      <c r="AX210" s="285"/>
      <c r="AY210" s="285"/>
      <c r="AZ210" s="285"/>
      <c r="BA210" s="285"/>
      <c r="BB210" s="285"/>
      <c r="BC210" s="285"/>
      <c r="BD210" s="285"/>
      <c r="BE210" s="285"/>
      <c r="BF210" s="285"/>
      <c r="BG210" s="287"/>
      <c r="BH210" s="285"/>
      <c r="BI210" s="285"/>
      <c r="BJ210" s="285"/>
      <c r="BK210" s="285"/>
      <c r="BL210" s="285"/>
      <c r="BM210" s="285"/>
      <c r="BN210" s="285"/>
      <c r="BO210" s="286"/>
      <c r="BP210" s="286"/>
      <c r="BQ210" s="286"/>
      <c r="BR210" s="286"/>
      <c r="BS210" s="286"/>
      <c r="BT210" s="286"/>
      <c r="BU210" s="286"/>
      <c r="BV210" s="285"/>
      <c r="BW210" s="285"/>
      <c r="BX210" s="285"/>
      <c r="BY210" s="285"/>
      <c r="BZ210" s="285"/>
      <c r="CA210" s="285"/>
      <c r="CB210" s="285"/>
      <c r="CC210" s="285"/>
      <c r="CD210" s="285"/>
      <c r="CE210" s="285"/>
      <c r="CF210" s="285"/>
      <c r="CG210" s="285"/>
      <c r="CH210" s="285"/>
      <c r="CI210" s="285"/>
    </row>
    <row r="211" spans="1:87" ht="16.2" outlineLevel="1" x14ac:dyDescent="0.25">
      <c r="A211" s="278" t="str">
        <f t="shared" si="71"/>
        <v>PROPERTY_ENERGY_CERTIFICATEFLOOR_NUMBER</v>
      </c>
      <c r="B211" s="142" t="s">
        <v>26</v>
      </c>
      <c r="C211" s="138" t="s">
        <v>54</v>
      </c>
      <c r="D211" s="236" t="s">
        <v>40</v>
      </c>
      <c r="E211" s="237" t="s">
        <v>123</v>
      </c>
      <c r="F211" s="237"/>
      <c r="G211" s="236" t="s">
        <v>111</v>
      </c>
      <c r="H211" s="236" t="str">
        <f>VLOOKUP(A211,'2. Status Detalhe Campos'!$A$7:$G$574,7,0)</f>
        <v>6. Em implementação (re-especificação)</v>
      </c>
      <c r="I211" s="280" t="s">
        <v>38</v>
      </c>
      <c r="J211" s="289">
        <v>45638</v>
      </c>
      <c r="K211" s="289"/>
      <c r="L211" s="294">
        <f t="array" ref="L211">MIN(IF(W211:CI211&gt;0,$W$16:$CI$16))</f>
        <v>45608</v>
      </c>
      <c r="M211" s="295">
        <f t="array" ref="M211">MAX(IF(W211:CI211&gt;0,$W$16:$CI$16))</f>
        <v>45608</v>
      </c>
      <c r="N211" s="295"/>
      <c r="O211" s="249">
        <f>VLOOKUP(H211,Auxiliar!$B$16:$E$24,4,0)</f>
        <v>0</v>
      </c>
      <c r="P211" s="323">
        <f t="shared" ca="1" si="75"/>
        <v>1</v>
      </c>
      <c r="Q211" s="248">
        <f t="shared" ca="1" si="72"/>
        <v>-1</v>
      </c>
      <c r="R211" s="265"/>
      <c r="S211" s="296" t="s">
        <v>1951</v>
      </c>
      <c r="T211" s="274">
        <v>4.0999999999999996</v>
      </c>
      <c r="U211" s="274">
        <f t="shared" si="73"/>
        <v>0.5</v>
      </c>
      <c r="V211" s="274">
        <f t="shared" si="76"/>
        <v>0</v>
      </c>
      <c r="W211" s="285"/>
      <c r="X211" s="285"/>
      <c r="Y211" s="285"/>
      <c r="Z211" s="292"/>
      <c r="AA211" s="285"/>
      <c r="AB211" s="285"/>
      <c r="AC211" s="285"/>
      <c r="AD211" s="286"/>
      <c r="AE211" s="292"/>
      <c r="AF211" s="285"/>
      <c r="AG211" s="285"/>
      <c r="AH211" s="285"/>
      <c r="AI211" s="293"/>
      <c r="AJ211" s="285"/>
      <c r="AK211" s="285">
        <v>0.5</v>
      </c>
      <c r="AL211" s="285"/>
      <c r="AM211" s="285"/>
      <c r="AN211" s="285"/>
      <c r="AO211" s="285"/>
      <c r="AP211" s="285"/>
      <c r="AQ211" s="293"/>
      <c r="AR211" s="285"/>
      <c r="AS211" s="285"/>
      <c r="AT211" s="285"/>
      <c r="AU211" s="285"/>
      <c r="AV211" s="285"/>
      <c r="AW211" s="285"/>
      <c r="AX211" s="285"/>
      <c r="AY211" s="285"/>
      <c r="AZ211" s="285"/>
      <c r="BA211" s="285"/>
      <c r="BB211" s="285"/>
      <c r="BC211" s="285"/>
      <c r="BD211" s="285"/>
      <c r="BE211" s="285"/>
      <c r="BF211" s="285"/>
      <c r="BG211" s="287"/>
      <c r="BH211" s="285"/>
      <c r="BI211" s="285"/>
      <c r="BJ211" s="285"/>
      <c r="BK211" s="285"/>
      <c r="BL211" s="285"/>
      <c r="BM211" s="285"/>
      <c r="BN211" s="285"/>
      <c r="BO211" s="286"/>
      <c r="BP211" s="286"/>
      <c r="BQ211" s="286"/>
      <c r="BR211" s="286"/>
      <c r="BS211" s="286"/>
      <c r="BT211" s="286"/>
      <c r="BU211" s="286"/>
      <c r="BV211" s="285"/>
      <c r="BW211" s="285"/>
      <c r="BX211" s="285"/>
      <c r="BY211" s="285"/>
      <c r="BZ211" s="285"/>
      <c r="CA211" s="285"/>
      <c r="CB211" s="285"/>
      <c r="CC211" s="285"/>
      <c r="CD211" s="285"/>
      <c r="CE211" s="285"/>
      <c r="CF211" s="285"/>
      <c r="CG211" s="285"/>
      <c r="CH211" s="285"/>
      <c r="CI211" s="285"/>
    </row>
    <row r="212" spans="1:87" ht="16.2" outlineLevel="1" x14ac:dyDescent="0.25">
      <c r="A212" s="278" t="str">
        <f t="shared" si="71"/>
        <v>PROPERTY_ENERGY_CERTIFICATELOCALITY</v>
      </c>
      <c r="B212" s="142" t="s">
        <v>26</v>
      </c>
      <c r="C212" s="138" t="s">
        <v>54</v>
      </c>
      <c r="D212" s="236" t="s">
        <v>40</v>
      </c>
      <c r="E212" s="237" t="s">
        <v>123</v>
      </c>
      <c r="F212" s="237"/>
      <c r="G212" s="236" t="s">
        <v>112</v>
      </c>
      <c r="H212" s="236" t="str">
        <f>VLOOKUP(A212,'2. Status Detalhe Campos'!$A$7:$G$574,7,0)</f>
        <v>6. Em implementação (re-especificação)</v>
      </c>
      <c r="I212" s="280" t="s">
        <v>38</v>
      </c>
      <c r="J212" s="289">
        <v>45638</v>
      </c>
      <c r="K212" s="289"/>
      <c r="L212" s="294">
        <f t="array" ref="L212">MIN(IF(W212:CI212&gt;0,$W$16:$CI$16))</f>
        <v>45608</v>
      </c>
      <c r="M212" s="295">
        <f t="array" ref="M212">MAX(IF(W212:CI212&gt;0,$W$16:$CI$16))</f>
        <v>45608</v>
      </c>
      <c r="N212" s="295"/>
      <c r="O212" s="249">
        <f>VLOOKUP(H212,Auxiliar!$B$16:$E$24,4,0)</f>
        <v>0</v>
      </c>
      <c r="P212" s="323">
        <f t="shared" ca="1" si="75"/>
        <v>1</v>
      </c>
      <c r="Q212" s="248">
        <f t="shared" ca="1" si="72"/>
        <v>-1</v>
      </c>
      <c r="R212" s="265"/>
      <c r="S212" s="296" t="s">
        <v>1951</v>
      </c>
      <c r="T212" s="274">
        <v>4.0999999999999996</v>
      </c>
      <c r="U212" s="274">
        <f t="shared" si="73"/>
        <v>0.5</v>
      </c>
      <c r="V212" s="274">
        <f t="shared" si="76"/>
        <v>0</v>
      </c>
      <c r="W212" s="285"/>
      <c r="X212" s="285"/>
      <c r="Y212" s="285"/>
      <c r="Z212" s="292"/>
      <c r="AA212" s="285"/>
      <c r="AB212" s="285"/>
      <c r="AC212" s="285"/>
      <c r="AD212" s="286"/>
      <c r="AE212" s="292"/>
      <c r="AF212" s="285"/>
      <c r="AG212" s="285"/>
      <c r="AH212" s="285"/>
      <c r="AI212" s="293"/>
      <c r="AJ212" s="285"/>
      <c r="AK212" s="285">
        <v>0.5</v>
      </c>
      <c r="AL212" s="285"/>
      <c r="AM212" s="285"/>
      <c r="AN212" s="285"/>
      <c r="AO212" s="285"/>
      <c r="AP212" s="285"/>
      <c r="AQ212" s="293"/>
      <c r="AR212" s="285"/>
      <c r="AS212" s="285"/>
      <c r="AT212" s="285"/>
      <c r="AU212" s="285"/>
      <c r="AV212" s="285"/>
      <c r="AW212" s="285"/>
      <c r="AX212" s="285"/>
      <c r="AY212" s="285"/>
      <c r="AZ212" s="285"/>
      <c r="BA212" s="285"/>
      <c r="BB212" s="285"/>
      <c r="BC212" s="285"/>
      <c r="BD212" s="285"/>
      <c r="BE212" s="285"/>
      <c r="BF212" s="285"/>
      <c r="BG212" s="287"/>
      <c r="BH212" s="285"/>
      <c r="BI212" s="285"/>
      <c r="BJ212" s="285"/>
      <c r="BK212" s="285"/>
      <c r="BL212" s="285"/>
      <c r="BM212" s="285"/>
      <c r="BN212" s="285"/>
      <c r="BO212" s="286"/>
      <c r="BP212" s="286"/>
      <c r="BQ212" s="286"/>
      <c r="BR212" s="286"/>
      <c r="BS212" s="286"/>
      <c r="BT212" s="286"/>
      <c r="BU212" s="286"/>
      <c r="BV212" s="285"/>
      <c r="BW212" s="285"/>
      <c r="BX212" s="285"/>
      <c r="BY212" s="285"/>
      <c r="BZ212" s="285"/>
      <c r="CA212" s="285"/>
      <c r="CB212" s="285"/>
      <c r="CC212" s="285"/>
      <c r="CD212" s="285"/>
      <c r="CE212" s="285"/>
      <c r="CF212" s="285"/>
      <c r="CG212" s="285"/>
      <c r="CH212" s="285"/>
      <c r="CI212" s="285"/>
    </row>
    <row r="213" spans="1:87" ht="15" customHeight="1" x14ac:dyDescent="0.25">
      <c r="A213" s="278"/>
      <c r="B213" s="142" t="s">
        <v>26</v>
      </c>
      <c r="C213" s="138" t="s">
        <v>26</v>
      </c>
      <c r="D213" s="134"/>
      <c r="E213" s="242" t="s">
        <v>369</v>
      </c>
      <c r="F213" s="240" t="s">
        <v>2035</v>
      </c>
      <c r="G213" s="241">
        <f>COUNTA(G214:G219)</f>
        <v>6</v>
      </c>
      <c r="H213" s="279" t="s">
        <v>2025</v>
      </c>
      <c r="I213" s="309">
        <f>MIN(I214:I219)</f>
        <v>45603</v>
      </c>
      <c r="J213" s="300">
        <f>MIN(J214:J219)</f>
        <v>45631</v>
      </c>
      <c r="K213" s="318"/>
      <c r="L213" s="282">
        <f>MIN(L214:L219)</f>
        <v>45649</v>
      </c>
      <c r="M213" s="282">
        <f>MAX(M214:M219)</f>
        <v>45649</v>
      </c>
      <c r="N213" s="332">
        <f t="array" ref="N213">MAX(IF(W213:CI213&gt;0,$W$16:$CI$16))</f>
        <v>45649</v>
      </c>
      <c r="O213" s="251">
        <f>SUMPRODUCT(O214:O219,U214:U219)/SUM(U214:U219)</f>
        <v>0</v>
      </c>
      <c r="P213" s="251">
        <f ca="1">SUMPRODUCT(P214:P219,U214:U219)/SUM(U214:U219)</f>
        <v>0</v>
      </c>
      <c r="Q213" s="248">
        <f t="shared" ref="Q213:Q223" ca="1" si="77">O213-P213</f>
        <v>0</v>
      </c>
      <c r="R213" s="264" t="s">
        <v>2048</v>
      </c>
      <c r="S213" s="284"/>
      <c r="T213" s="274"/>
      <c r="U213" s="274"/>
      <c r="V213" s="274"/>
      <c r="W213" s="285"/>
      <c r="X213" s="285"/>
      <c r="Y213" s="285"/>
      <c r="Z213" s="285"/>
      <c r="AA213" s="285"/>
      <c r="AB213" s="285"/>
      <c r="AC213" s="292"/>
      <c r="AD213" s="286"/>
      <c r="AE213" s="285"/>
      <c r="AF213" s="285"/>
      <c r="AG213" s="285"/>
      <c r="AH213" s="293"/>
      <c r="AI213" s="285"/>
      <c r="AJ213" s="285"/>
      <c r="AK213" s="285"/>
      <c r="AL213" s="285"/>
      <c r="AM213" s="285"/>
      <c r="AN213" s="292"/>
      <c r="AO213" s="285"/>
      <c r="AP213" s="285"/>
      <c r="AQ213" s="285"/>
      <c r="AR213" s="285"/>
      <c r="AS213" s="285"/>
      <c r="AT213" s="285"/>
      <c r="AU213" s="293"/>
      <c r="AV213" s="285"/>
      <c r="AW213" s="285"/>
      <c r="AX213" s="285"/>
      <c r="AY213" s="285"/>
      <c r="AZ213" s="285"/>
      <c r="BA213" s="285"/>
      <c r="BB213" s="287"/>
      <c r="BC213" s="285"/>
      <c r="BD213" s="285"/>
      <c r="BE213" s="285"/>
      <c r="BF213" s="285"/>
      <c r="BG213" s="285"/>
      <c r="BH213" s="285"/>
      <c r="BI213" s="285"/>
      <c r="BJ213" s="285"/>
      <c r="BK213" s="285"/>
      <c r="BL213" s="285"/>
      <c r="BM213" s="285"/>
      <c r="BN213" s="288" t="s">
        <v>444</v>
      </c>
      <c r="BO213" s="286"/>
      <c r="BP213" s="286"/>
      <c r="BQ213" s="286"/>
      <c r="BR213" s="286"/>
      <c r="BS213" s="286"/>
      <c r="BT213" s="286"/>
      <c r="BU213" s="286"/>
      <c r="BV213" s="285"/>
      <c r="BW213" s="285"/>
      <c r="BX213" s="285"/>
      <c r="BY213" s="285"/>
      <c r="BZ213" s="285"/>
      <c r="CA213" s="285"/>
      <c r="CB213" s="285"/>
      <c r="CC213" s="285"/>
      <c r="CD213" s="285"/>
      <c r="CE213" s="285"/>
      <c r="CF213" s="285"/>
      <c r="CG213" s="285"/>
      <c r="CH213" s="285"/>
      <c r="CI213" s="285"/>
    </row>
    <row r="214" spans="1:87" ht="16.2" outlineLevel="1" x14ac:dyDescent="0.25">
      <c r="A214" s="278" t="str">
        <f t="shared" ref="A214:A219" si="78">E214&amp;G214</f>
        <v>lt004_protectionemssns_scp1_prtctn</v>
      </c>
      <c r="B214" s="142" t="s">
        <v>26</v>
      </c>
      <c r="C214" s="138" t="s">
        <v>26</v>
      </c>
      <c r="D214" s="236" t="s">
        <v>40</v>
      </c>
      <c r="E214" s="239" t="s">
        <v>369</v>
      </c>
      <c r="F214" s="239"/>
      <c r="G214" s="243" t="s">
        <v>374</v>
      </c>
      <c r="H214" s="236" t="str">
        <f>VLOOKUP(A214,'2. Status Detalhe Campos'!$A$7:$G$574,7,0)</f>
        <v>6. Em implementação (re-especificação)</v>
      </c>
      <c r="I214" s="310">
        <v>45603</v>
      </c>
      <c r="J214" s="333">
        <v>45631</v>
      </c>
      <c r="K214" s="333"/>
      <c r="L214" s="294">
        <f t="array" ref="L214">MIN(IF(W214:CI214&gt;0,$W$16:$CI$16))</f>
        <v>45649</v>
      </c>
      <c r="M214" s="295">
        <f t="array" ref="M214">MAX(IF(W214:CI214&gt;0,$W$16:$CI$16))</f>
        <v>45649</v>
      </c>
      <c r="N214" s="295"/>
      <c r="O214" s="249">
        <f>VLOOKUP(H214,Auxiliar!$B$16:$E$24,4,0)</f>
        <v>0</v>
      </c>
      <c r="P214" s="249">
        <f t="shared" ref="P214:P219" ca="1" si="79">IF(TODAY()&lt;=L214,0,MIN((TODAY()-L214)/(M214-L214+1),100%))</f>
        <v>0</v>
      </c>
      <c r="Q214" s="248">
        <f t="shared" ca="1" si="77"/>
        <v>0</v>
      </c>
      <c r="R214" s="266" t="s">
        <v>38</v>
      </c>
      <c r="S214" s="284" t="s">
        <v>1954</v>
      </c>
      <c r="T214" s="274">
        <v>4.0999999999999996</v>
      </c>
      <c r="U214" s="274">
        <f t="shared" ref="U214:U219" si="80">ROUND(T214/8,1)</f>
        <v>0.5</v>
      </c>
      <c r="V214" s="274">
        <f t="shared" ref="V214:V219" si="81">SUM(W214:CI214)-U214</f>
        <v>0</v>
      </c>
      <c r="W214" s="285"/>
      <c r="X214" s="285"/>
      <c r="Y214" s="285"/>
      <c r="Z214" s="285"/>
      <c r="AA214" s="285"/>
      <c r="AB214" s="285"/>
      <c r="AC214" s="292"/>
      <c r="AD214" s="286"/>
      <c r="AE214" s="285"/>
      <c r="AF214" s="285"/>
      <c r="AG214" s="285"/>
      <c r="AH214" s="293"/>
      <c r="AI214" s="285"/>
      <c r="AJ214" s="285"/>
      <c r="AK214" s="285"/>
      <c r="AL214" s="285"/>
      <c r="AM214" s="285"/>
      <c r="AN214" s="292"/>
      <c r="AO214" s="285"/>
      <c r="AP214" s="285"/>
      <c r="AQ214" s="285"/>
      <c r="AR214" s="285"/>
      <c r="AS214" s="285"/>
      <c r="AT214" s="285"/>
      <c r="AU214" s="293"/>
      <c r="AV214" s="285"/>
      <c r="AW214" s="285"/>
      <c r="AX214" s="285"/>
      <c r="AY214" s="285"/>
      <c r="AZ214" s="285"/>
      <c r="BA214" s="285"/>
      <c r="BB214" s="287"/>
      <c r="BC214" s="285"/>
      <c r="BD214" s="285"/>
      <c r="BE214" s="285"/>
      <c r="BF214" s="285"/>
      <c r="BG214" s="285"/>
      <c r="BH214" s="285"/>
      <c r="BI214" s="285"/>
      <c r="BJ214" s="285"/>
      <c r="BK214" s="285"/>
      <c r="BL214" s="285"/>
      <c r="BM214" s="285"/>
      <c r="BN214" s="285">
        <v>0.5</v>
      </c>
      <c r="BO214" s="286"/>
      <c r="BP214" s="286"/>
      <c r="BQ214" s="286"/>
      <c r="BR214" s="286"/>
      <c r="BS214" s="286"/>
      <c r="BT214" s="286"/>
      <c r="BU214" s="286"/>
      <c r="BV214" s="285"/>
      <c r="BW214" s="285"/>
      <c r="BX214" s="285"/>
      <c r="BY214" s="285"/>
      <c r="BZ214" s="285"/>
      <c r="CA214" s="285"/>
      <c r="CB214" s="285"/>
      <c r="CC214" s="285"/>
      <c r="CD214" s="285"/>
      <c r="CE214" s="285"/>
      <c r="CF214" s="285"/>
      <c r="CG214" s="285"/>
      <c r="CH214" s="285"/>
      <c r="CI214" s="285"/>
    </row>
    <row r="215" spans="1:87" ht="16.2" outlineLevel="1" x14ac:dyDescent="0.25">
      <c r="A215" s="278" t="str">
        <f t="shared" si="78"/>
        <v>lt004_protectionemssns_scp2_prtctn</v>
      </c>
      <c r="B215" s="142" t="s">
        <v>26</v>
      </c>
      <c r="C215" s="138" t="s">
        <v>26</v>
      </c>
      <c r="D215" s="236" t="s">
        <v>40</v>
      </c>
      <c r="E215" s="239" t="s">
        <v>369</v>
      </c>
      <c r="F215" s="239"/>
      <c r="G215" s="243" t="s">
        <v>375</v>
      </c>
      <c r="H215" s="236" t="str">
        <f>VLOOKUP(A215,'2. Status Detalhe Campos'!$A$7:$G$574,7,0)</f>
        <v>6. Em implementação (re-especificação)</v>
      </c>
      <c r="I215" s="310">
        <v>45603</v>
      </c>
      <c r="J215" s="333">
        <v>45631</v>
      </c>
      <c r="K215" s="333"/>
      <c r="L215" s="294">
        <f t="array" ref="L215">MIN(IF(W215:CI215&gt;0,$W$16:$CI$16))</f>
        <v>45649</v>
      </c>
      <c r="M215" s="295">
        <f t="array" ref="M215">MAX(IF(W215:CI215&gt;0,$W$16:$CI$16))</f>
        <v>45649</v>
      </c>
      <c r="N215" s="295"/>
      <c r="O215" s="249">
        <f>VLOOKUP(H215,Auxiliar!$B$16:$E$24,4,0)</f>
        <v>0</v>
      </c>
      <c r="P215" s="249">
        <f t="shared" ca="1" si="79"/>
        <v>0</v>
      </c>
      <c r="Q215" s="248">
        <f t="shared" ca="1" si="77"/>
        <v>0</v>
      </c>
      <c r="R215" s="266" t="s">
        <v>38</v>
      </c>
      <c r="S215" s="284" t="s">
        <v>1954</v>
      </c>
      <c r="T215" s="274">
        <v>4.0999999999999996</v>
      </c>
      <c r="U215" s="274">
        <f t="shared" si="80"/>
        <v>0.5</v>
      </c>
      <c r="V215" s="274">
        <f t="shared" si="81"/>
        <v>0</v>
      </c>
      <c r="W215" s="285"/>
      <c r="X215" s="285"/>
      <c r="Y215" s="285"/>
      <c r="Z215" s="285"/>
      <c r="AA215" s="285"/>
      <c r="AB215" s="285"/>
      <c r="AC215" s="292"/>
      <c r="AD215" s="286"/>
      <c r="AE215" s="285"/>
      <c r="AF215" s="285"/>
      <c r="AG215" s="285"/>
      <c r="AH215" s="293"/>
      <c r="AI215" s="285"/>
      <c r="AJ215" s="285"/>
      <c r="AK215" s="285"/>
      <c r="AL215" s="285"/>
      <c r="AM215" s="285"/>
      <c r="AN215" s="292"/>
      <c r="AO215" s="285"/>
      <c r="AP215" s="285"/>
      <c r="AQ215" s="285"/>
      <c r="AR215" s="285"/>
      <c r="AS215" s="285"/>
      <c r="AT215" s="285"/>
      <c r="AU215" s="293"/>
      <c r="AV215" s="285"/>
      <c r="AW215" s="285"/>
      <c r="AX215" s="285"/>
      <c r="AY215" s="285"/>
      <c r="AZ215" s="285"/>
      <c r="BA215" s="285"/>
      <c r="BB215" s="287"/>
      <c r="BC215" s="285"/>
      <c r="BD215" s="285"/>
      <c r="BE215" s="285"/>
      <c r="BF215" s="285"/>
      <c r="BG215" s="285"/>
      <c r="BH215" s="285"/>
      <c r="BI215" s="285"/>
      <c r="BJ215" s="285"/>
      <c r="BK215" s="285"/>
      <c r="BL215" s="285"/>
      <c r="BM215" s="285"/>
      <c r="BN215" s="285">
        <v>0.5</v>
      </c>
      <c r="BO215" s="286"/>
      <c r="BP215" s="286"/>
      <c r="BQ215" s="286"/>
      <c r="BR215" s="286"/>
      <c r="BS215" s="286"/>
      <c r="BT215" s="286"/>
      <c r="BU215" s="286"/>
      <c r="BV215" s="285"/>
      <c r="BW215" s="285"/>
      <c r="BX215" s="285"/>
      <c r="BY215" s="285"/>
      <c r="BZ215" s="285"/>
      <c r="CA215" s="285"/>
      <c r="CB215" s="285"/>
      <c r="CC215" s="285"/>
      <c r="CD215" s="285"/>
      <c r="CE215" s="285"/>
      <c r="CF215" s="285"/>
      <c r="CG215" s="285"/>
      <c r="CH215" s="285"/>
      <c r="CI215" s="285"/>
    </row>
    <row r="216" spans="1:87" ht="16.2" outlineLevel="1" x14ac:dyDescent="0.25">
      <c r="A216" s="278" t="str">
        <f t="shared" si="78"/>
        <v>lt004_protectionemssns_scp3_prtctn</v>
      </c>
      <c r="B216" s="142" t="s">
        <v>26</v>
      </c>
      <c r="C216" s="138" t="s">
        <v>26</v>
      </c>
      <c r="D216" s="236" t="s">
        <v>40</v>
      </c>
      <c r="E216" s="239" t="s">
        <v>369</v>
      </c>
      <c r="F216" s="239"/>
      <c r="G216" s="243" t="s">
        <v>376</v>
      </c>
      <c r="H216" s="236" t="str">
        <f>VLOOKUP(A216,'2. Status Detalhe Campos'!$A$7:$G$574,7,0)</f>
        <v>6. Em implementação (re-especificação)</v>
      </c>
      <c r="I216" s="310">
        <v>45603</v>
      </c>
      <c r="J216" s="333">
        <v>45631</v>
      </c>
      <c r="K216" s="333"/>
      <c r="L216" s="294">
        <f t="array" ref="L216">MIN(IF(W216:CI216&gt;0,$W$16:$CI$16))</f>
        <v>45649</v>
      </c>
      <c r="M216" s="295">
        <f t="array" ref="M216">MAX(IF(W216:CI216&gt;0,$W$16:$CI$16))</f>
        <v>45649</v>
      </c>
      <c r="N216" s="295"/>
      <c r="O216" s="249">
        <f>VLOOKUP(H216,Auxiliar!$B$16:$E$24,4,0)</f>
        <v>0</v>
      </c>
      <c r="P216" s="249">
        <f t="shared" ca="1" si="79"/>
        <v>0</v>
      </c>
      <c r="Q216" s="248">
        <f t="shared" ca="1" si="77"/>
        <v>0</v>
      </c>
      <c r="R216" s="266" t="s">
        <v>38</v>
      </c>
      <c r="S216" s="284" t="s">
        <v>1954</v>
      </c>
      <c r="T216" s="274">
        <v>4.0999999999999996</v>
      </c>
      <c r="U216" s="274">
        <f t="shared" si="80"/>
        <v>0.5</v>
      </c>
      <c r="V216" s="274">
        <f t="shared" si="81"/>
        <v>0</v>
      </c>
      <c r="W216" s="285"/>
      <c r="X216" s="285"/>
      <c r="Y216" s="285"/>
      <c r="Z216" s="285"/>
      <c r="AA216" s="285"/>
      <c r="AB216" s="285"/>
      <c r="AC216" s="292"/>
      <c r="AD216" s="286"/>
      <c r="AE216" s="285"/>
      <c r="AF216" s="285"/>
      <c r="AG216" s="285"/>
      <c r="AH216" s="293"/>
      <c r="AI216" s="285"/>
      <c r="AJ216" s="285"/>
      <c r="AK216" s="285"/>
      <c r="AL216" s="285"/>
      <c r="AM216" s="285"/>
      <c r="AN216" s="292"/>
      <c r="AO216" s="285"/>
      <c r="AP216" s="285"/>
      <c r="AQ216" s="285"/>
      <c r="AR216" s="285"/>
      <c r="AS216" s="285"/>
      <c r="AT216" s="285"/>
      <c r="AU216" s="293"/>
      <c r="AV216" s="285"/>
      <c r="AW216" s="285"/>
      <c r="AX216" s="285"/>
      <c r="AY216" s="285"/>
      <c r="AZ216" s="285"/>
      <c r="BA216" s="285"/>
      <c r="BB216" s="287"/>
      <c r="BC216" s="285"/>
      <c r="BD216" s="285"/>
      <c r="BE216" s="285"/>
      <c r="BF216" s="285"/>
      <c r="BG216" s="285"/>
      <c r="BH216" s="285"/>
      <c r="BI216" s="285"/>
      <c r="BJ216" s="285"/>
      <c r="BK216" s="285"/>
      <c r="BL216" s="285"/>
      <c r="BM216" s="285"/>
      <c r="BN216" s="285">
        <v>0.5</v>
      </c>
      <c r="BO216" s="286"/>
      <c r="BP216" s="286"/>
      <c r="BQ216" s="286"/>
      <c r="BR216" s="286"/>
      <c r="BS216" s="286"/>
      <c r="BT216" s="286"/>
      <c r="BU216" s="286"/>
      <c r="BV216" s="285"/>
      <c r="BW216" s="285"/>
      <c r="BX216" s="285"/>
      <c r="BY216" s="285"/>
      <c r="BZ216" s="285"/>
      <c r="CA216" s="285"/>
      <c r="CB216" s="285"/>
      <c r="CC216" s="285"/>
      <c r="CD216" s="285"/>
      <c r="CE216" s="285"/>
      <c r="CF216" s="285"/>
      <c r="CG216" s="285"/>
      <c r="CH216" s="285"/>
      <c r="CI216" s="285"/>
    </row>
    <row r="217" spans="1:87" ht="16.2" outlineLevel="1" x14ac:dyDescent="0.25">
      <c r="A217" s="278" t="str">
        <f t="shared" si="78"/>
        <v>lt004_protectionmthd_usd_prtctn_scp_1</v>
      </c>
      <c r="B217" s="142" t="s">
        <v>26</v>
      </c>
      <c r="C217" s="138" t="s">
        <v>26</v>
      </c>
      <c r="D217" s="236" t="s">
        <v>40</v>
      </c>
      <c r="E217" s="239" t="s">
        <v>369</v>
      </c>
      <c r="F217" s="239"/>
      <c r="G217" s="243" t="s">
        <v>377</v>
      </c>
      <c r="H217" s="236" t="str">
        <f>VLOOKUP(A217,'2. Status Detalhe Campos'!$A$7:$G$574,7,0)</f>
        <v>6. Em implementação (re-especificação)</v>
      </c>
      <c r="I217" s="310">
        <v>45603</v>
      </c>
      <c r="J217" s="333">
        <v>45631</v>
      </c>
      <c r="K217" s="333"/>
      <c r="L217" s="294">
        <f t="array" ref="L217">MIN(IF(W217:CI217&gt;0,$W$16:$CI$16))</f>
        <v>45649</v>
      </c>
      <c r="M217" s="295">
        <f t="array" ref="M217">MAX(IF(W217:CI217&gt;0,$W$16:$CI$16))</f>
        <v>45649</v>
      </c>
      <c r="N217" s="295"/>
      <c r="O217" s="249">
        <f>VLOOKUP(H217,Auxiliar!$B$16:$E$24,4,0)</f>
        <v>0</v>
      </c>
      <c r="P217" s="249">
        <f t="shared" ca="1" si="79"/>
        <v>0</v>
      </c>
      <c r="Q217" s="248">
        <f t="shared" ca="1" si="77"/>
        <v>0</v>
      </c>
      <c r="R217" s="266" t="s">
        <v>38</v>
      </c>
      <c r="S217" s="284" t="s">
        <v>1954</v>
      </c>
      <c r="T217" s="274">
        <v>4.0999999999999996</v>
      </c>
      <c r="U217" s="274">
        <f t="shared" si="80"/>
        <v>0.5</v>
      </c>
      <c r="V217" s="274">
        <f t="shared" si="81"/>
        <v>0</v>
      </c>
      <c r="W217" s="285"/>
      <c r="X217" s="285"/>
      <c r="Y217" s="285"/>
      <c r="Z217" s="285"/>
      <c r="AA217" s="285"/>
      <c r="AB217" s="285"/>
      <c r="AC217" s="292"/>
      <c r="AD217" s="286"/>
      <c r="AE217" s="285"/>
      <c r="AF217" s="285"/>
      <c r="AG217" s="285"/>
      <c r="AH217" s="293"/>
      <c r="AI217" s="285"/>
      <c r="AJ217" s="285"/>
      <c r="AK217" s="285"/>
      <c r="AL217" s="285"/>
      <c r="AM217" s="285"/>
      <c r="AN217" s="292"/>
      <c r="AO217" s="285"/>
      <c r="AP217" s="285"/>
      <c r="AQ217" s="285"/>
      <c r="AR217" s="285"/>
      <c r="AS217" s="285"/>
      <c r="AT217" s="285"/>
      <c r="AU217" s="293"/>
      <c r="AV217" s="285"/>
      <c r="AW217" s="285"/>
      <c r="AX217" s="285"/>
      <c r="AY217" s="285"/>
      <c r="AZ217" s="285"/>
      <c r="BA217" s="285"/>
      <c r="BB217" s="287"/>
      <c r="BC217" s="285"/>
      <c r="BD217" s="285"/>
      <c r="BE217" s="285"/>
      <c r="BF217" s="285"/>
      <c r="BG217" s="285"/>
      <c r="BH217" s="285"/>
      <c r="BI217" s="285"/>
      <c r="BJ217" s="285"/>
      <c r="BK217" s="285"/>
      <c r="BL217" s="285"/>
      <c r="BM217" s="285"/>
      <c r="BN217" s="285">
        <v>0.5</v>
      </c>
      <c r="BO217" s="286"/>
      <c r="BP217" s="286"/>
      <c r="BQ217" s="286"/>
      <c r="BR217" s="286"/>
      <c r="BS217" s="286"/>
      <c r="BT217" s="286"/>
      <c r="BU217" s="286"/>
      <c r="BV217" s="285"/>
      <c r="BW217" s="285"/>
      <c r="BX217" s="285"/>
      <c r="BY217" s="285"/>
      <c r="BZ217" s="285"/>
      <c r="CA217" s="285"/>
      <c r="CB217" s="285"/>
      <c r="CC217" s="285"/>
      <c r="CD217" s="285"/>
      <c r="CE217" s="285"/>
      <c r="CF217" s="285"/>
      <c r="CG217" s="285"/>
      <c r="CH217" s="285"/>
      <c r="CI217" s="285"/>
    </row>
    <row r="218" spans="1:87" ht="16.2" outlineLevel="1" x14ac:dyDescent="0.25">
      <c r="A218" s="278" t="str">
        <f t="shared" si="78"/>
        <v>lt004_protectionmthd_usd_prtctn_scp_2</v>
      </c>
      <c r="B218" s="142" t="s">
        <v>26</v>
      </c>
      <c r="C218" s="138" t="s">
        <v>26</v>
      </c>
      <c r="D218" s="236" t="s">
        <v>40</v>
      </c>
      <c r="E218" s="239" t="s">
        <v>369</v>
      </c>
      <c r="F218" s="239"/>
      <c r="G218" s="243" t="s">
        <v>378</v>
      </c>
      <c r="H218" s="236" t="str">
        <f>VLOOKUP(A218,'2. Status Detalhe Campos'!$A$7:$G$574,7,0)</f>
        <v>6. Em implementação (re-especificação)</v>
      </c>
      <c r="I218" s="310">
        <v>45603</v>
      </c>
      <c r="J218" s="333">
        <v>45631</v>
      </c>
      <c r="K218" s="333"/>
      <c r="L218" s="294">
        <f t="array" ref="L218">MIN(IF(W218:CI218&gt;0,$W$16:$CI$16))</f>
        <v>45649</v>
      </c>
      <c r="M218" s="295">
        <f t="array" ref="M218">MAX(IF(W218:CI218&gt;0,$W$16:$CI$16))</f>
        <v>45649</v>
      </c>
      <c r="N218" s="295"/>
      <c r="O218" s="249">
        <f>VLOOKUP(H218,Auxiliar!$B$16:$E$24,4,0)</f>
        <v>0</v>
      </c>
      <c r="P218" s="249">
        <f t="shared" ca="1" si="79"/>
        <v>0</v>
      </c>
      <c r="Q218" s="248">
        <f t="shared" ca="1" si="77"/>
        <v>0</v>
      </c>
      <c r="R218" s="266" t="s">
        <v>38</v>
      </c>
      <c r="S218" s="284" t="s">
        <v>1954</v>
      </c>
      <c r="T218" s="274">
        <v>4.0999999999999996</v>
      </c>
      <c r="U218" s="274">
        <f t="shared" si="80"/>
        <v>0.5</v>
      </c>
      <c r="V218" s="274">
        <f t="shared" si="81"/>
        <v>0</v>
      </c>
      <c r="W218" s="285"/>
      <c r="X218" s="285"/>
      <c r="Y218" s="285"/>
      <c r="Z218" s="285"/>
      <c r="AA218" s="285"/>
      <c r="AB218" s="285"/>
      <c r="AC218" s="292"/>
      <c r="AD218" s="286"/>
      <c r="AE218" s="285"/>
      <c r="AF218" s="285"/>
      <c r="AG218" s="285"/>
      <c r="AH218" s="293"/>
      <c r="AI218" s="285"/>
      <c r="AJ218" s="285"/>
      <c r="AK218" s="285"/>
      <c r="AL218" s="285"/>
      <c r="AM218" s="285"/>
      <c r="AN218" s="292"/>
      <c r="AO218" s="285"/>
      <c r="AP218" s="285"/>
      <c r="AQ218" s="285"/>
      <c r="AR218" s="285"/>
      <c r="AS218" s="285"/>
      <c r="AT218" s="285"/>
      <c r="AU218" s="293"/>
      <c r="AV218" s="285"/>
      <c r="AW218" s="285"/>
      <c r="AX218" s="285"/>
      <c r="AY218" s="285"/>
      <c r="AZ218" s="285"/>
      <c r="BA218" s="285"/>
      <c r="BB218" s="287"/>
      <c r="BC218" s="285"/>
      <c r="BD218" s="285"/>
      <c r="BE218" s="285"/>
      <c r="BF218" s="285"/>
      <c r="BG218" s="285"/>
      <c r="BH218" s="285"/>
      <c r="BI218" s="285"/>
      <c r="BJ218" s="285"/>
      <c r="BK218" s="285"/>
      <c r="BL218" s="285"/>
      <c r="BM218" s="285"/>
      <c r="BN218" s="285">
        <v>0.5</v>
      </c>
      <c r="BO218" s="286"/>
      <c r="BP218" s="286"/>
      <c r="BQ218" s="286"/>
      <c r="BR218" s="286"/>
      <c r="BS218" s="286"/>
      <c r="BT218" s="286"/>
      <c r="BU218" s="286"/>
      <c r="BV218" s="285"/>
      <c r="BW218" s="285"/>
      <c r="BX218" s="285"/>
      <c r="BY218" s="285"/>
      <c r="BZ218" s="285"/>
      <c r="CA218" s="285"/>
      <c r="CB218" s="285"/>
      <c r="CC218" s="285"/>
      <c r="CD218" s="285"/>
      <c r="CE218" s="285"/>
      <c r="CF218" s="285"/>
      <c r="CG218" s="285"/>
      <c r="CH218" s="285"/>
      <c r="CI218" s="285"/>
    </row>
    <row r="219" spans="1:87" ht="16.2" outlineLevel="1" x14ac:dyDescent="0.25">
      <c r="A219" s="278" t="str">
        <f t="shared" si="78"/>
        <v>lt004_protectionmthd_usd_prtctn_scp_3</v>
      </c>
      <c r="B219" s="142" t="s">
        <v>26</v>
      </c>
      <c r="C219" s="138" t="s">
        <v>26</v>
      </c>
      <c r="D219" s="236" t="s">
        <v>40</v>
      </c>
      <c r="E219" s="239" t="s">
        <v>369</v>
      </c>
      <c r="F219" s="239"/>
      <c r="G219" s="243" t="s">
        <v>379</v>
      </c>
      <c r="H219" s="236" t="str">
        <f>VLOOKUP(A219,'2. Status Detalhe Campos'!$A$7:$G$574,7,0)</f>
        <v>6. Em implementação (re-especificação)</v>
      </c>
      <c r="I219" s="310">
        <v>45603</v>
      </c>
      <c r="J219" s="333">
        <v>45631</v>
      </c>
      <c r="K219" s="333"/>
      <c r="L219" s="294">
        <f t="array" ref="L219">MIN(IF(W219:CI219&gt;0,$W$16:$CI$16))</f>
        <v>45649</v>
      </c>
      <c r="M219" s="295">
        <f t="array" ref="M219">MAX(IF(W219:CI219&gt;0,$W$16:$CI$16))</f>
        <v>45649</v>
      </c>
      <c r="N219" s="295"/>
      <c r="O219" s="249">
        <f>VLOOKUP(H219,Auxiliar!$B$16:$E$24,4,0)</f>
        <v>0</v>
      </c>
      <c r="P219" s="249">
        <f t="shared" ca="1" si="79"/>
        <v>0</v>
      </c>
      <c r="Q219" s="248">
        <f t="shared" ca="1" si="77"/>
        <v>0</v>
      </c>
      <c r="R219" s="266" t="s">
        <v>38</v>
      </c>
      <c r="S219" s="284" t="s">
        <v>1954</v>
      </c>
      <c r="T219" s="274">
        <v>4.0999999999999996</v>
      </c>
      <c r="U219" s="274">
        <f t="shared" si="80"/>
        <v>0.5</v>
      </c>
      <c r="V219" s="274">
        <f t="shared" si="81"/>
        <v>0</v>
      </c>
      <c r="W219" s="285"/>
      <c r="X219" s="285"/>
      <c r="Y219" s="285"/>
      <c r="Z219" s="285"/>
      <c r="AA219" s="285"/>
      <c r="AB219" s="285"/>
      <c r="AC219" s="292"/>
      <c r="AD219" s="286"/>
      <c r="AE219" s="285"/>
      <c r="AF219" s="285"/>
      <c r="AG219" s="285"/>
      <c r="AH219" s="293"/>
      <c r="AI219" s="285"/>
      <c r="AJ219" s="285"/>
      <c r="AK219" s="285"/>
      <c r="AL219" s="285"/>
      <c r="AM219" s="285"/>
      <c r="AN219" s="292"/>
      <c r="AO219" s="285"/>
      <c r="AP219" s="285"/>
      <c r="AQ219" s="285"/>
      <c r="AR219" s="285"/>
      <c r="AS219" s="285"/>
      <c r="AT219" s="285"/>
      <c r="AU219" s="293"/>
      <c r="AV219" s="285"/>
      <c r="AW219" s="285"/>
      <c r="AX219" s="285"/>
      <c r="AY219" s="285"/>
      <c r="AZ219" s="285"/>
      <c r="BA219" s="285"/>
      <c r="BB219" s="287"/>
      <c r="BC219" s="285"/>
      <c r="BD219" s="285"/>
      <c r="BE219" s="285"/>
      <c r="BF219" s="285"/>
      <c r="BG219" s="285"/>
      <c r="BH219" s="285"/>
      <c r="BI219" s="285"/>
      <c r="BJ219" s="285"/>
      <c r="BK219" s="285"/>
      <c r="BL219" s="285"/>
      <c r="BM219" s="285"/>
      <c r="BN219" s="285">
        <v>0.5</v>
      </c>
      <c r="BO219" s="286"/>
      <c r="BP219" s="286"/>
      <c r="BQ219" s="286"/>
      <c r="BR219" s="286"/>
      <c r="BS219" s="286"/>
      <c r="BT219" s="286"/>
      <c r="BU219" s="286"/>
      <c r="BV219" s="285"/>
      <c r="BW219" s="285"/>
      <c r="BX219" s="285"/>
      <c r="BY219" s="285"/>
      <c r="BZ219" s="285"/>
      <c r="CA219" s="285"/>
      <c r="CB219" s="285"/>
      <c r="CC219" s="285"/>
      <c r="CD219" s="285"/>
      <c r="CE219" s="285"/>
      <c r="CF219" s="285"/>
      <c r="CG219" s="285"/>
      <c r="CH219" s="285"/>
      <c r="CI219" s="285"/>
    </row>
    <row r="220" spans="1:87" ht="15" customHeight="1" x14ac:dyDescent="0.25">
      <c r="A220" s="278"/>
      <c r="B220" s="142" t="s">
        <v>26</v>
      </c>
      <c r="C220" s="138" t="s">
        <v>26</v>
      </c>
      <c r="D220" s="134"/>
      <c r="E220" s="242" t="s">
        <v>380</v>
      </c>
      <c r="F220" s="240" t="s">
        <v>2036</v>
      </c>
      <c r="G220" s="241">
        <f>COUNTA(G221:G223)</f>
        <v>3</v>
      </c>
      <c r="H220" s="279" t="s">
        <v>2025</v>
      </c>
      <c r="I220" s="309">
        <f>MAX(I221:I223)</f>
        <v>45603</v>
      </c>
      <c r="J220" s="300">
        <f>MIN(J221:J223)</f>
        <v>45631</v>
      </c>
      <c r="K220" s="281"/>
      <c r="L220" s="282">
        <f>MIN(L221:L223)</f>
        <v>45642</v>
      </c>
      <c r="M220" s="282">
        <f>MAX(M221:M223)</f>
        <v>45643</v>
      </c>
      <c r="N220" s="332">
        <f t="array" ref="N220">MAX(IF(W220:CI220&gt;0,$W$16:$CI$16))</f>
        <v>45649</v>
      </c>
      <c r="O220" s="251">
        <f>SUMPRODUCT(O221:O223,U221:U223)/SUM(U221:U223)</f>
        <v>0</v>
      </c>
      <c r="P220" s="251">
        <f ca="1">SUMPRODUCT(P221:P223,U221:U223)/SUM(U221:U223)</f>
        <v>0</v>
      </c>
      <c r="Q220" s="248">
        <f t="shared" ca="1" si="77"/>
        <v>0</v>
      </c>
      <c r="R220" s="264" t="s">
        <v>2044</v>
      </c>
      <c r="S220" s="284"/>
      <c r="T220" s="274"/>
      <c r="U220" s="274"/>
      <c r="V220" s="274"/>
      <c r="W220" s="285"/>
      <c r="X220" s="285"/>
      <c r="Y220" s="285"/>
      <c r="Z220" s="301"/>
      <c r="AA220" s="285"/>
      <c r="AB220" s="293"/>
      <c r="AC220" s="285"/>
      <c r="AD220" s="286"/>
      <c r="AE220" s="285"/>
      <c r="AF220" s="285"/>
      <c r="AG220" s="285"/>
      <c r="AH220" s="293"/>
      <c r="AI220" s="285"/>
      <c r="AJ220" s="285"/>
      <c r="AK220" s="285"/>
      <c r="AL220" s="285"/>
      <c r="AM220" s="285"/>
      <c r="AN220" s="292"/>
      <c r="AO220" s="285"/>
      <c r="AP220" s="285"/>
      <c r="AQ220" s="285"/>
      <c r="AR220" s="285"/>
      <c r="AS220" s="285"/>
      <c r="AT220" s="285"/>
      <c r="AU220" s="293"/>
      <c r="AV220" s="285"/>
      <c r="AW220" s="285"/>
      <c r="AX220" s="285"/>
      <c r="AY220" s="285"/>
      <c r="AZ220" s="285"/>
      <c r="BA220" s="285"/>
      <c r="BB220" s="287"/>
      <c r="BC220" s="285"/>
      <c r="BD220" s="285"/>
      <c r="BE220" s="285"/>
      <c r="BF220" s="285"/>
      <c r="BG220" s="285"/>
      <c r="BH220" s="285"/>
      <c r="BI220" s="285"/>
      <c r="BJ220" s="285"/>
      <c r="BK220" s="285"/>
      <c r="BL220" s="285"/>
      <c r="BM220" s="285"/>
      <c r="BN220" s="285" t="s">
        <v>444</v>
      </c>
      <c r="BO220" s="286"/>
      <c r="BP220" s="286"/>
      <c r="BQ220" s="286"/>
      <c r="BR220" s="286"/>
      <c r="BS220" s="286"/>
      <c r="BT220" s="286"/>
      <c r="BU220" s="286"/>
      <c r="BV220" s="285"/>
      <c r="BW220" s="285"/>
      <c r="BX220" s="285"/>
      <c r="BY220" s="285"/>
      <c r="BZ220" s="285"/>
      <c r="CA220" s="285"/>
      <c r="CB220" s="285"/>
      <c r="CC220" s="285"/>
      <c r="CD220" s="285"/>
      <c r="CE220" s="285"/>
      <c r="CF220" s="285"/>
      <c r="CG220" s="285"/>
      <c r="CH220" s="285"/>
      <c r="CI220" s="285"/>
    </row>
    <row r="221" spans="1:87" ht="16.2" outlineLevel="1" x14ac:dyDescent="0.25">
      <c r="A221" s="278" t="str">
        <f>E221&amp;G221</f>
        <v>lt002_instrumentmthd_usd_instrmnt_scp_1</v>
      </c>
      <c r="B221" s="142" t="s">
        <v>26</v>
      </c>
      <c r="C221" s="138" t="s">
        <v>26</v>
      </c>
      <c r="D221" s="236" t="s">
        <v>40</v>
      </c>
      <c r="E221" s="239" t="s">
        <v>380</v>
      </c>
      <c r="F221" s="239"/>
      <c r="G221" s="239" t="s">
        <v>386</v>
      </c>
      <c r="H221" s="236" t="str">
        <f>VLOOKUP(A221,'2. Status Detalhe Campos'!$A$7:$G$574,7,0)</f>
        <v>6. Em implementação (re-especificação)</v>
      </c>
      <c r="I221" s="314">
        <v>45603</v>
      </c>
      <c r="J221" s="333">
        <v>45631</v>
      </c>
      <c r="K221" s="333"/>
      <c r="L221" s="294">
        <f t="array" ref="L221">MIN(IF(W221:CI221&gt;0,$W$16:$CI$16))</f>
        <v>45642</v>
      </c>
      <c r="M221" s="295">
        <f t="array" ref="M221">MAX(IF(W221:CI221&gt;0,$W$16:$CI$16))</f>
        <v>45642</v>
      </c>
      <c r="N221" s="295"/>
      <c r="O221" s="249">
        <f>VLOOKUP(H221,Auxiliar!$B$16:$E$24,4,0)</f>
        <v>0</v>
      </c>
      <c r="P221" s="249">
        <f t="shared" ref="P221:P223" ca="1" si="82">IF(TODAY()&lt;=L221,0,MIN((TODAY()-L221)/(M221-L221+1),100%))</f>
        <v>0</v>
      </c>
      <c r="Q221" s="248">
        <f t="shared" ca="1" si="77"/>
        <v>0</v>
      </c>
      <c r="R221" s="265"/>
      <c r="S221" s="284"/>
      <c r="T221" s="274">
        <v>4.0999999999999996</v>
      </c>
      <c r="U221" s="274">
        <f>ROUND(T221/8,1)</f>
        <v>0.5</v>
      </c>
      <c r="V221" s="274">
        <f>SUM(W221:CI221)-U221</f>
        <v>0</v>
      </c>
      <c r="W221" s="285"/>
      <c r="X221" s="285"/>
      <c r="Y221" s="285"/>
      <c r="Z221" s="301"/>
      <c r="AA221" s="285"/>
      <c r="AB221" s="293"/>
      <c r="AC221" s="285"/>
      <c r="AD221" s="286"/>
      <c r="AE221" s="285"/>
      <c r="AF221" s="285"/>
      <c r="AG221" s="285"/>
      <c r="AH221" s="293"/>
      <c r="AI221" s="285"/>
      <c r="AJ221" s="285"/>
      <c r="AK221" s="285"/>
      <c r="AL221" s="285"/>
      <c r="AM221" s="285"/>
      <c r="AN221" s="292"/>
      <c r="AO221" s="285"/>
      <c r="AP221" s="285"/>
      <c r="AQ221" s="285"/>
      <c r="AR221" s="285"/>
      <c r="AS221" s="285"/>
      <c r="AT221" s="285"/>
      <c r="AU221" s="293"/>
      <c r="AV221" s="285"/>
      <c r="AW221" s="285"/>
      <c r="AX221" s="285"/>
      <c r="AY221" s="285"/>
      <c r="AZ221" s="285"/>
      <c r="BA221" s="285"/>
      <c r="BB221" s="287"/>
      <c r="BC221" s="285"/>
      <c r="BD221" s="285"/>
      <c r="BE221" s="285"/>
      <c r="BF221" s="285"/>
      <c r="BG221" s="285"/>
      <c r="BH221" s="285"/>
      <c r="BI221" s="285">
        <v>0.5</v>
      </c>
      <c r="BJ221" s="285"/>
      <c r="BK221" s="285"/>
      <c r="BL221" s="285"/>
      <c r="BM221" s="288"/>
      <c r="BN221" s="285"/>
      <c r="BO221" s="286"/>
      <c r="BP221" s="286"/>
      <c r="BQ221" s="286"/>
      <c r="BR221" s="286"/>
      <c r="BS221" s="286"/>
      <c r="BT221" s="286"/>
      <c r="BU221" s="286"/>
      <c r="BV221" s="285"/>
      <c r="BW221" s="285"/>
      <c r="BX221" s="285"/>
      <c r="BY221" s="285"/>
      <c r="BZ221" s="285"/>
      <c r="CA221" s="285"/>
      <c r="CB221" s="285"/>
      <c r="CC221" s="285"/>
      <c r="CD221" s="285"/>
      <c r="CE221" s="285"/>
      <c r="CF221" s="285"/>
      <c r="CG221" s="285"/>
      <c r="CH221" s="285"/>
      <c r="CI221" s="285"/>
    </row>
    <row r="222" spans="1:87" ht="16.2" outlineLevel="1" x14ac:dyDescent="0.25">
      <c r="A222" s="278" t="str">
        <f>E222&amp;G222</f>
        <v>lt002_instrumentmthd_usd_instrmnt_scp_2</v>
      </c>
      <c r="B222" s="142" t="s">
        <v>26</v>
      </c>
      <c r="C222" s="138" t="s">
        <v>26</v>
      </c>
      <c r="D222" s="236" t="s">
        <v>40</v>
      </c>
      <c r="E222" s="239" t="s">
        <v>380</v>
      </c>
      <c r="F222" s="239"/>
      <c r="G222" s="239" t="s">
        <v>387</v>
      </c>
      <c r="H222" s="236" t="str">
        <f>VLOOKUP(A222,'2. Status Detalhe Campos'!$A$7:$G$574,7,0)</f>
        <v>6. Em implementação (re-especificação)</v>
      </c>
      <c r="I222" s="314">
        <v>45603</v>
      </c>
      <c r="J222" s="333">
        <v>45631</v>
      </c>
      <c r="K222" s="333"/>
      <c r="L222" s="294">
        <f t="array" ref="L222">MIN(IF(W222:CI222&gt;0,$W$16:$CI$16))</f>
        <v>45643</v>
      </c>
      <c r="M222" s="295">
        <f t="array" ref="M222">MAX(IF(W222:CI222&gt;0,$W$16:$CI$16))</f>
        <v>45643</v>
      </c>
      <c r="N222" s="295"/>
      <c r="O222" s="249">
        <f>VLOOKUP(H222,Auxiliar!$B$16:$E$24,4,0)</f>
        <v>0</v>
      </c>
      <c r="P222" s="249">
        <f t="shared" ca="1" si="82"/>
        <v>0</v>
      </c>
      <c r="Q222" s="248">
        <f t="shared" ca="1" si="77"/>
        <v>0</v>
      </c>
      <c r="R222" s="265"/>
      <c r="S222" s="284"/>
      <c r="T222" s="274">
        <v>4.0999999999999996</v>
      </c>
      <c r="U222" s="274">
        <f>ROUND(T222/8,1)</f>
        <v>0.5</v>
      </c>
      <c r="V222" s="274">
        <f>SUM(W222:CI222)-U222</f>
        <v>0</v>
      </c>
      <c r="W222" s="285"/>
      <c r="X222" s="285"/>
      <c r="Y222" s="285"/>
      <c r="Z222" s="301"/>
      <c r="AA222" s="285"/>
      <c r="AB222" s="293"/>
      <c r="AC222" s="285"/>
      <c r="AD222" s="286"/>
      <c r="AE222" s="285"/>
      <c r="AF222" s="285"/>
      <c r="AG222" s="285"/>
      <c r="AH222" s="293"/>
      <c r="AI222" s="285"/>
      <c r="AJ222" s="285"/>
      <c r="AK222" s="285"/>
      <c r="AL222" s="285"/>
      <c r="AM222" s="285"/>
      <c r="AN222" s="292"/>
      <c r="AO222" s="285"/>
      <c r="AP222" s="285"/>
      <c r="AQ222" s="285"/>
      <c r="AR222" s="285"/>
      <c r="AS222" s="285"/>
      <c r="AT222" s="285"/>
      <c r="AU222" s="293"/>
      <c r="AV222" s="285"/>
      <c r="AW222" s="285"/>
      <c r="AX222" s="285"/>
      <c r="AY222" s="285"/>
      <c r="AZ222" s="285"/>
      <c r="BA222" s="285"/>
      <c r="BB222" s="287"/>
      <c r="BC222" s="285"/>
      <c r="BD222" s="285"/>
      <c r="BE222" s="285"/>
      <c r="BF222" s="285"/>
      <c r="BG222" s="285"/>
      <c r="BH222" s="285"/>
      <c r="BI222" s="285"/>
      <c r="BJ222" s="285">
        <v>0.5</v>
      </c>
      <c r="BK222" s="285"/>
      <c r="BL222" s="285"/>
      <c r="BM222" s="285"/>
      <c r="BN222" s="285"/>
      <c r="BO222" s="286"/>
      <c r="BP222" s="286"/>
      <c r="BQ222" s="286"/>
      <c r="BR222" s="286"/>
      <c r="BS222" s="286"/>
      <c r="BT222" s="286"/>
      <c r="BU222" s="286"/>
      <c r="BV222" s="285"/>
      <c r="BW222" s="285"/>
      <c r="BX222" s="285"/>
      <c r="BY222" s="285"/>
      <c r="BZ222" s="285"/>
      <c r="CA222" s="285"/>
      <c r="CB222" s="285"/>
      <c r="CC222" s="285"/>
      <c r="CD222" s="285"/>
      <c r="CE222" s="285"/>
      <c r="CF222" s="285"/>
      <c r="CG222" s="285"/>
      <c r="CH222" s="285"/>
      <c r="CI222" s="285"/>
    </row>
    <row r="223" spans="1:87" ht="16.2" outlineLevel="1" x14ac:dyDescent="0.25">
      <c r="A223" s="278" t="str">
        <f>E223&amp;G223</f>
        <v>lt002_instrumentmthd_usd_instrmnt_scp_3</v>
      </c>
      <c r="B223" s="142" t="s">
        <v>26</v>
      </c>
      <c r="C223" s="138" t="s">
        <v>26</v>
      </c>
      <c r="D223" s="236" t="s">
        <v>40</v>
      </c>
      <c r="E223" s="239" t="s">
        <v>380</v>
      </c>
      <c r="F223" s="239"/>
      <c r="G223" s="239" t="s">
        <v>388</v>
      </c>
      <c r="H223" s="236" t="str">
        <f>VLOOKUP(A223,'2. Status Detalhe Campos'!$A$7:$G$574,7,0)</f>
        <v>6. Em implementação (re-especificação)</v>
      </c>
      <c r="I223" s="314">
        <v>45603</v>
      </c>
      <c r="J223" s="333">
        <v>45631</v>
      </c>
      <c r="K223" s="333"/>
      <c r="L223" s="294">
        <f t="array" ref="L223">MIN(IF(W223:CI223&gt;0,$W$16:$CI$16))</f>
        <v>45643</v>
      </c>
      <c r="M223" s="295">
        <f t="array" ref="M223">MAX(IF(W223:CI223&gt;0,$W$16:$CI$16))</f>
        <v>45643</v>
      </c>
      <c r="N223" s="295"/>
      <c r="O223" s="249">
        <f>VLOOKUP(H223,Auxiliar!$B$16:$E$24,4,0)</f>
        <v>0</v>
      </c>
      <c r="P223" s="249">
        <f t="shared" ca="1" si="82"/>
        <v>0</v>
      </c>
      <c r="Q223" s="248">
        <f t="shared" ca="1" si="77"/>
        <v>0</v>
      </c>
      <c r="R223" s="265"/>
      <c r="S223" s="284"/>
      <c r="T223" s="274">
        <v>4.0999999999999996</v>
      </c>
      <c r="U223" s="274">
        <f>ROUND(T223/8,1)</f>
        <v>0.5</v>
      </c>
      <c r="V223" s="274">
        <f>SUM(W223:CI223)-U223</f>
        <v>0</v>
      </c>
      <c r="W223" s="285"/>
      <c r="X223" s="285"/>
      <c r="Y223" s="285"/>
      <c r="Z223" s="301"/>
      <c r="AA223" s="285"/>
      <c r="AB223" s="293"/>
      <c r="AC223" s="285"/>
      <c r="AD223" s="286"/>
      <c r="AE223" s="285"/>
      <c r="AF223" s="285"/>
      <c r="AG223" s="285"/>
      <c r="AH223" s="293"/>
      <c r="AI223" s="285"/>
      <c r="AJ223" s="285"/>
      <c r="AK223" s="285"/>
      <c r="AL223" s="285"/>
      <c r="AM223" s="285"/>
      <c r="AN223" s="292"/>
      <c r="AO223" s="285"/>
      <c r="AP223" s="285"/>
      <c r="AQ223" s="285"/>
      <c r="AR223" s="285"/>
      <c r="AS223" s="285"/>
      <c r="AT223" s="285"/>
      <c r="AU223" s="293"/>
      <c r="AV223" s="285"/>
      <c r="AW223" s="285"/>
      <c r="AX223" s="285"/>
      <c r="AY223" s="285"/>
      <c r="AZ223" s="285"/>
      <c r="BA223" s="285"/>
      <c r="BB223" s="287"/>
      <c r="BC223" s="285"/>
      <c r="BD223" s="285"/>
      <c r="BE223" s="285"/>
      <c r="BF223" s="285"/>
      <c r="BG223" s="285"/>
      <c r="BH223" s="285"/>
      <c r="BI223" s="285"/>
      <c r="BJ223" s="285">
        <v>0.5</v>
      </c>
      <c r="BK223" s="285"/>
      <c r="BL223" s="285"/>
      <c r="BM223" s="285"/>
      <c r="BN223" s="285"/>
      <c r="BO223" s="286"/>
      <c r="BP223" s="286"/>
      <c r="BQ223" s="286"/>
      <c r="BR223" s="286"/>
      <c r="BS223" s="286"/>
      <c r="BT223" s="286"/>
      <c r="BU223" s="286"/>
      <c r="BV223" s="285"/>
      <c r="BW223" s="285"/>
      <c r="BX223" s="285"/>
      <c r="BY223" s="285"/>
      <c r="BZ223" s="285"/>
      <c r="CA223" s="285"/>
      <c r="CB223" s="285"/>
      <c r="CC223" s="285"/>
      <c r="CD223" s="285"/>
      <c r="CE223" s="285"/>
      <c r="CF223" s="285"/>
      <c r="CG223" s="285"/>
      <c r="CH223" s="285"/>
      <c r="CI223" s="285"/>
    </row>
    <row r="224" spans="1:87" ht="15" customHeight="1" x14ac:dyDescent="0.25">
      <c r="A224" s="278"/>
      <c r="B224" s="142" t="s">
        <v>26</v>
      </c>
      <c r="C224" s="138" t="s">
        <v>311</v>
      </c>
      <c r="D224" s="134"/>
      <c r="E224" s="240" t="s">
        <v>312</v>
      </c>
      <c r="F224" s="240" t="s">
        <v>2000</v>
      </c>
      <c r="G224" s="241">
        <f>COUNTA(G225:G228)</f>
        <v>4</v>
      </c>
      <c r="H224" s="279" t="s">
        <v>2023</v>
      </c>
      <c r="I224" s="280" t="s">
        <v>38</v>
      </c>
      <c r="J224" s="300">
        <f>MIN(J225:J228)</f>
        <v>45631</v>
      </c>
      <c r="K224" s="280"/>
      <c r="L224" s="281">
        <f>MIN(L225:L228)</f>
        <v>0</v>
      </c>
      <c r="M224" s="282">
        <f>MAX(M225:M228)</f>
        <v>0</v>
      </c>
      <c r="N224" s="332">
        <f t="array" ref="N224">MAX(IF(W224:CI224&gt;0,$W$16:$CI$16))</f>
        <v>0</v>
      </c>
      <c r="O224" s="251">
        <f>SUMPRODUCT(O225:O228,U225:U228)/SUM(U225:U228)</f>
        <v>0</v>
      </c>
      <c r="P224" s="251">
        <f ca="1">SUMPRODUCT(P225:P228,U225:U228)/SUM(U225:U228)</f>
        <v>1</v>
      </c>
      <c r="Q224" s="248">
        <f t="shared" ref="Q224:Q229" ca="1" si="83">O224-P224</f>
        <v>-1</v>
      </c>
      <c r="R224" s="264" t="s">
        <v>2026</v>
      </c>
      <c r="S224" s="284"/>
      <c r="T224" s="274"/>
      <c r="U224" s="274"/>
      <c r="V224" s="274"/>
      <c r="W224" s="285"/>
      <c r="X224" s="285"/>
      <c r="Y224" s="285"/>
      <c r="Z224" s="285"/>
      <c r="AA224" s="285"/>
      <c r="AB224" s="285"/>
      <c r="AC224" s="285"/>
      <c r="AD224" s="286"/>
      <c r="AE224" s="285"/>
      <c r="AF224" s="285"/>
      <c r="AG224" s="285"/>
      <c r="AH224" s="285"/>
      <c r="AI224" s="285"/>
      <c r="AJ224" s="285"/>
      <c r="AK224" s="285"/>
      <c r="AL224" s="285"/>
      <c r="AM224" s="285"/>
      <c r="AN224" s="285"/>
      <c r="AO224" s="285"/>
      <c r="AP224" s="285"/>
      <c r="AQ224" s="285"/>
      <c r="AR224" s="285"/>
      <c r="AS224" s="285"/>
      <c r="AT224" s="287"/>
      <c r="AU224" s="285"/>
      <c r="AV224" s="285"/>
      <c r="AW224" s="285"/>
      <c r="AX224" s="285"/>
      <c r="AY224" s="285"/>
      <c r="AZ224" s="285"/>
      <c r="BA224" s="285"/>
      <c r="BB224" s="287"/>
      <c r="BC224" s="285"/>
      <c r="BD224" s="285"/>
      <c r="BE224" s="285"/>
      <c r="BF224" s="285"/>
      <c r="BG224" s="285"/>
      <c r="BH224" s="285"/>
      <c r="BI224" s="285"/>
      <c r="BJ224" s="285"/>
      <c r="BK224" s="285"/>
      <c r="BL224" s="285"/>
      <c r="BM224" s="285"/>
      <c r="BN224" s="285"/>
      <c r="BO224" s="286"/>
      <c r="BP224" s="286"/>
      <c r="BQ224" s="286"/>
      <c r="BR224" s="286"/>
      <c r="BS224" s="286"/>
      <c r="BT224" s="286"/>
      <c r="BU224" s="286"/>
      <c r="BV224" s="285"/>
      <c r="BW224" s="285"/>
      <c r="BX224" s="285"/>
      <c r="BY224" s="285"/>
      <c r="BZ224" s="285"/>
      <c r="CA224" s="285"/>
      <c r="CB224" s="285"/>
      <c r="CC224" s="285"/>
      <c r="CD224" s="285"/>
      <c r="CE224" s="285"/>
      <c r="CF224" s="285"/>
      <c r="CG224" s="285"/>
      <c r="CH224" s="285"/>
      <c r="CI224" s="285"/>
    </row>
    <row r="225" spans="1:87" ht="16.2" outlineLevel="1" x14ac:dyDescent="0.25">
      <c r="A225" s="278" t="str">
        <f>E225&amp;G225</f>
        <v>modesg_out_bens_imoveisflg_rsc_fsc_agd</v>
      </c>
      <c r="B225" s="142" t="s">
        <v>26</v>
      </c>
      <c r="C225" s="138" t="s">
        <v>311</v>
      </c>
      <c r="D225" s="236" t="s">
        <v>40</v>
      </c>
      <c r="E225" s="237" t="s">
        <v>312</v>
      </c>
      <c r="F225" s="237"/>
      <c r="G225" s="236" t="s">
        <v>283</v>
      </c>
      <c r="H225" s="236" t="str">
        <f>VLOOKUP(A225,'2. Status Detalhe Campos'!$A$7:$G$574,7,0)</f>
        <v>6. Em implementação (re-especificação)</v>
      </c>
      <c r="I225" s="280" t="s">
        <v>38</v>
      </c>
      <c r="J225" s="302">
        <v>45631</v>
      </c>
      <c r="K225" s="280"/>
      <c r="L225" s="294">
        <f t="array" ref="L225">MIN(IF(W225:CI225&gt;0,$W$16:$CI$16))</f>
        <v>0</v>
      </c>
      <c r="M225" s="295">
        <f t="array" ref="M225">MAX(IF(W225:CI225&gt;0,$W$16:$CI$16))</f>
        <v>0</v>
      </c>
      <c r="N225" s="295"/>
      <c r="O225" s="249">
        <f>VLOOKUP(H225,Auxiliar!$B$16:$E$24,4,0)</f>
        <v>0</v>
      </c>
      <c r="P225" s="249">
        <f t="shared" ref="P225:P228" ca="1" si="84">IF(TODAY()&lt;=L225,0,MIN((TODAY()-L225)/(M225-L225+1),100%))</f>
        <v>1</v>
      </c>
      <c r="Q225" s="248">
        <f t="shared" ca="1" si="83"/>
        <v>-1</v>
      </c>
      <c r="R225" s="266" t="s">
        <v>38</v>
      </c>
      <c r="S225" s="284"/>
      <c r="T225" s="274">
        <v>16.100000000000001</v>
      </c>
      <c r="U225" s="274">
        <f>ROUND(T225/8,1)</f>
        <v>2</v>
      </c>
      <c r="V225" s="274">
        <f>SUM(W225:CI225)-U225</f>
        <v>-2</v>
      </c>
      <c r="W225" s="285"/>
      <c r="X225" s="285"/>
      <c r="Y225" s="285"/>
      <c r="Z225" s="285"/>
      <c r="AA225" s="285"/>
      <c r="AB225" s="285"/>
      <c r="AC225" s="285"/>
      <c r="AD225" s="286"/>
      <c r="AE225" s="285"/>
      <c r="AF225" s="285"/>
      <c r="AG225" s="285"/>
      <c r="AH225" s="285"/>
      <c r="AI225" s="285"/>
      <c r="AJ225" s="285"/>
      <c r="AK225" s="285"/>
      <c r="AL225" s="285"/>
      <c r="AM225" s="285"/>
      <c r="AN225" s="285"/>
      <c r="AO225" s="285"/>
      <c r="AP225" s="285"/>
      <c r="AQ225" s="285"/>
      <c r="AR225" s="285"/>
      <c r="AS225" s="285"/>
      <c r="AT225" s="287"/>
      <c r="AU225" s="285"/>
      <c r="AV225" s="285"/>
      <c r="AW225" s="285"/>
      <c r="AX225" s="285"/>
      <c r="AY225" s="285"/>
      <c r="AZ225" s="285"/>
      <c r="BA225" s="285"/>
      <c r="BB225" s="287"/>
      <c r="BC225" s="285"/>
      <c r="BD225" s="285"/>
      <c r="BE225" s="285"/>
      <c r="BF225" s="285"/>
      <c r="BG225" s="285"/>
      <c r="BH225" s="285"/>
      <c r="BI225" s="285"/>
      <c r="BJ225" s="285"/>
      <c r="BK225" s="285"/>
      <c r="BL225" s="285"/>
      <c r="BM225" s="285"/>
      <c r="BN225" s="285"/>
      <c r="BO225" s="286"/>
      <c r="BP225" s="286"/>
      <c r="BQ225" s="286"/>
      <c r="BR225" s="286"/>
      <c r="BS225" s="286"/>
      <c r="BT225" s="286"/>
      <c r="BU225" s="286"/>
      <c r="BV225" s="285"/>
      <c r="BW225" s="285"/>
      <c r="BX225" s="285"/>
      <c r="BY225" s="285"/>
      <c r="BZ225" s="285"/>
      <c r="CA225" s="285"/>
      <c r="CB225" s="285"/>
      <c r="CC225" s="285"/>
      <c r="CD225" s="285"/>
      <c r="CE225" s="285"/>
      <c r="CF225" s="285"/>
      <c r="CG225" s="285"/>
      <c r="CH225" s="285"/>
      <c r="CI225" s="285"/>
    </row>
    <row r="226" spans="1:87" ht="16.2" outlineLevel="1" x14ac:dyDescent="0.25">
      <c r="A226" s="278" t="str">
        <f>E226&amp;G226</f>
        <v>modesg_out_bens_imoveisflg_rsc_fsc_crnc</v>
      </c>
      <c r="B226" s="142" t="s">
        <v>26</v>
      </c>
      <c r="C226" s="138" t="s">
        <v>311</v>
      </c>
      <c r="D226" s="236" t="s">
        <v>40</v>
      </c>
      <c r="E226" s="237" t="s">
        <v>312</v>
      </c>
      <c r="F226" s="237"/>
      <c r="G226" s="236" t="s">
        <v>284</v>
      </c>
      <c r="H226" s="236" t="str">
        <f>VLOOKUP(A226,'2. Status Detalhe Campos'!$A$7:$G$574,7,0)</f>
        <v>6. Em implementação (re-especificação)</v>
      </c>
      <c r="I226" s="280" t="s">
        <v>38</v>
      </c>
      <c r="J226" s="302">
        <v>45631</v>
      </c>
      <c r="K226" s="280"/>
      <c r="L226" s="294">
        <f t="array" ref="L226">MIN(IF(W226:CI226&gt;0,$W$16:$CI$16))</f>
        <v>0</v>
      </c>
      <c r="M226" s="295">
        <f t="array" ref="M226">MAX(IF(W226:CI226&gt;0,$W$16:$CI$16))</f>
        <v>0</v>
      </c>
      <c r="N226" s="295"/>
      <c r="O226" s="249">
        <f>VLOOKUP(H226,Auxiliar!$B$16:$E$24,4,0)</f>
        <v>0</v>
      </c>
      <c r="P226" s="249">
        <f t="shared" ca="1" si="84"/>
        <v>1</v>
      </c>
      <c r="Q226" s="248">
        <f t="shared" ca="1" si="83"/>
        <v>-1</v>
      </c>
      <c r="R226" s="266" t="s">
        <v>38</v>
      </c>
      <c r="S226" s="284"/>
      <c r="T226" s="274">
        <v>16.100000000000001</v>
      </c>
      <c r="U226" s="274">
        <f>ROUND(T226/8,1)</f>
        <v>2</v>
      </c>
      <c r="V226" s="274">
        <f>SUM(W226:CI226)-U226</f>
        <v>-2</v>
      </c>
      <c r="W226" s="285"/>
      <c r="X226" s="285"/>
      <c r="Y226" s="285"/>
      <c r="Z226" s="285"/>
      <c r="AA226" s="285"/>
      <c r="AB226" s="285"/>
      <c r="AC226" s="285"/>
      <c r="AD226" s="286"/>
      <c r="AE226" s="285"/>
      <c r="AF226" s="285"/>
      <c r="AG226" s="285"/>
      <c r="AH226" s="285"/>
      <c r="AI226" s="285"/>
      <c r="AJ226" s="285"/>
      <c r="AK226" s="285"/>
      <c r="AL226" s="285"/>
      <c r="AM226" s="285"/>
      <c r="AN226" s="285"/>
      <c r="AO226" s="285"/>
      <c r="AP226" s="285"/>
      <c r="AQ226" s="285"/>
      <c r="AR226" s="285"/>
      <c r="AS226" s="285"/>
      <c r="AT226" s="287"/>
      <c r="AU226" s="285"/>
      <c r="AV226" s="285"/>
      <c r="AW226" s="285"/>
      <c r="AX226" s="285"/>
      <c r="AY226" s="285"/>
      <c r="AZ226" s="285"/>
      <c r="BA226" s="285"/>
      <c r="BB226" s="287"/>
      <c r="BC226" s="285"/>
      <c r="BD226" s="285"/>
      <c r="BE226" s="285"/>
      <c r="BF226" s="285"/>
      <c r="BG226" s="285"/>
      <c r="BH226" s="285"/>
      <c r="BI226" s="285"/>
      <c r="BJ226" s="285"/>
      <c r="BK226" s="285"/>
      <c r="BL226" s="285"/>
      <c r="BM226" s="285"/>
      <c r="BN226" s="285"/>
      <c r="BO226" s="286"/>
      <c r="BP226" s="286"/>
      <c r="BQ226" s="286"/>
      <c r="BR226" s="286"/>
      <c r="BS226" s="286"/>
      <c r="BT226" s="286"/>
      <c r="BU226" s="286"/>
      <c r="BV226" s="285"/>
      <c r="BW226" s="285"/>
      <c r="BX226" s="285"/>
      <c r="BY226" s="285"/>
      <c r="BZ226" s="285"/>
      <c r="CA226" s="285"/>
      <c r="CB226" s="285"/>
      <c r="CC226" s="285"/>
      <c r="CD226" s="285"/>
      <c r="CE226" s="285"/>
      <c r="CF226" s="285"/>
      <c r="CG226" s="285"/>
      <c r="CH226" s="285"/>
      <c r="CI226" s="285"/>
    </row>
    <row r="227" spans="1:87" ht="16.2" outlineLevel="1" x14ac:dyDescent="0.25">
      <c r="A227" s="278" t="str">
        <f>E227&amp;G227</f>
        <v>modesg_out_bens_imoveisorigem_flg_rsc_fsc_agd</v>
      </c>
      <c r="B227" s="142" t="s">
        <v>26</v>
      </c>
      <c r="C227" s="138" t="s">
        <v>311</v>
      </c>
      <c r="D227" s="236" t="s">
        <v>40</v>
      </c>
      <c r="E227" s="237" t="s">
        <v>312</v>
      </c>
      <c r="F227" s="237"/>
      <c r="G227" s="236" t="s">
        <v>318</v>
      </c>
      <c r="H227" s="236" t="str">
        <f>VLOOKUP(A227,'2. Status Detalhe Campos'!$A$7:$G$574,7,0)</f>
        <v>6. Em implementação (re-especificação)</v>
      </c>
      <c r="I227" s="280" t="s">
        <v>38</v>
      </c>
      <c r="J227" s="302">
        <v>45631</v>
      </c>
      <c r="K227" s="280"/>
      <c r="L227" s="294">
        <f t="array" ref="L227">MIN(IF(W227:CI227&gt;0,$W$16:$CI$16))</f>
        <v>0</v>
      </c>
      <c r="M227" s="295">
        <f t="array" ref="M227">MAX(IF(W227:CI227&gt;0,$W$16:$CI$16))</f>
        <v>0</v>
      </c>
      <c r="N227" s="295"/>
      <c r="O227" s="249">
        <f>VLOOKUP(H227,Auxiliar!$B$16:$E$24,4,0)</f>
        <v>0</v>
      </c>
      <c r="P227" s="249">
        <f t="shared" ca="1" si="84"/>
        <v>1</v>
      </c>
      <c r="Q227" s="248">
        <f t="shared" ca="1" si="83"/>
        <v>-1</v>
      </c>
      <c r="R227" s="266" t="s">
        <v>38</v>
      </c>
      <c r="S227" s="284"/>
      <c r="T227" s="274">
        <v>4.0999999999999996</v>
      </c>
      <c r="U227" s="274">
        <f>ROUND(T227/8,1)</f>
        <v>0.5</v>
      </c>
      <c r="V227" s="274">
        <f>SUM(W227:CI227)-U227</f>
        <v>-0.5</v>
      </c>
      <c r="W227" s="285"/>
      <c r="X227" s="285"/>
      <c r="Y227" s="285"/>
      <c r="Z227" s="285"/>
      <c r="AA227" s="285"/>
      <c r="AB227" s="285"/>
      <c r="AC227" s="285"/>
      <c r="AD227" s="286"/>
      <c r="AE227" s="285"/>
      <c r="AF227" s="285"/>
      <c r="AG227" s="285"/>
      <c r="AH227" s="285"/>
      <c r="AI227" s="285"/>
      <c r="AJ227" s="285"/>
      <c r="AK227" s="285"/>
      <c r="AL227" s="285"/>
      <c r="AM227" s="285"/>
      <c r="AN227" s="285"/>
      <c r="AO227" s="285"/>
      <c r="AP227" s="285"/>
      <c r="AQ227" s="285"/>
      <c r="AR227" s="285"/>
      <c r="AS227" s="285"/>
      <c r="AT227" s="287"/>
      <c r="AU227" s="285"/>
      <c r="AV227" s="285"/>
      <c r="AW227" s="285"/>
      <c r="AX227" s="285"/>
      <c r="AY227" s="285"/>
      <c r="AZ227" s="285"/>
      <c r="BA227" s="285"/>
      <c r="BB227" s="287"/>
      <c r="BC227" s="285"/>
      <c r="BD227" s="285"/>
      <c r="BE227" s="285"/>
      <c r="BF227" s="285"/>
      <c r="BG227" s="285"/>
      <c r="BH227" s="285"/>
      <c r="BI227" s="285"/>
      <c r="BJ227" s="285"/>
      <c r="BK227" s="285"/>
      <c r="BL227" s="285"/>
      <c r="BM227" s="285"/>
      <c r="BN227" s="285"/>
      <c r="BO227" s="286"/>
      <c r="BP227" s="286"/>
      <c r="BQ227" s="286"/>
      <c r="BR227" s="286"/>
      <c r="BS227" s="286"/>
      <c r="BT227" s="286"/>
      <c r="BU227" s="286"/>
      <c r="BV227" s="285"/>
      <c r="BW227" s="285"/>
      <c r="BX227" s="285"/>
      <c r="BY227" s="285"/>
      <c r="BZ227" s="285"/>
      <c r="CA227" s="285"/>
      <c r="CB227" s="285"/>
      <c r="CC227" s="285"/>
      <c r="CD227" s="285"/>
      <c r="CE227" s="285"/>
      <c r="CF227" s="285"/>
      <c r="CG227" s="285"/>
      <c r="CH227" s="285"/>
      <c r="CI227" s="285"/>
    </row>
    <row r="228" spans="1:87" ht="16.2" outlineLevel="1" x14ac:dyDescent="0.25">
      <c r="A228" s="278" t="str">
        <f>E228&amp;G228</f>
        <v>modesg_out_bens_imoveisorigem_flg_rsc_fsc_crnc</v>
      </c>
      <c r="B228" s="142" t="s">
        <v>26</v>
      </c>
      <c r="C228" s="138" t="s">
        <v>311</v>
      </c>
      <c r="D228" s="236" t="s">
        <v>40</v>
      </c>
      <c r="E228" s="237" t="s">
        <v>312</v>
      </c>
      <c r="F228" s="237"/>
      <c r="G228" s="236" t="s">
        <v>319</v>
      </c>
      <c r="H228" s="236" t="str">
        <f>VLOOKUP(A228,'2. Status Detalhe Campos'!$A$7:$G$574,7,0)</f>
        <v>6. Em implementação (re-especificação)</v>
      </c>
      <c r="I228" s="280" t="s">
        <v>38</v>
      </c>
      <c r="J228" s="302">
        <v>45631</v>
      </c>
      <c r="K228" s="280"/>
      <c r="L228" s="294">
        <f t="array" ref="L228">MIN(IF(W228:CI228&gt;0,$W$16:$CI$16))</f>
        <v>0</v>
      </c>
      <c r="M228" s="295">
        <f t="array" ref="M228">MAX(IF(W228:CI228&gt;0,$W$16:$CI$16))</f>
        <v>0</v>
      </c>
      <c r="N228" s="295"/>
      <c r="O228" s="249">
        <f>VLOOKUP(H228,Auxiliar!$B$16:$E$24,4,0)</f>
        <v>0</v>
      </c>
      <c r="P228" s="249">
        <f t="shared" ca="1" si="84"/>
        <v>1</v>
      </c>
      <c r="Q228" s="248">
        <f t="shared" ca="1" si="83"/>
        <v>-1</v>
      </c>
      <c r="R228" s="266" t="s">
        <v>38</v>
      </c>
      <c r="S228" s="284"/>
      <c r="T228" s="274">
        <v>4.0999999999999996</v>
      </c>
      <c r="U228" s="274">
        <f>ROUND(T228/8,1)</f>
        <v>0.5</v>
      </c>
      <c r="V228" s="274">
        <f>SUM(W228:CI228)-U228</f>
        <v>-0.5</v>
      </c>
      <c r="W228" s="285"/>
      <c r="X228" s="285"/>
      <c r="Y228" s="285"/>
      <c r="Z228" s="285"/>
      <c r="AA228" s="285"/>
      <c r="AB228" s="285"/>
      <c r="AC228" s="285"/>
      <c r="AD228" s="286"/>
      <c r="AE228" s="285"/>
      <c r="AF228" s="285"/>
      <c r="AG228" s="285"/>
      <c r="AH228" s="285"/>
      <c r="AI228" s="285"/>
      <c r="AJ228" s="285"/>
      <c r="AK228" s="285"/>
      <c r="AL228" s="285"/>
      <c r="AM228" s="285"/>
      <c r="AN228" s="285"/>
      <c r="AO228" s="285"/>
      <c r="AP228" s="285"/>
      <c r="AQ228" s="285"/>
      <c r="AR228" s="285"/>
      <c r="AS228" s="285"/>
      <c r="AT228" s="287"/>
      <c r="AU228" s="285"/>
      <c r="AV228" s="285"/>
      <c r="AW228" s="285"/>
      <c r="AX228" s="285"/>
      <c r="AY228" s="285"/>
      <c r="AZ228" s="285"/>
      <c r="BA228" s="285"/>
      <c r="BB228" s="287"/>
      <c r="BC228" s="285"/>
      <c r="BD228" s="285"/>
      <c r="BE228" s="285"/>
      <c r="BF228" s="285"/>
      <c r="BG228" s="285"/>
      <c r="BH228" s="285"/>
      <c r="BI228" s="285"/>
      <c r="BJ228" s="285"/>
      <c r="BK228" s="285"/>
      <c r="BL228" s="285"/>
      <c r="BM228" s="285"/>
      <c r="BN228" s="285"/>
      <c r="BO228" s="286"/>
      <c r="BP228" s="286"/>
      <c r="BQ228" s="286"/>
      <c r="BR228" s="286"/>
      <c r="BS228" s="286"/>
      <c r="BT228" s="286"/>
      <c r="BU228" s="286"/>
      <c r="BV228" s="285"/>
      <c r="BW228" s="285"/>
      <c r="BX228" s="285"/>
      <c r="BY228" s="285"/>
      <c r="BZ228" s="285"/>
      <c r="CA228" s="285"/>
      <c r="CB228" s="285"/>
      <c r="CC228" s="285"/>
      <c r="CD228" s="285"/>
      <c r="CE228" s="285"/>
      <c r="CF228" s="285"/>
      <c r="CG228" s="285"/>
      <c r="CH228" s="285"/>
      <c r="CI228" s="285"/>
    </row>
    <row r="229" spans="1:87" ht="15" customHeight="1" x14ac:dyDescent="0.25">
      <c r="A229" s="278" t="str">
        <f t="shared" ref="A229:A232" si="85">E229&amp;G229</f>
        <v>lt002_instrument3</v>
      </c>
      <c r="B229" s="142" t="s">
        <v>26</v>
      </c>
      <c r="C229" s="138" t="s">
        <v>26</v>
      </c>
      <c r="D229" s="236"/>
      <c r="E229" s="242" t="s">
        <v>380</v>
      </c>
      <c r="F229" s="242" t="s">
        <v>2002</v>
      </c>
      <c r="G229" s="258">
        <v>3</v>
      </c>
      <c r="H229" s="279" t="s">
        <v>2029</v>
      </c>
      <c r="I229" s="280" t="s">
        <v>38</v>
      </c>
      <c r="J229" s="318">
        <f>MIN(J230:J232)</f>
        <v>45631</v>
      </c>
      <c r="K229" s="280"/>
      <c r="L229" s="281">
        <f>MIN(L230)</f>
        <v>0</v>
      </c>
      <c r="M229" s="282">
        <f>MAX(M230)</f>
        <v>0</v>
      </c>
      <c r="N229" s="332">
        <f t="array" ref="N229">MAX(IF(W229:CI229&gt;0,$W$16:$CI$16))</f>
        <v>0</v>
      </c>
      <c r="O229" s="324">
        <v>0</v>
      </c>
      <c r="P229" s="324">
        <v>0</v>
      </c>
      <c r="Q229" s="248">
        <f t="shared" si="83"/>
        <v>0</v>
      </c>
      <c r="R229" s="266" t="s">
        <v>2030</v>
      </c>
      <c r="S229" s="284"/>
      <c r="T229" s="315"/>
      <c r="U229" s="274"/>
      <c r="V229" s="274"/>
      <c r="W229" s="285"/>
      <c r="X229" s="285"/>
      <c r="Y229" s="285"/>
      <c r="Z229" s="285"/>
      <c r="AA229" s="285"/>
      <c r="AB229" s="285"/>
      <c r="AC229" s="285"/>
      <c r="AD229" s="286"/>
      <c r="AE229" s="285"/>
      <c r="AF229" s="285"/>
      <c r="AG229" s="285"/>
      <c r="AH229" s="285"/>
      <c r="AI229" s="285"/>
      <c r="AJ229" s="285"/>
      <c r="AK229" s="285"/>
      <c r="AL229" s="285"/>
      <c r="AM229" s="285"/>
      <c r="AN229" s="285"/>
      <c r="AO229" s="285"/>
      <c r="AP229" s="285"/>
      <c r="AQ229" s="285"/>
      <c r="AR229" s="285"/>
      <c r="AS229" s="285"/>
      <c r="AT229" s="285"/>
      <c r="AU229" s="285"/>
      <c r="AV229" s="285"/>
      <c r="AW229" s="285"/>
      <c r="AX229" s="285"/>
      <c r="AY229" s="285"/>
      <c r="AZ229" s="285"/>
      <c r="BA229" s="285"/>
      <c r="BB229" s="287"/>
      <c r="BC229" s="285"/>
      <c r="BD229" s="285"/>
      <c r="BE229" s="285"/>
      <c r="BF229" s="285"/>
      <c r="BG229" s="285"/>
      <c r="BH229" s="285"/>
      <c r="BI229" s="285"/>
      <c r="BJ229" s="285"/>
      <c r="BK229" s="285"/>
      <c r="BL229" s="285"/>
      <c r="BM229" s="285"/>
      <c r="BN229" s="285"/>
      <c r="BO229" s="286"/>
      <c r="BP229" s="286"/>
      <c r="BQ229" s="286"/>
      <c r="BR229" s="286"/>
      <c r="BS229" s="286"/>
      <c r="BT229" s="286"/>
      <c r="BU229" s="286"/>
      <c r="BV229" s="285"/>
      <c r="BW229" s="285"/>
      <c r="BX229" s="285"/>
      <c r="BY229" s="285"/>
      <c r="BZ229" s="285"/>
      <c r="CA229" s="285"/>
      <c r="CB229" s="285"/>
      <c r="CC229" s="285"/>
      <c r="CD229" s="285"/>
      <c r="CE229" s="285"/>
      <c r="CF229" s="285"/>
      <c r="CG229" s="285"/>
      <c r="CH229" s="285"/>
      <c r="CI229" s="285"/>
    </row>
    <row r="230" spans="1:87" ht="16.2" outlineLevel="1" x14ac:dyDescent="0.25">
      <c r="A230" s="278" t="str">
        <f t="shared" si="85"/>
        <v>lt002_instrumentgrss_intrst_incm</v>
      </c>
      <c r="B230" s="142" t="s">
        <v>26</v>
      </c>
      <c r="C230" s="138" t="s">
        <v>26</v>
      </c>
      <c r="D230" s="236"/>
      <c r="E230" s="239" t="s">
        <v>380</v>
      </c>
      <c r="F230" s="239"/>
      <c r="G230" s="239" t="s">
        <v>421</v>
      </c>
      <c r="H230" s="236" t="str">
        <f>VLOOKUP(A230,'2. Status Detalhe Campos'!$A$7:$G$574,7,0)</f>
        <v>5. Em Correção</v>
      </c>
      <c r="I230" s="280"/>
      <c r="J230" s="289">
        <v>45631</v>
      </c>
      <c r="K230" s="280"/>
      <c r="L230" s="294">
        <f t="array" ref="L230">MIN(IF(W230:CI230&gt;0,$W$16:$CI$16))</f>
        <v>0</v>
      </c>
      <c r="M230" s="295">
        <f t="array" ref="M230">MAX(IF(W230:CI230&gt;0,$W$16:$CI$16))</f>
        <v>0</v>
      </c>
      <c r="N230" s="295"/>
      <c r="O230" s="249">
        <f>VLOOKUP(H230,Auxiliar!$B$16:$E$24,4,0)</f>
        <v>0</v>
      </c>
      <c r="P230" s="249">
        <f t="shared" ref="P230:P232" ca="1" si="86">IF(TODAY()&lt;=L230,0,MIN((TODAY()-L230)/(M230-L230+1),100%))</f>
        <v>1</v>
      </c>
      <c r="Q230" s="249">
        <f t="shared" ref="Q230:Q232" ca="1" si="87">O230-P230</f>
        <v>-1</v>
      </c>
      <c r="R230" s="265"/>
      <c r="S230" s="284"/>
      <c r="T230" s="312">
        <v>8</v>
      </c>
      <c r="U230" s="274">
        <f>ROUND(T230/8,1)</f>
        <v>1</v>
      </c>
      <c r="V230" s="274">
        <f>SUM(W230:CI230)-U230</f>
        <v>-1</v>
      </c>
      <c r="W230" s="285"/>
      <c r="X230" s="285"/>
      <c r="Y230" s="285"/>
      <c r="Z230" s="285"/>
      <c r="AA230" s="285"/>
      <c r="AB230" s="285"/>
      <c r="AC230" s="285"/>
      <c r="AD230" s="286"/>
      <c r="AE230" s="285"/>
      <c r="AF230" s="285"/>
      <c r="AG230" s="285"/>
      <c r="AH230" s="285"/>
      <c r="AI230" s="285"/>
      <c r="AJ230" s="285"/>
      <c r="AK230" s="285"/>
      <c r="AL230" s="285"/>
      <c r="AM230" s="285"/>
      <c r="AN230" s="285"/>
      <c r="AO230" s="285"/>
      <c r="AP230" s="285"/>
      <c r="AQ230" s="285"/>
      <c r="AR230" s="285"/>
      <c r="AS230" s="285"/>
      <c r="AT230" s="285"/>
      <c r="AU230" s="285"/>
      <c r="AV230" s="285"/>
      <c r="AW230" s="285"/>
      <c r="AX230" s="285"/>
      <c r="AY230" s="285"/>
      <c r="AZ230" s="285"/>
      <c r="BA230" s="285"/>
      <c r="BB230" s="287"/>
      <c r="BC230" s="285"/>
      <c r="BD230" s="285"/>
      <c r="BE230" s="285"/>
      <c r="BF230" s="285"/>
      <c r="BG230" s="285"/>
      <c r="BH230" s="285"/>
      <c r="BI230" s="285"/>
      <c r="BJ230" s="285"/>
      <c r="BK230" s="285"/>
      <c r="BL230" s="285"/>
      <c r="BM230" s="285"/>
      <c r="BN230" s="285"/>
      <c r="BO230" s="286"/>
      <c r="BP230" s="286"/>
      <c r="BQ230" s="286"/>
      <c r="BR230" s="286"/>
      <c r="BS230" s="286"/>
      <c r="BT230" s="286"/>
      <c r="BU230" s="286"/>
      <c r="BV230" s="285"/>
      <c r="BW230" s="285"/>
      <c r="BX230" s="285"/>
      <c r="BY230" s="285"/>
      <c r="BZ230" s="285"/>
      <c r="CA230" s="285"/>
      <c r="CB230" s="285"/>
      <c r="CC230" s="285"/>
      <c r="CD230" s="285"/>
      <c r="CE230" s="285"/>
      <c r="CF230" s="285"/>
      <c r="CG230" s="285"/>
      <c r="CH230" s="285"/>
      <c r="CI230" s="285"/>
    </row>
    <row r="231" spans="1:87" ht="16.2" outlineLevel="1" x14ac:dyDescent="0.25">
      <c r="A231" s="278" t="str">
        <f t="shared" si="85"/>
        <v>lt002_instrumentgrss_cmmssn_incm</v>
      </c>
      <c r="B231" s="142" t="s">
        <v>26</v>
      </c>
      <c r="C231" s="138" t="s">
        <v>26</v>
      </c>
      <c r="D231" s="236"/>
      <c r="E231" s="239" t="s">
        <v>380</v>
      </c>
      <c r="F231" s="239"/>
      <c r="G231" s="239" t="s">
        <v>422</v>
      </c>
      <c r="H231" s="236" t="str">
        <f>VLOOKUP(A231,'2. Status Detalhe Campos'!$A$7:$G$574,7,0)</f>
        <v>5. Em Correção</v>
      </c>
      <c r="I231" s="280"/>
      <c r="J231" s="289">
        <v>45631</v>
      </c>
      <c r="K231" s="280"/>
      <c r="L231" s="294">
        <f t="array" ref="L231">MIN(IF(W231:CI231&gt;0,$W$16:$CI$16))</f>
        <v>0</v>
      </c>
      <c r="M231" s="295">
        <f t="array" ref="M231">MAX(IF(W231:CI231&gt;0,$W$16:$CI$16))</f>
        <v>0</v>
      </c>
      <c r="N231" s="295"/>
      <c r="O231" s="249">
        <f>VLOOKUP(H231,Auxiliar!$B$16:$E$24,4,0)</f>
        <v>0</v>
      </c>
      <c r="P231" s="249">
        <f t="shared" ca="1" si="86"/>
        <v>1</v>
      </c>
      <c r="Q231" s="249">
        <f t="shared" ca="1" si="87"/>
        <v>-1</v>
      </c>
      <c r="R231" s="265"/>
      <c r="S231" s="284"/>
      <c r="T231" s="312">
        <v>4</v>
      </c>
      <c r="U231" s="274">
        <f>ROUND(T231/8,1)</f>
        <v>0.5</v>
      </c>
      <c r="V231" s="274">
        <f>SUM(W231:CI231)-U231</f>
        <v>-0.5</v>
      </c>
      <c r="W231" s="285"/>
      <c r="X231" s="285"/>
      <c r="Y231" s="285"/>
      <c r="Z231" s="285"/>
      <c r="AA231" s="285"/>
      <c r="AB231" s="285"/>
      <c r="AC231" s="285"/>
      <c r="AD231" s="286"/>
      <c r="AE231" s="285"/>
      <c r="AF231" s="285"/>
      <c r="AG231" s="285"/>
      <c r="AH231" s="285"/>
      <c r="AI231" s="285"/>
      <c r="AJ231" s="285"/>
      <c r="AK231" s="285"/>
      <c r="AL231" s="285"/>
      <c r="AM231" s="285"/>
      <c r="AN231" s="285"/>
      <c r="AO231" s="285"/>
      <c r="AP231" s="285"/>
      <c r="AQ231" s="285"/>
      <c r="AR231" s="285"/>
      <c r="AS231" s="285"/>
      <c r="AT231" s="285"/>
      <c r="AU231" s="285"/>
      <c r="AV231" s="285"/>
      <c r="AW231" s="285"/>
      <c r="AX231" s="285"/>
      <c r="AY231" s="285"/>
      <c r="AZ231" s="285"/>
      <c r="BA231" s="285"/>
      <c r="BB231" s="287"/>
      <c r="BC231" s="285"/>
      <c r="BD231" s="285"/>
      <c r="BE231" s="285"/>
      <c r="BF231" s="285"/>
      <c r="BG231" s="285"/>
      <c r="BH231" s="285"/>
      <c r="BI231" s="285"/>
      <c r="BJ231" s="285"/>
      <c r="BK231" s="285"/>
      <c r="BL231" s="285"/>
      <c r="BM231" s="285"/>
      <c r="BN231" s="285"/>
      <c r="BO231" s="286"/>
      <c r="BP231" s="286"/>
      <c r="BQ231" s="286"/>
      <c r="BR231" s="286"/>
      <c r="BS231" s="286"/>
      <c r="BT231" s="286"/>
      <c r="BU231" s="286"/>
      <c r="BV231" s="285"/>
      <c r="BW231" s="285"/>
      <c r="BX231" s="285"/>
      <c r="BY231" s="285"/>
      <c r="BZ231" s="285"/>
      <c r="CA231" s="285"/>
      <c r="CB231" s="285"/>
      <c r="CC231" s="285"/>
      <c r="CD231" s="285"/>
      <c r="CE231" s="285"/>
      <c r="CF231" s="285"/>
      <c r="CG231" s="285"/>
      <c r="CH231" s="285"/>
      <c r="CI231" s="285"/>
    </row>
    <row r="232" spans="1:87" ht="16.2" outlineLevel="1" x14ac:dyDescent="0.25">
      <c r="A232" s="278" t="str">
        <f t="shared" si="85"/>
        <v>lt002_instrumentgrss_cmmssn_incm_off_blnc</v>
      </c>
      <c r="B232" s="142" t="s">
        <v>26</v>
      </c>
      <c r="C232" s="138" t="s">
        <v>26</v>
      </c>
      <c r="D232" s="236"/>
      <c r="E232" s="239" t="s">
        <v>380</v>
      </c>
      <c r="F232" s="239"/>
      <c r="G232" s="239" t="s">
        <v>423</v>
      </c>
      <c r="H232" s="236" t="str">
        <f>VLOOKUP(A232,'2. Status Detalhe Campos'!$A$7:$G$574,7,0)</f>
        <v>5. Em Correção</v>
      </c>
      <c r="I232" s="280"/>
      <c r="J232" s="289">
        <v>45631</v>
      </c>
      <c r="K232" s="280"/>
      <c r="L232" s="294">
        <f t="array" ref="L232">MIN(IF(W232:CI232&gt;0,$W$16:$CI$16))</f>
        <v>0</v>
      </c>
      <c r="M232" s="295">
        <f t="array" ref="M232">MAX(IF(W232:CI232&gt;0,$W$16:$CI$16))</f>
        <v>0</v>
      </c>
      <c r="N232" s="295"/>
      <c r="O232" s="249">
        <f>VLOOKUP(H232,Auxiliar!$B$16:$E$24,4,0)</f>
        <v>0</v>
      </c>
      <c r="P232" s="249">
        <f t="shared" ca="1" si="86"/>
        <v>1</v>
      </c>
      <c r="Q232" s="249">
        <f t="shared" ca="1" si="87"/>
        <v>-1</v>
      </c>
      <c r="R232" s="265"/>
      <c r="S232" s="284"/>
      <c r="T232" s="312">
        <v>4</v>
      </c>
      <c r="U232" s="274">
        <f>ROUND(T232/8,1)</f>
        <v>0.5</v>
      </c>
      <c r="V232" s="274">
        <f>SUM(W232:CI232)-U232</f>
        <v>-0.5</v>
      </c>
      <c r="W232" s="285"/>
      <c r="X232" s="285"/>
      <c r="Y232" s="285"/>
      <c r="Z232" s="285"/>
      <c r="AA232" s="285"/>
      <c r="AB232" s="285"/>
      <c r="AC232" s="285"/>
      <c r="AD232" s="286"/>
      <c r="AE232" s="285"/>
      <c r="AF232" s="285"/>
      <c r="AG232" s="285"/>
      <c r="AH232" s="285"/>
      <c r="AI232" s="285"/>
      <c r="AJ232" s="285"/>
      <c r="AK232" s="285"/>
      <c r="AL232" s="285"/>
      <c r="AM232" s="285"/>
      <c r="AN232" s="285"/>
      <c r="AO232" s="285"/>
      <c r="AP232" s="285"/>
      <c r="AQ232" s="285"/>
      <c r="AR232" s="285"/>
      <c r="AS232" s="285"/>
      <c r="AT232" s="285"/>
      <c r="AU232" s="285"/>
      <c r="AV232" s="285"/>
      <c r="AW232" s="285"/>
      <c r="AX232" s="285"/>
      <c r="AY232" s="285"/>
      <c r="AZ232" s="285"/>
      <c r="BA232" s="285"/>
      <c r="BB232" s="287"/>
      <c r="BC232" s="285"/>
      <c r="BD232" s="285"/>
      <c r="BE232" s="285"/>
      <c r="BF232" s="285"/>
      <c r="BG232" s="285"/>
      <c r="BH232" s="285"/>
      <c r="BI232" s="285"/>
      <c r="BJ232" s="285"/>
      <c r="BK232" s="285"/>
      <c r="BL232" s="285"/>
      <c r="BM232" s="285"/>
      <c r="BN232" s="285"/>
      <c r="BO232" s="286"/>
      <c r="BP232" s="286"/>
      <c r="BQ232" s="286"/>
      <c r="BR232" s="286"/>
      <c r="BS232" s="286"/>
      <c r="BT232" s="286"/>
      <c r="BU232" s="286"/>
      <c r="BV232" s="285"/>
      <c r="BW232" s="285"/>
      <c r="BX232" s="285"/>
      <c r="BY232" s="285"/>
      <c r="BZ232" s="285"/>
      <c r="CA232" s="285"/>
      <c r="CB232" s="285"/>
      <c r="CC232" s="285"/>
      <c r="CD232" s="285"/>
      <c r="CE232" s="285"/>
      <c r="CF232" s="285"/>
      <c r="CG232" s="285"/>
      <c r="CH232" s="285"/>
      <c r="CI232" s="285"/>
    </row>
    <row r="233" spans="1:87" ht="15" customHeight="1" x14ac:dyDescent="0.25">
      <c r="A233" s="278" t="str">
        <f>E233&amp;G233</f>
        <v>munichRetbd</v>
      </c>
      <c r="B233" s="142" t="s">
        <v>26</v>
      </c>
      <c r="C233" s="138" t="s">
        <v>181</v>
      </c>
      <c r="D233" s="134" t="s">
        <v>40</v>
      </c>
      <c r="E233" s="242" t="s">
        <v>1957</v>
      </c>
      <c r="F233" s="240" t="s">
        <v>1979</v>
      </c>
      <c r="G233" s="242" t="s">
        <v>1958</v>
      </c>
      <c r="H233" s="279" t="s">
        <v>2023</v>
      </c>
      <c r="I233" s="282">
        <v>45574</v>
      </c>
      <c r="J233" s="282">
        <v>45631</v>
      </c>
      <c r="K233" s="280"/>
      <c r="L233" s="283">
        <f t="array" ref="L233">MIN(IF(W233:CI233&gt;0,$W$16:$CI$16))</f>
        <v>45659</v>
      </c>
      <c r="M233" s="316">
        <f t="array" ref="M233">MAX(IF(W233:CI233&gt;0,$W$16:$CI$16))</f>
        <v>45660</v>
      </c>
      <c r="N233" s="332">
        <f t="array" ref="N233">MAX(IF(W233:CI233&gt;0,$W$16:$CI$16))</f>
        <v>45660</v>
      </c>
      <c r="O233" s="324">
        <v>0</v>
      </c>
      <c r="P233" s="324">
        <f t="shared" ref="P233" ca="1" si="88">IF(TODAY()&lt;=L233,0,MIN((TODAY()-L233)/(M233-L233+1),100%))</f>
        <v>0</v>
      </c>
      <c r="Q233" s="248">
        <f t="shared" ref="Q233" ca="1" si="89">O233-P233</f>
        <v>0</v>
      </c>
      <c r="R233" s="266" t="s">
        <v>38</v>
      </c>
      <c r="S233" s="284"/>
      <c r="T233" s="274"/>
      <c r="U233" s="274"/>
      <c r="V233" s="274"/>
      <c r="W233" s="285"/>
      <c r="X233" s="285"/>
      <c r="Y233" s="285"/>
      <c r="Z233" s="285"/>
      <c r="AA233" s="285"/>
      <c r="AB233" s="285"/>
      <c r="AC233" s="285"/>
      <c r="AD233" s="286"/>
      <c r="AE233" s="285"/>
      <c r="AF233" s="285"/>
      <c r="AG233" s="285"/>
      <c r="AH233" s="285"/>
      <c r="AI233" s="285"/>
      <c r="AJ233" s="285"/>
      <c r="AK233" s="285"/>
      <c r="AL233" s="285"/>
      <c r="AM233" s="285"/>
      <c r="AN233" s="285"/>
      <c r="AO233" s="285"/>
      <c r="AP233" s="285"/>
      <c r="AQ233" s="285"/>
      <c r="AR233" s="285"/>
      <c r="AS233" s="285"/>
      <c r="AT233" s="285"/>
      <c r="AU233" s="285"/>
      <c r="AV233" s="285"/>
      <c r="AW233" s="285"/>
      <c r="AX233" s="285"/>
      <c r="AY233" s="285"/>
      <c r="AZ233" s="285"/>
      <c r="BA233" s="301"/>
      <c r="BB233" s="287"/>
      <c r="BC233" s="285"/>
      <c r="BD233" s="285"/>
      <c r="BE233" s="285"/>
      <c r="BF233" s="285"/>
      <c r="BG233" s="285"/>
      <c r="BH233" s="285"/>
      <c r="BI233" s="285"/>
      <c r="BJ233" s="285"/>
      <c r="BK233" s="285"/>
      <c r="BL233" s="285"/>
      <c r="BM233" s="285"/>
      <c r="BN233" s="285"/>
      <c r="BO233" s="286"/>
      <c r="BP233" s="286"/>
      <c r="BQ233" s="286"/>
      <c r="BR233" s="286"/>
      <c r="BS233" s="286"/>
      <c r="BT233" s="286"/>
      <c r="BU233" s="286"/>
      <c r="BV233" s="285">
        <v>2</v>
      </c>
      <c r="BW233" s="285">
        <v>2</v>
      </c>
      <c r="BX233" s="285"/>
      <c r="BY233" s="285"/>
      <c r="BZ233" s="285"/>
      <c r="CA233" s="285"/>
      <c r="CB233" s="285"/>
      <c r="CC233" s="285"/>
      <c r="CD233" s="285"/>
      <c r="CE233" s="285"/>
      <c r="CF233" s="285"/>
      <c r="CG233" s="285"/>
      <c r="CH233" s="285"/>
      <c r="CI233" s="285"/>
    </row>
    <row r="234" spans="1:87" ht="15" customHeight="1" x14ac:dyDescent="0.25">
      <c r="A234" s="278"/>
      <c r="B234" s="142" t="s">
        <v>26</v>
      </c>
      <c r="C234" s="138" t="s">
        <v>311</v>
      </c>
      <c r="D234" s="134"/>
      <c r="E234" s="240" t="s">
        <v>326</v>
      </c>
      <c r="F234" s="240" t="s">
        <v>2001</v>
      </c>
      <c r="G234" s="241">
        <f>COUNTA(G235:G238)</f>
        <v>4</v>
      </c>
      <c r="H234" s="279" t="s">
        <v>2023</v>
      </c>
      <c r="I234" s="280" t="s">
        <v>38</v>
      </c>
      <c r="J234" s="318">
        <f>MIN(J235:J238)</f>
        <v>45638</v>
      </c>
      <c r="K234" s="280"/>
      <c r="L234" s="281">
        <f>MIN(L235:L238)</f>
        <v>45638</v>
      </c>
      <c r="M234" s="282">
        <f>MAX(M235:M238)</f>
        <v>45646</v>
      </c>
      <c r="N234" s="332">
        <f t="array" ref="N234">MAX(IF(W234:CI234&gt;0,$W$16:$CI$16))</f>
        <v>0</v>
      </c>
      <c r="O234" s="251">
        <f>SUMPRODUCT(O235:O238,U235:U238)/SUM(U235:U238)</f>
        <v>0</v>
      </c>
      <c r="P234" s="251">
        <f ca="1">SUMPRODUCT(P235:P238,U235:U238)/SUM(U235:U238)</f>
        <v>0</v>
      </c>
      <c r="Q234" s="248">
        <f t="shared" ref="Q234:Q238" ca="1" si="90">O234-P234</f>
        <v>0</v>
      </c>
      <c r="R234" s="264" t="s">
        <v>2027</v>
      </c>
      <c r="S234" s="284"/>
      <c r="T234" s="274"/>
      <c r="U234" s="274"/>
      <c r="V234" s="274"/>
      <c r="W234" s="285"/>
      <c r="X234" s="285"/>
      <c r="Y234" s="285"/>
      <c r="Z234" s="285"/>
      <c r="AA234" s="285"/>
      <c r="AB234" s="285"/>
      <c r="AC234" s="285"/>
      <c r="AD234" s="286"/>
      <c r="AE234" s="285"/>
      <c r="AF234" s="285"/>
      <c r="AG234" s="285"/>
      <c r="AH234" s="285"/>
      <c r="AI234" s="285"/>
      <c r="AJ234" s="285"/>
      <c r="AK234" s="285"/>
      <c r="AL234" s="285"/>
      <c r="AM234" s="285"/>
      <c r="AN234" s="285"/>
      <c r="AO234" s="285"/>
      <c r="AP234" s="285"/>
      <c r="AQ234" s="285"/>
      <c r="AR234" s="285"/>
      <c r="AS234" s="285"/>
      <c r="AT234" s="285"/>
      <c r="AU234" s="285"/>
      <c r="AV234" s="285"/>
      <c r="AW234" s="287"/>
      <c r="AX234" s="285"/>
      <c r="AY234" s="285"/>
      <c r="AZ234" s="285"/>
      <c r="BA234" s="285"/>
      <c r="BB234" s="285"/>
      <c r="BC234" s="285"/>
      <c r="BD234" s="285"/>
      <c r="BE234" s="285"/>
      <c r="BF234" s="285"/>
      <c r="BG234" s="287"/>
      <c r="BH234" s="285"/>
      <c r="BI234" s="285"/>
      <c r="BJ234" s="285"/>
      <c r="BK234" s="285"/>
      <c r="BL234" s="285"/>
      <c r="BM234" s="288"/>
      <c r="BN234" s="285"/>
      <c r="BO234" s="286"/>
      <c r="BP234" s="286"/>
      <c r="BQ234" s="286"/>
      <c r="BR234" s="286"/>
      <c r="BS234" s="286"/>
      <c r="BT234" s="286"/>
      <c r="BU234" s="286"/>
      <c r="BV234" s="285"/>
      <c r="BW234" s="285"/>
      <c r="BX234" s="285"/>
      <c r="BY234" s="285"/>
      <c r="BZ234" s="285"/>
      <c r="CA234" s="285"/>
      <c r="CB234" s="285"/>
      <c r="CC234" s="285"/>
      <c r="CD234" s="285"/>
      <c r="CE234" s="285"/>
      <c r="CF234" s="285"/>
      <c r="CG234" s="285"/>
      <c r="CH234" s="285"/>
      <c r="CI234" s="285"/>
    </row>
    <row r="235" spans="1:87" ht="16.2" outlineLevel="1" x14ac:dyDescent="0.25">
      <c r="A235" s="278" t="str">
        <f>E235&amp;G235</f>
        <v>modesg_out_empr_info_nfinflg_rsc_fsc_agd</v>
      </c>
      <c r="B235" s="142" t="s">
        <v>26</v>
      </c>
      <c r="C235" s="138" t="s">
        <v>311</v>
      </c>
      <c r="D235" s="236" t="s">
        <v>40</v>
      </c>
      <c r="E235" s="237" t="s">
        <v>326</v>
      </c>
      <c r="F235" s="237"/>
      <c r="G235" s="236" t="s">
        <v>283</v>
      </c>
      <c r="H235" s="236" t="str">
        <f>VLOOKUP(A235,'2. Status Detalhe Campos'!$A$7:$G$574,7,0)</f>
        <v>6. Em implementação (re-especificação)</v>
      </c>
      <c r="I235" s="280" t="s">
        <v>38</v>
      </c>
      <c r="J235" s="289">
        <v>45638</v>
      </c>
      <c r="K235" s="280"/>
      <c r="L235" s="294">
        <f t="array" ref="L235">MIN(IF(W235:CI235&gt;0,$W$16:$CI$16))</f>
        <v>45643</v>
      </c>
      <c r="M235" s="295">
        <f t="array" ref="M235">MAX(IF(W235:CI235&gt;0,$W$16:$CI$16))</f>
        <v>45644</v>
      </c>
      <c r="N235" s="295"/>
      <c r="O235" s="249">
        <f>VLOOKUP(H235,Auxiliar!$B$16:$E$24,4,0)</f>
        <v>0</v>
      </c>
      <c r="P235" s="249">
        <f t="shared" ref="P235:P238" ca="1" si="91">IF(TODAY()&lt;=L235,0,MIN((TODAY()-L235)/(M235-L235+1),100%))</f>
        <v>0</v>
      </c>
      <c r="Q235" s="248">
        <f t="shared" ca="1" si="90"/>
        <v>0</v>
      </c>
      <c r="R235" s="266" t="s">
        <v>38</v>
      </c>
      <c r="S235" s="284"/>
      <c r="T235" s="274">
        <v>16.100000000000001</v>
      </c>
      <c r="U235" s="274">
        <f>ROUND(T235/8,1)</f>
        <v>2</v>
      </c>
      <c r="V235" s="274">
        <f>SUM(W235:CI235)-U235</f>
        <v>0</v>
      </c>
      <c r="W235" s="285"/>
      <c r="X235" s="285"/>
      <c r="Y235" s="285"/>
      <c r="Z235" s="285"/>
      <c r="AA235" s="285"/>
      <c r="AB235" s="285"/>
      <c r="AC235" s="285"/>
      <c r="AD235" s="286"/>
      <c r="AE235" s="285"/>
      <c r="AF235" s="285"/>
      <c r="AG235" s="285"/>
      <c r="AH235" s="285"/>
      <c r="AI235" s="285"/>
      <c r="AJ235" s="285"/>
      <c r="AK235" s="285"/>
      <c r="AL235" s="285"/>
      <c r="AM235" s="285"/>
      <c r="AN235" s="285"/>
      <c r="AO235" s="285"/>
      <c r="AP235" s="285"/>
      <c r="AQ235" s="285"/>
      <c r="AR235" s="285"/>
      <c r="AS235" s="285"/>
      <c r="AT235" s="285"/>
      <c r="AU235" s="285"/>
      <c r="AV235" s="285"/>
      <c r="AW235" s="287"/>
      <c r="AX235" s="285"/>
      <c r="AY235" s="285"/>
      <c r="AZ235" s="285"/>
      <c r="BA235" s="285"/>
      <c r="BB235" s="285"/>
      <c r="BC235" s="285"/>
      <c r="BD235" s="285"/>
      <c r="BE235" s="285"/>
      <c r="BF235" s="285"/>
      <c r="BG235" s="287"/>
      <c r="BH235" s="285"/>
      <c r="BI235" s="285"/>
      <c r="BJ235" s="285">
        <v>1</v>
      </c>
      <c r="BK235" s="285">
        <v>1</v>
      </c>
      <c r="BL235" s="285"/>
      <c r="BM235" s="285"/>
      <c r="BN235" s="285"/>
      <c r="BO235" s="286"/>
      <c r="BP235" s="286"/>
      <c r="BQ235" s="286"/>
      <c r="BR235" s="286"/>
      <c r="BS235" s="286"/>
      <c r="BT235" s="286"/>
      <c r="BU235" s="286"/>
      <c r="BV235" s="285"/>
      <c r="BW235" s="285"/>
      <c r="BX235" s="285"/>
      <c r="BY235" s="285"/>
      <c r="BZ235" s="285"/>
      <c r="CA235" s="285"/>
      <c r="CB235" s="285"/>
      <c r="CC235" s="285"/>
      <c r="CD235" s="285"/>
      <c r="CE235" s="285"/>
      <c r="CF235" s="285"/>
      <c r="CG235" s="285"/>
      <c r="CH235" s="285"/>
      <c r="CI235" s="285"/>
    </row>
    <row r="236" spans="1:87" ht="16.2" outlineLevel="1" x14ac:dyDescent="0.25">
      <c r="A236" s="278" t="str">
        <f>E236&amp;G236</f>
        <v>modesg_out_empr_info_nfinflg_rsc_fsc_crnc</v>
      </c>
      <c r="B236" s="142" t="s">
        <v>26</v>
      </c>
      <c r="C236" s="138" t="s">
        <v>311</v>
      </c>
      <c r="D236" s="236" t="s">
        <v>40</v>
      </c>
      <c r="E236" s="237" t="s">
        <v>326</v>
      </c>
      <c r="F236" s="237"/>
      <c r="G236" s="236" t="s">
        <v>284</v>
      </c>
      <c r="H236" s="236" t="str">
        <f>VLOOKUP(A236,'2. Status Detalhe Campos'!$A$7:$G$574,7,0)</f>
        <v>6. Em implementação (re-especificação)</v>
      </c>
      <c r="I236" s="280" t="s">
        <v>38</v>
      </c>
      <c r="J236" s="289">
        <v>45638</v>
      </c>
      <c r="K236" s="280"/>
      <c r="L236" s="294">
        <f t="array" ref="L236">MIN(IF(W236:CI236&gt;0,$W$16:$CI$16))</f>
        <v>45645</v>
      </c>
      <c r="M236" s="295">
        <f t="array" ref="M236">MAX(IF(W236:CI236&gt;0,$W$16:$CI$16))</f>
        <v>45646</v>
      </c>
      <c r="N236" s="295"/>
      <c r="O236" s="249">
        <f>VLOOKUP(H236,Auxiliar!$B$16:$E$24,4,0)</f>
        <v>0</v>
      </c>
      <c r="P236" s="249">
        <f t="shared" ca="1" si="91"/>
        <v>0</v>
      </c>
      <c r="Q236" s="248">
        <f t="shared" ca="1" si="90"/>
        <v>0</v>
      </c>
      <c r="R236" s="266" t="s">
        <v>38</v>
      </c>
      <c r="S236" s="284"/>
      <c r="T236" s="274">
        <v>16.100000000000001</v>
      </c>
      <c r="U236" s="274">
        <f>ROUND(T236/8,1)</f>
        <v>2</v>
      </c>
      <c r="V236" s="274">
        <f>SUM(W236:CI236)-U236</f>
        <v>0</v>
      </c>
      <c r="W236" s="285"/>
      <c r="X236" s="285"/>
      <c r="Y236" s="285"/>
      <c r="Z236" s="285"/>
      <c r="AA236" s="285"/>
      <c r="AB236" s="285"/>
      <c r="AC236" s="285"/>
      <c r="AD236" s="286"/>
      <c r="AE236" s="285"/>
      <c r="AF236" s="285"/>
      <c r="AG236" s="285"/>
      <c r="AH236" s="285"/>
      <c r="AI236" s="285"/>
      <c r="AJ236" s="285"/>
      <c r="AK236" s="285"/>
      <c r="AL236" s="285"/>
      <c r="AM236" s="285"/>
      <c r="AN236" s="285"/>
      <c r="AO236" s="285"/>
      <c r="AP236" s="285"/>
      <c r="AQ236" s="285"/>
      <c r="AR236" s="285"/>
      <c r="AS236" s="285"/>
      <c r="AT236" s="285"/>
      <c r="AU236" s="285"/>
      <c r="AV236" s="285"/>
      <c r="AW236" s="287"/>
      <c r="AX236" s="285"/>
      <c r="AY236" s="285"/>
      <c r="AZ236" s="285"/>
      <c r="BA236" s="285"/>
      <c r="BB236" s="285"/>
      <c r="BC236" s="285"/>
      <c r="BD236" s="285"/>
      <c r="BE236" s="285"/>
      <c r="BF236" s="285"/>
      <c r="BG236" s="287"/>
      <c r="BH236" s="285"/>
      <c r="BI236" s="285"/>
      <c r="BJ236" s="285"/>
      <c r="BK236" s="285"/>
      <c r="BL236" s="285">
        <v>1</v>
      </c>
      <c r="BM236" s="285">
        <v>1</v>
      </c>
      <c r="BN236" s="285"/>
      <c r="BO236" s="286"/>
      <c r="BP236" s="286"/>
      <c r="BQ236" s="286"/>
      <c r="BR236" s="286"/>
      <c r="BS236" s="286"/>
      <c r="BT236" s="286"/>
      <c r="BU236" s="286"/>
      <c r="BV236" s="285"/>
      <c r="BW236" s="285"/>
      <c r="BX236" s="285"/>
      <c r="BY236" s="285"/>
      <c r="BZ236" s="285"/>
      <c r="CA236" s="285"/>
      <c r="CB236" s="285"/>
      <c r="CC236" s="285"/>
      <c r="CD236" s="285"/>
      <c r="CE236" s="285"/>
      <c r="CF236" s="285"/>
      <c r="CG236" s="285"/>
      <c r="CH236" s="285"/>
      <c r="CI236" s="285"/>
    </row>
    <row r="237" spans="1:87" ht="16.2" outlineLevel="1" x14ac:dyDescent="0.25">
      <c r="A237" s="278" t="str">
        <f t="shared" ref="A237:A238" si="92">E237&amp;G237</f>
        <v>modesg_out_empr_info_nfinorigem_flg_rsc_fsc_agd</v>
      </c>
      <c r="B237" s="142" t="s">
        <v>26</v>
      </c>
      <c r="C237" s="138" t="s">
        <v>311</v>
      </c>
      <c r="D237" s="236" t="s">
        <v>40</v>
      </c>
      <c r="E237" s="237" t="s">
        <v>326</v>
      </c>
      <c r="F237" s="237"/>
      <c r="G237" s="236" t="s">
        <v>318</v>
      </c>
      <c r="H237" s="236" t="str">
        <f>VLOOKUP(A237,'2. Status Detalhe Campos'!$A$7:$G$574,7,0)</f>
        <v>6. Em implementação (re-especificação)</v>
      </c>
      <c r="I237" s="280" t="s">
        <v>38</v>
      </c>
      <c r="J237" s="289">
        <v>45638</v>
      </c>
      <c r="K237" s="280"/>
      <c r="L237" s="294">
        <f t="array" ref="L237">MIN(IF(W237:CI237&gt;0,$W$16:$CI$16))</f>
        <v>45638</v>
      </c>
      <c r="M237" s="295">
        <f t="array" ref="M237">MAX(IF(W237:CI237&gt;0,$W$16:$CI$16))</f>
        <v>45638</v>
      </c>
      <c r="N237" s="295"/>
      <c r="O237" s="249">
        <f>VLOOKUP(H237,Auxiliar!$B$16:$E$24,4,0)</f>
        <v>0</v>
      </c>
      <c r="P237" s="249">
        <f t="shared" ca="1" si="91"/>
        <v>0</v>
      </c>
      <c r="Q237" s="248">
        <f t="shared" ca="1" si="90"/>
        <v>0</v>
      </c>
      <c r="R237" s="266" t="s">
        <v>38</v>
      </c>
      <c r="S237" s="284"/>
      <c r="T237" s="274">
        <v>4.0999999999999996</v>
      </c>
      <c r="U237" s="274">
        <f t="shared" ref="U237:U238" si="93">ROUND(T237/8,1)</f>
        <v>0.5</v>
      </c>
      <c r="V237" s="274">
        <f>SUM(W237:CI237)-U237</f>
        <v>0</v>
      </c>
      <c r="W237" s="285"/>
      <c r="X237" s="285"/>
      <c r="Y237" s="285"/>
      <c r="Z237" s="285"/>
      <c r="AA237" s="285"/>
      <c r="AB237" s="285"/>
      <c r="AC237" s="285"/>
      <c r="AD237" s="286"/>
      <c r="AE237" s="285"/>
      <c r="AF237" s="285"/>
      <c r="AG237" s="285"/>
      <c r="AH237" s="285"/>
      <c r="AI237" s="285"/>
      <c r="AJ237" s="285"/>
      <c r="AK237" s="285"/>
      <c r="AL237" s="285"/>
      <c r="AM237" s="285"/>
      <c r="AN237" s="285"/>
      <c r="AO237" s="285"/>
      <c r="AP237" s="285"/>
      <c r="AQ237" s="285"/>
      <c r="AR237" s="285"/>
      <c r="AS237" s="285"/>
      <c r="AT237" s="285"/>
      <c r="AU237" s="285"/>
      <c r="AV237" s="285"/>
      <c r="AW237" s="287"/>
      <c r="AX237" s="285"/>
      <c r="AY237" s="285"/>
      <c r="AZ237" s="285"/>
      <c r="BA237" s="285"/>
      <c r="BB237" s="285"/>
      <c r="BC237" s="285"/>
      <c r="BD237" s="285"/>
      <c r="BE237" s="285"/>
      <c r="BF237" s="285"/>
      <c r="BG237" s="287">
        <v>0.5</v>
      </c>
      <c r="BH237" s="285"/>
      <c r="BI237" s="285"/>
      <c r="BJ237" s="285"/>
      <c r="BK237" s="285"/>
      <c r="BL237" s="285"/>
      <c r="BM237" s="285"/>
      <c r="BN237" s="285"/>
      <c r="BO237" s="286"/>
      <c r="BP237" s="286"/>
      <c r="BQ237" s="286"/>
      <c r="BR237" s="286"/>
      <c r="BS237" s="286"/>
      <c r="BT237" s="286"/>
      <c r="BU237" s="286"/>
      <c r="BV237" s="285"/>
      <c r="BW237" s="285"/>
      <c r="BX237" s="285"/>
      <c r="BY237" s="285"/>
      <c r="BZ237" s="285"/>
      <c r="CA237" s="285"/>
      <c r="CB237" s="285"/>
      <c r="CC237" s="285"/>
      <c r="CD237" s="285"/>
      <c r="CE237" s="285"/>
      <c r="CF237" s="285"/>
      <c r="CG237" s="285"/>
      <c r="CH237" s="285"/>
      <c r="CI237" s="285"/>
    </row>
    <row r="238" spans="1:87" ht="16.2" outlineLevel="1" x14ac:dyDescent="0.25">
      <c r="A238" s="278" t="str">
        <f t="shared" si="92"/>
        <v>modesg_out_empr_info_nfinorigem_flg_rsc_fsc_crnc</v>
      </c>
      <c r="B238" s="142" t="s">
        <v>26</v>
      </c>
      <c r="C238" s="138" t="s">
        <v>311</v>
      </c>
      <c r="D238" s="236" t="s">
        <v>40</v>
      </c>
      <c r="E238" s="237" t="s">
        <v>326</v>
      </c>
      <c r="F238" s="237"/>
      <c r="G238" s="236" t="s">
        <v>319</v>
      </c>
      <c r="H238" s="236" t="str">
        <f>VLOOKUP(A238,'2. Status Detalhe Campos'!$A$7:$G$574,7,0)</f>
        <v>6. Em implementação (re-especificação)</v>
      </c>
      <c r="I238" s="280" t="s">
        <v>38</v>
      </c>
      <c r="J238" s="289">
        <v>45638</v>
      </c>
      <c r="K238" s="280"/>
      <c r="L238" s="294">
        <f t="array" ref="L238">MIN(IF(W238:CI238&gt;0,$W$16:$CI$16))</f>
        <v>45638</v>
      </c>
      <c r="M238" s="295">
        <f t="array" ref="M238">MAX(IF(W238:CI238&gt;0,$W$16:$CI$16))</f>
        <v>45638</v>
      </c>
      <c r="N238" s="295"/>
      <c r="O238" s="249">
        <f>VLOOKUP(H238,Auxiliar!$B$16:$E$24,4,0)</f>
        <v>0</v>
      </c>
      <c r="P238" s="249">
        <f t="shared" ca="1" si="91"/>
        <v>0</v>
      </c>
      <c r="Q238" s="248">
        <f t="shared" ca="1" si="90"/>
        <v>0</v>
      </c>
      <c r="R238" s="266" t="s">
        <v>38</v>
      </c>
      <c r="S238" s="284"/>
      <c r="T238" s="274">
        <v>4.0999999999999996</v>
      </c>
      <c r="U238" s="274">
        <f t="shared" si="93"/>
        <v>0.5</v>
      </c>
      <c r="V238" s="274">
        <f>SUM(W238:CI238)-U238</f>
        <v>0</v>
      </c>
      <c r="W238" s="285"/>
      <c r="X238" s="285"/>
      <c r="Y238" s="285"/>
      <c r="Z238" s="285"/>
      <c r="AA238" s="285"/>
      <c r="AB238" s="285"/>
      <c r="AC238" s="285"/>
      <c r="AD238" s="286"/>
      <c r="AE238" s="285"/>
      <c r="AF238" s="285"/>
      <c r="AG238" s="285"/>
      <c r="AH238" s="285"/>
      <c r="AI238" s="285"/>
      <c r="AJ238" s="285"/>
      <c r="AK238" s="285"/>
      <c r="AL238" s="285"/>
      <c r="AM238" s="285"/>
      <c r="AN238" s="285"/>
      <c r="AO238" s="285"/>
      <c r="AP238" s="285"/>
      <c r="AQ238" s="285"/>
      <c r="AR238" s="285"/>
      <c r="AS238" s="285"/>
      <c r="AT238" s="285"/>
      <c r="AU238" s="285"/>
      <c r="AV238" s="285"/>
      <c r="AW238" s="287"/>
      <c r="AX238" s="285"/>
      <c r="AY238" s="285"/>
      <c r="AZ238" s="285"/>
      <c r="BA238" s="285"/>
      <c r="BB238" s="285"/>
      <c r="BC238" s="285"/>
      <c r="BD238" s="285"/>
      <c r="BE238" s="285"/>
      <c r="BF238" s="285"/>
      <c r="BG238" s="287">
        <v>0.5</v>
      </c>
      <c r="BH238" s="285"/>
      <c r="BI238" s="285"/>
      <c r="BJ238" s="285"/>
      <c r="BK238" s="285"/>
      <c r="BL238" s="285"/>
      <c r="BM238" s="285"/>
      <c r="BN238" s="285"/>
      <c r="BO238" s="286"/>
      <c r="BP238" s="286"/>
      <c r="BQ238" s="286"/>
      <c r="BR238" s="286"/>
      <c r="BS238" s="286"/>
      <c r="BT238" s="286"/>
      <c r="BU238" s="286"/>
      <c r="BV238" s="285"/>
      <c r="BW238" s="285"/>
      <c r="BX238" s="285"/>
      <c r="BY238" s="285"/>
      <c r="BZ238" s="285"/>
      <c r="CA238" s="285"/>
      <c r="CB238" s="285"/>
      <c r="CC238" s="285"/>
      <c r="CD238" s="285"/>
      <c r="CE238" s="285"/>
      <c r="CF238" s="285"/>
      <c r="CG238" s="285"/>
      <c r="CH238" s="285"/>
      <c r="CI238" s="285"/>
    </row>
    <row r="239" spans="1:87" ht="15" customHeight="1" x14ac:dyDescent="0.25">
      <c r="A239" s="278"/>
      <c r="B239" s="142" t="s">
        <v>26</v>
      </c>
      <c r="C239" s="138" t="s">
        <v>34</v>
      </c>
      <c r="D239" s="134"/>
      <c r="E239" s="242" t="s">
        <v>2022</v>
      </c>
      <c r="F239" s="240" t="s">
        <v>1979</v>
      </c>
      <c r="G239" s="242" t="s">
        <v>1958</v>
      </c>
      <c r="H239" s="279" t="s">
        <v>2023</v>
      </c>
      <c r="I239" s="282" t="s">
        <v>38</v>
      </c>
      <c r="J239" s="321">
        <v>45645</v>
      </c>
      <c r="K239" s="280"/>
      <c r="L239" s="283">
        <f t="array" ref="L239">MIN(IF(W239:CI239&gt;0,$W$16:$CI$16))</f>
        <v>45659</v>
      </c>
      <c r="M239" s="316">
        <f t="array" ref="M239">MAX(IF(W239:CI239&gt;0,$W$16:$CI$16))</f>
        <v>45660</v>
      </c>
      <c r="N239" s="332">
        <f t="array" ref="N239">MAX(IF(W239:CI239&gt;0,$W$16:$CI$16))</f>
        <v>45660</v>
      </c>
      <c r="O239" s="324">
        <v>0</v>
      </c>
      <c r="P239" s="324">
        <v>0</v>
      </c>
      <c r="Q239" s="248">
        <f t="shared" ref="Q239" si="94">O239-P239</f>
        <v>0</v>
      </c>
      <c r="R239" s="264" t="s">
        <v>2038</v>
      </c>
      <c r="S239" s="284"/>
      <c r="T239" s="274"/>
      <c r="U239" s="274"/>
      <c r="V239" s="274"/>
      <c r="W239" s="285"/>
      <c r="X239" s="285"/>
      <c r="Y239" s="285"/>
      <c r="Z239" s="285"/>
      <c r="AA239" s="285"/>
      <c r="AB239" s="285"/>
      <c r="AC239" s="285"/>
      <c r="AD239" s="286"/>
      <c r="AE239" s="285"/>
      <c r="AF239" s="285"/>
      <c r="AG239" s="285"/>
      <c r="AH239" s="285"/>
      <c r="AI239" s="293"/>
      <c r="AJ239" s="285"/>
      <c r="AK239" s="285"/>
      <c r="AL239" s="285"/>
      <c r="AM239" s="285"/>
      <c r="AN239" s="285"/>
      <c r="AO239" s="285"/>
      <c r="AP239" s="285"/>
      <c r="AQ239" s="285"/>
      <c r="AR239" s="285"/>
      <c r="AS239" s="285"/>
      <c r="AT239" s="285"/>
      <c r="AU239" s="285"/>
      <c r="AV239" s="285"/>
      <c r="AW239" s="287"/>
      <c r="AX239" s="285"/>
      <c r="AY239" s="285"/>
      <c r="AZ239" s="285"/>
      <c r="BA239" s="287"/>
      <c r="BB239" s="285"/>
      <c r="BC239" s="285"/>
      <c r="BD239" s="285"/>
      <c r="BE239" s="285"/>
      <c r="BF239" s="285"/>
      <c r="BG239" s="285"/>
      <c r="BH239" s="285"/>
      <c r="BI239" s="285"/>
      <c r="BJ239" s="285"/>
      <c r="BK239" s="285"/>
      <c r="BL239" s="287"/>
      <c r="BM239" s="285"/>
      <c r="BN239" s="285"/>
      <c r="BO239" s="286"/>
      <c r="BP239" s="286"/>
      <c r="BQ239" s="286"/>
      <c r="BR239" s="286"/>
      <c r="BS239" s="286"/>
      <c r="BT239" s="286"/>
      <c r="BU239" s="286"/>
      <c r="BV239" s="285">
        <v>1</v>
      </c>
      <c r="BW239" s="285">
        <v>1</v>
      </c>
      <c r="BX239" s="285"/>
      <c r="BY239" s="285"/>
      <c r="BZ239" s="285"/>
      <c r="CA239" s="285"/>
      <c r="CB239" s="285"/>
      <c r="CC239" s="285"/>
      <c r="CD239" s="285"/>
      <c r="CE239" s="285"/>
      <c r="CF239" s="285"/>
      <c r="CG239" s="285"/>
      <c r="CH239" s="285"/>
      <c r="CI239" s="285"/>
    </row>
    <row r="240" spans="1:87" ht="15" customHeight="1" x14ac:dyDescent="0.25">
      <c r="A240" s="278"/>
      <c r="B240" s="142" t="s">
        <v>26</v>
      </c>
      <c r="C240" s="138" t="s">
        <v>54</v>
      </c>
      <c r="D240" s="134"/>
      <c r="E240" s="242" t="s">
        <v>94</v>
      </c>
      <c r="F240" s="240" t="s">
        <v>1979</v>
      </c>
      <c r="G240" s="242">
        <v>1</v>
      </c>
      <c r="H240" s="279" t="s">
        <v>2023</v>
      </c>
      <c r="I240" s="282">
        <v>45604</v>
      </c>
      <c r="J240" s="321">
        <v>45645</v>
      </c>
      <c r="K240" s="280"/>
      <c r="L240" s="283"/>
      <c r="M240" s="316"/>
      <c r="N240" s="332">
        <f t="array" ref="N240">MAX(IF(W240:CI240&gt;0,$W$16:$CI$16))</f>
        <v>0</v>
      </c>
      <c r="O240" s="324">
        <v>0</v>
      </c>
      <c r="P240" s="324">
        <v>0</v>
      </c>
      <c r="Q240" s="248">
        <f t="shared" ref="Q240" si="95">O240-P240</f>
        <v>0</v>
      </c>
      <c r="R240" s="264" t="s">
        <v>2039</v>
      </c>
      <c r="S240" s="284"/>
      <c r="T240" s="274"/>
      <c r="U240" s="274"/>
      <c r="V240" s="274"/>
      <c r="W240" s="285"/>
      <c r="X240" s="285"/>
      <c r="Y240" s="285"/>
      <c r="Z240" s="285"/>
      <c r="AA240" s="285"/>
      <c r="AB240" s="285"/>
      <c r="AC240" s="285"/>
      <c r="AD240" s="286"/>
      <c r="AE240" s="285"/>
      <c r="AF240" s="285"/>
      <c r="AG240" s="285"/>
      <c r="AH240" s="285"/>
      <c r="AI240" s="293"/>
      <c r="AJ240" s="285"/>
      <c r="AK240" s="285"/>
      <c r="AL240" s="285"/>
      <c r="AM240" s="285"/>
      <c r="AN240" s="285"/>
      <c r="AO240" s="285"/>
      <c r="AP240" s="285"/>
      <c r="AQ240" s="285"/>
      <c r="AR240" s="285"/>
      <c r="AS240" s="285"/>
      <c r="AT240" s="285"/>
      <c r="AU240" s="285"/>
      <c r="AV240" s="285"/>
      <c r="AW240" s="285"/>
      <c r="AX240" s="285"/>
      <c r="AY240" s="285"/>
      <c r="AZ240" s="285"/>
      <c r="BA240" s="285"/>
      <c r="BB240" s="287"/>
      <c r="BC240" s="285"/>
      <c r="BD240" s="285"/>
      <c r="BE240" s="285"/>
      <c r="BF240" s="285"/>
      <c r="BG240" s="285"/>
      <c r="BH240" s="285"/>
      <c r="BI240" s="285"/>
      <c r="BJ240" s="285"/>
      <c r="BK240" s="285"/>
      <c r="BL240" s="287"/>
      <c r="BM240" s="285"/>
      <c r="BN240" s="285"/>
      <c r="BO240" s="286"/>
      <c r="BP240" s="286"/>
      <c r="BQ240" s="286"/>
      <c r="BR240" s="286"/>
      <c r="BS240" s="286"/>
      <c r="BT240" s="286"/>
      <c r="BU240" s="286"/>
      <c r="BV240" s="285"/>
      <c r="BW240" s="285"/>
      <c r="BX240" s="285"/>
      <c r="BY240" s="285"/>
      <c r="BZ240" s="285"/>
      <c r="CA240" s="285"/>
      <c r="CB240" s="285"/>
      <c r="CC240" s="285"/>
      <c r="CD240" s="285"/>
      <c r="CE240" s="285"/>
      <c r="CF240" s="285"/>
      <c r="CG240" s="285"/>
      <c r="CH240" s="285"/>
      <c r="CI240" s="285"/>
    </row>
    <row r="241" spans="1:87" ht="15" customHeight="1" x14ac:dyDescent="0.25">
      <c r="A241" s="278"/>
      <c r="B241" s="142" t="s">
        <v>26</v>
      </c>
      <c r="C241" s="138" t="s">
        <v>1977</v>
      </c>
      <c r="D241" s="134"/>
      <c r="E241" s="242" t="s">
        <v>1959</v>
      </c>
      <c r="F241" s="137"/>
      <c r="G241" s="137"/>
      <c r="H241" s="134"/>
      <c r="I241" s="280"/>
      <c r="J241" s="289"/>
      <c r="K241" s="280"/>
      <c r="L241" s="317"/>
      <c r="M241" s="317"/>
      <c r="N241" s="317"/>
      <c r="O241" s="248"/>
      <c r="P241" s="248"/>
      <c r="Q241" s="248"/>
      <c r="R241" s="265"/>
      <c r="S241" s="284"/>
      <c r="T241" s="274">
        <f>SUM(T177:T233)*0.3</f>
        <v>57.209999999999972</v>
      </c>
      <c r="U241" s="274">
        <f t="shared" ref="U241" si="96">ROUND(T241/8,1)</f>
        <v>7.2</v>
      </c>
      <c r="V241" s="274">
        <f>SUM(W241:CI241)-U241</f>
        <v>25.8</v>
      </c>
      <c r="W241" s="285"/>
      <c r="X241" s="285"/>
      <c r="Y241" s="285"/>
      <c r="Z241" s="285"/>
      <c r="AA241" s="285"/>
      <c r="AB241" s="285"/>
      <c r="AC241" s="285"/>
      <c r="AD241" s="286"/>
      <c r="AE241" s="285"/>
      <c r="AF241" s="285"/>
      <c r="AG241" s="285"/>
      <c r="AH241" s="285"/>
      <c r="AI241" s="285"/>
      <c r="AJ241" s="285"/>
      <c r="AK241" s="285"/>
      <c r="AL241" s="285"/>
      <c r="AM241" s="285"/>
      <c r="AN241" s="285"/>
      <c r="AO241" s="285"/>
      <c r="AP241" s="285"/>
      <c r="AQ241" s="285"/>
      <c r="AR241" s="285"/>
      <c r="AS241" s="285"/>
      <c r="AT241" s="285"/>
      <c r="AU241" s="285"/>
      <c r="AV241" s="285"/>
      <c r="AW241" s="285"/>
      <c r="AX241" s="285"/>
      <c r="AY241" s="285"/>
      <c r="AZ241" s="285"/>
      <c r="BA241" s="285"/>
      <c r="BB241" s="285"/>
      <c r="BC241" s="285"/>
      <c r="BD241" s="285"/>
      <c r="BE241" s="285"/>
      <c r="BF241" s="285"/>
      <c r="BG241" s="285"/>
      <c r="BH241" s="285"/>
      <c r="BI241" s="285"/>
      <c r="BJ241" s="285"/>
      <c r="BK241" s="285"/>
      <c r="BL241" s="285"/>
      <c r="BM241" s="285"/>
      <c r="BN241" s="285"/>
      <c r="BO241" s="286"/>
      <c r="BP241" s="286"/>
      <c r="BQ241" s="286"/>
      <c r="BR241" s="286"/>
      <c r="BS241" s="286"/>
      <c r="BT241" s="286"/>
      <c r="BU241" s="286"/>
      <c r="BV241" s="285"/>
      <c r="BW241" s="285"/>
      <c r="BX241" s="285">
        <v>2</v>
      </c>
      <c r="BY241" s="285">
        <v>3</v>
      </c>
      <c r="BZ241" s="285">
        <v>3</v>
      </c>
      <c r="CA241" s="285">
        <v>3</v>
      </c>
      <c r="CB241" s="285">
        <v>3</v>
      </c>
      <c r="CC241" s="285">
        <v>3</v>
      </c>
      <c r="CD241" s="285">
        <v>3</v>
      </c>
      <c r="CE241" s="285">
        <v>3</v>
      </c>
      <c r="CF241" s="285">
        <v>3</v>
      </c>
      <c r="CG241" s="285">
        <v>3</v>
      </c>
      <c r="CH241" s="285">
        <v>3</v>
      </c>
      <c r="CI241" s="285">
        <v>1</v>
      </c>
    </row>
  </sheetData>
  <autoFilter ref="A16:CO241" xr:uid="{00000000-0001-0000-0900-000000000000}"/>
  <conditionalFormatting sqref="V17:V241">
    <cfRule type="cellIs" dxfId="11" priority="58" operator="notEqual">
      <formula>0</formula>
    </cfRule>
  </conditionalFormatting>
  <conditionalFormatting sqref="W17:CI241">
    <cfRule type="cellIs" dxfId="10" priority="45" operator="greaterThan">
      <formula>0</formula>
    </cfRule>
  </conditionalFormatting>
  <conditionalFormatting sqref="Y6:CI6 Y9:CI10">
    <cfRule type="cellIs" dxfId="9" priority="57" operator="notEqual">
      <formula>0</formula>
    </cfRule>
  </conditionalFormatting>
  <conditionalFormatting sqref="AO50:BT50">
    <cfRule type="cellIs" dxfId="8" priority="47" operator="greaterThan">
      <formula>0</formula>
    </cfRule>
  </conditionalFormatting>
  <conditionalFormatting sqref="AO70:BT73 BU70:CI75 AP74:AT74">
    <cfRule type="cellIs" dxfId="7" priority="2" operator="greaterThan">
      <formula>0</formula>
    </cfRule>
  </conditionalFormatting>
  <conditionalFormatting sqref="AO86:CI86">
    <cfRule type="cellIs" dxfId="6" priority="44" operator="greaterThan">
      <formula>0</formula>
    </cfRule>
  </conditionalFormatting>
  <conditionalFormatting sqref="BB233:BB238">
    <cfRule type="cellIs" dxfId="5" priority="3" operator="greaterThan">
      <formula>0</formula>
    </cfRule>
  </conditionalFormatting>
  <conditionalFormatting sqref="BB240">
    <cfRule type="cellIs" dxfId="4" priority="10" operator="greaterThan">
      <formula>0</formula>
    </cfRule>
  </conditionalFormatting>
  <conditionalFormatting sqref="BL239:BL240">
    <cfRule type="cellIs" dxfId="3" priority="4" operator="greaterThan">
      <formula>0</formula>
    </cfRule>
  </conditionalFormatting>
  <conditionalFormatting sqref="BU87:CI88">
    <cfRule type="cellIs" dxfId="2" priority="56"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x14ac:dyDescent="0.25"/>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x14ac:dyDescent="0.25"/>
    <row r="2" spans="1:55" x14ac:dyDescent="0.2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x14ac:dyDescent="0.2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x14ac:dyDescent="0.2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x14ac:dyDescent="0.25">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x14ac:dyDescent="0.25"/>
    <row r="7" spans="1:55" x14ac:dyDescent="0.25"/>
    <row r="8" spans="1:55" x14ac:dyDescent="0.25">
      <c r="B8" s="223"/>
      <c r="C8" t="s">
        <v>1960</v>
      </c>
      <c r="G8" s="222"/>
      <c r="H8" s="222"/>
      <c r="I8" s="222"/>
      <c r="J8" s="222"/>
      <c r="K8" s="222"/>
      <c r="L8" s="222"/>
      <c r="M8" s="222"/>
      <c r="N8" s="222"/>
      <c r="O8" s="222"/>
      <c r="P8" s="222"/>
      <c r="Q8" s="222"/>
      <c r="R8" s="222"/>
      <c r="S8" s="222"/>
      <c r="T8" s="222"/>
      <c r="U8" s="222"/>
      <c r="V8" s="222"/>
      <c r="W8" s="222"/>
      <c r="X8" s="222"/>
      <c r="Y8" s="222"/>
      <c r="Z8" s="222"/>
      <c r="AA8" s="222"/>
      <c r="AB8" s="222"/>
      <c r="AC8" s="222"/>
      <c r="AD8" s="222"/>
      <c r="AE8" s="222"/>
      <c r="AF8" s="222"/>
      <c r="AG8" s="222"/>
      <c r="AH8" s="222"/>
      <c r="AI8" s="222"/>
      <c r="AJ8" s="222"/>
      <c r="AK8" s="222"/>
      <c r="AL8" s="222"/>
      <c r="AM8" s="222"/>
      <c r="AN8" s="222"/>
      <c r="AO8" s="222"/>
      <c r="AP8" s="222"/>
      <c r="AQ8" s="222"/>
      <c r="AR8" s="222"/>
      <c r="AS8" s="222"/>
      <c r="AT8" s="222"/>
      <c r="AU8" s="222"/>
      <c r="AV8" s="222"/>
      <c r="AW8" s="222"/>
      <c r="AX8" s="222"/>
      <c r="AY8" s="222"/>
      <c r="AZ8" s="222"/>
      <c r="BA8" s="222"/>
      <c r="BB8" s="222"/>
    </row>
    <row r="9" spans="1:55" ht="17.399999999999999" x14ac:dyDescent="0.45">
      <c r="B9" s="225"/>
      <c r="C9" t="s">
        <v>1961</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x14ac:dyDescent="0.25">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x14ac:dyDescent="0.25">
      <c r="B11" s="226" t="s">
        <v>8</v>
      </c>
      <c r="C11" s="227" t="s">
        <v>11</v>
      </c>
      <c r="D11" s="227" t="s">
        <v>1962</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x14ac:dyDescent="0.25">
      <c r="A12" s="30"/>
      <c r="B12" s="138" t="s">
        <v>1963</v>
      </c>
      <c r="C12" s="135" t="s">
        <v>37</v>
      </c>
      <c r="D12" s="228">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24"/>
      <c r="AF12" s="79"/>
      <c r="AG12" s="79"/>
      <c r="AH12" s="79"/>
      <c r="AI12" s="79"/>
      <c r="AJ12" s="79"/>
      <c r="AK12" s="229"/>
      <c r="AL12" s="79"/>
      <c r="AM12" s="79"/>
      <c r="AN12" s="79"/>
      <c r="AO12" s="79"/>
      <c r="AP12" s="79"/>
      <c r="AQ12" s="79"/>
      <c r="AR12" s="79"/>
      <c r="AS12" s="79"/>
      <c r="AT12" s="79"/>
      <c r="AU12" s="79"/>
      <c r="AV12" s="79"/>
      <c r="AW12" s="92"/>
      <c r="AX12" s="92"/>
      <c r="AY12" s="92"/>
      <c r="AZ12" s="92"/>
      <c r="BA12" s="92"/>
      <c r="BB12" s="92"/>
    </row>
    <row r="13" spans="1:55" ht="16.2" x14ac:dyDescent="0.25">
      <c r="A13" s="30"/>
      <c r="B13" s="138" t="s">
        <v>1964</v>
      </c>
      <c r="C13" s="135" t="s">
        <v>123</v>
      </c>
      <c r="D13" s="228">
        <v>22</v>
      </c>
      <c r="E13" s="79"/>
      <c r="F13" s="79"/>
      <c r="G13" s="79"/>
      <c r="H13" s="224"/>
      <c r="I13" s="79"/>
      <c r="J13" s="79"/>
      <c r="K13" s="79"/>
      <c r="L13" s="92"/>
      <c r="M13" s="79"/>
      <c r="N13" s="79"/>
      <c r="O13" s="79"/>
      <c r="P13" s="79"/>
      <c r="Q13" s="79"/>
      <c r="R13" s="79"/>
      <c r="S13" s="79"/>
      <c r="T13" s="79"/>
      <c r="U13" s="79"/>
      <c r="V13" s="229"/>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x14ac:dyDescent="0.25">
      <c r="A14" s="30"/>
      <c r="B14" s="138" t="s">
        <v>1965</v>
      </c>
      <c r="C14" s="135" t="s">
        <v>182</v>
      </c>
      <c r="D14" s="228">
        <v>16</v>
      </c>
      <c r="E14" s="79"/>
      <c r="F14" s="79"/>
      <c r="G14" s="79"/>
      <c r="H14" s="79"/>
      <c r="I14" s="79"/>
      <c r="J14" s="79"/>
      <c r="K14" s="79"/>
      <c r="L14" s="92"/>
      <c r="M14" s="79"/>
      <c r="N14" s="79"/>
      <c r="O14" s="79"/>
      <c r="P14" s="224"/>
      <c r="Q14" s="79"/>
      <c r="R14" s="79"/>
      <c r="S14" s="79"/>
      <c r="T14" s="79"/>
      <c r="U14" s="79"/>
      <c r="V14" s="229"/>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x14ac:dyDescent="0.25">
      <c r="A15" s="30"/>
      <c r="B15" s="230" t="s">
        <v>311</v>
      </c>
      <c r="C15" s="135" t="s">
        <v>312</v>
      </c>
      <c r="D15" s="228">
        <v>12</v>
      </c>
      <c r="E15" s="79"/>
      <c r="F15" s="79"/>
      <c r="G15" s="79"/>
      <c r="H15" s="79"/>
      <c r="I15" s="79"/>
      <c r="J15" s="79"/>
      <c r="K15" s="79"/>
      <c r="L15" s="92"/>
      <c r="M15" s="224"/>
      <c r="N15" s="79"/>
      <c r="O15" s="79"/>
      <c r="P15" s="79"/>
      <c r="Q15" s="79"/>
      <c r="R15" s="79"/>
      <c r="S15" s="79"/>
      <c r="T15" s="79"/>
      <c r="U15" s="79"/>
      <c r="V15" s="229"/>
      <c r="W15" s="79"/>
      <c r="X15" s="79"/>
      <c r="Y15" s="79"/>
      <c r="Z15" s="79"/>
      <c r="AA15" s="79"/>
      <c r="AB15" s="224"/>
      <c r="AC15" s="79"/>
      <c r="AD15" s="79"/>
      <c r="AE15" s="79"/>
      <c r="AF15" s="79"/>
      <c r="AG15" s="79"/>
      <c r="AH15" s="79"/>
      <c r="AI15" s="79"/>
      <c r="AJ15" s="79"/>
      <c r="AK15" s="229"/>
      <c r="AL15" s="79"/>
      <c r="AM15" s="79"/>
      <c r="AN15" s="79"/>
      <c r="AO15" s="79"/>
      <c r="AP15" s="79"/>
      <c r="AQ15" s="79"/>
      <c r="AR15" s="79"/>
      <c r="AS15" s="79"/>
      <c r="AT15" s="79"/>
      <c r="AU15" s="79"/>
      <c r="AV15" s="79"/>
      <c r="AW15" s="92"/>
      <c r="AX15" s="92"/>
      <c r="AY15" s="92"/>
      <c r="AZ15" s="92"/>
      <c r="BA15" s="92"/>
      <c r="BB15" s="92"/>
    </row>
    <row r="16" spans="1:55" ht="16.2" outlineLevel="1" x14ac:dyDescent="0.25">
      <c r="A16" s="30"/>
      <c r="B16" s="231" t="s">
        <v>311</v>
      </c>
      <c r="C16" s="232" t="s">
        <v>1966</v>
      </c>
      <c r="D16" s="228">
        <v>8</v>
      </c>
      <c r="E16" s="79"/>
      <c r="F16" s="79"/>
      <c r="G16" s="79"/>
      <c r="H16" s="79"/>
      <c r="I16" s="79"/>
      <c r="J16" s="79"/>
      <c r="K16" s="79"/>
      <c r="L16" s="92"/>
      <c r="M16" s="224"/>
      <c r="N16" s="79"/>
      <c r="O16" s="79"/>
      <c r="P16" s="79"/>
      <c r="Q16" s="79"/>
      <c r="R16" s="79"/>
      <c r="S16" s="79"/>
      <c r="T16" s="79"/>
      <c r="U16" s="79"/>
      <c r="V16" s="229"/>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x14ac:dyDescent="0.25">
      <c r="A17" s="30"/>
      <c r="B17" s="231" t="s">
        <v>311</v>
      </c>
      <c r="C17" s="232" t="s">
        <v>1967</v>
      </c>
      <c r="D17" s="228">
        <v>4</v>
      </c>
      <c r="E17" s="79"/>
      <c r="F17" s="79"/>
      <c r="G17" s="79"/>
      <c r="H17" s="79"/>
      <c r="I17" s="79"/>
      <c r="J17" s="79"/>
      <c r="K17" s="79"/>
      <c r="L17" s="92"/>
      <c r="M17" s="79"/>
      <c r="N17" s="79"/>
      <c r="O17" s="79"/>
      <c r="P17" s="79"/>
      <c r="Q17" s="79"/>
      <c r="R17" s="79"/>
      <c r="S17" s="79"/>
      <c r="T17" s="79"/>
      <c r="U17" s="79"/>
      <c r="V17" s="79"/>
      <c r="W17" s="79"/>
      <c r="X17" s="79"/>
      <c r="Y17" s="79"/>
      <c r="Z17" s="79"/>
      <c r="AA17" s="79"/>
      <c r="AB17" s="224"/>
      <c r="AC17" s="79"/>
      <c r="AD17" s="79"/>
      <c r="AE17" s="79"/>
      <c r="AF17" s="79"/>
      <c r="AG17" s="79"/>
      <c r="AH17" s="79"/>
      <c r="AI17" s="79"/>
      <c r="AJ17" s="79"/>
      <c r="AK17" s="229"/>
      <c r="AL17" s="79"/>
      <c r="AM17" s="79"/>
      <c r="AN17" s="79"/>
      <c r="AO17" s="79"/>
      <c r="AP17" s="79"/>
      <c r="AQ17" s="79"/>
      <c r="AR17" s="79"/>
      <c r="AS17" s="79"/>
      <c r="AT17" s="79"/>
      <c r="AU17" s="79"/>
      <c r="AV17" s="79"/>
      <c r="AW17" s="92"/>
      <c r="AX17" s="92"/>
      <c r="AY17" s="92"/>
      <c r="AZ17" s="92"/>
      <c r="BA17" s="92"/>
      <c r="BB17" s="92"/>
    </row>
    <row r="18" spans="1:54" ht="16.2" x14ac:dyDescent="0.25">
      <c r="A18" s="30"/>
      <c r="B18" s="138" t="s">
        <v>1968</v>
      </c>
      <c r="C18" s="135" t="s">
        <v>326</v>
      </c>
      <c r="D18" s="228">
        <v>30</v>
      </c>
      <c r="E18" s="79"/>
      <c r="F18" s="79"/>
      <c r="G18" s="79"/>
      <c r="H18" s="79"/>
      <c r="I18" s="79"/>
      <c r="J18" s="79"/>
      <c r="K18" s="79"/>
      <c r="L18" s="92"/>
      <c r="M18" s="79"/>
      <c r="N18" s="79"/>
      <c r="O18" s="79"/>
      <c r="P18" s="79"/>
      <c r="Q18" s="79"/>
      <c r="R18" s="79"/>
      <c r="S18" s="79"/>
      <c r="T18" s="79"/>
      <c r="U18" s="79"/>
      <c r="V18" s="79"/>
      <c r="W18" s="224"/>
      <c r="X18" s="79"/>
      <c r="Y18" s="79"/>
      <c r="Z18" s="79"/>
      <c r="AA18" s="79"/>
      <c r="AB18" s="224"/>
      <c r="AC18" s="79"/>
      <c r="AD18" s="79"/>
      <c r="AE18" s="224"/>
      <c r="AF18" s="79"/>
      <c r="AG18" s="79"/>
      <c r="AH18" s="79"/>
      <c r="AI18" s="79"/>
      <c r="AJ18" s="79"/>
      <c r="AK18" s="79"/>
      <c r="AL18" s="79"/>
      <c r="AM18" s="79"/>
      <c r="AN18" s="79"/>
      <c r="AO18" s="229"/>
      <c r="AP18" s="79"/>
      <c r="AQ18" s="79"/>
      <c r="AR18" s="79"/>
      <c r="AS18" s="79"/>
      <c r="AT18" s="79"/>
      <c r="AU18" s="229"/>
      <c r="AV18" s="79"/>
      <c r="AW18" s="92"/>
      <c r="AX18" s="92"/>
      <c r="AY18" s="92"/>
      <c r="AZ18" s="92"/>
      <c r="BA18" s="92"/>
      <c r="BB18" s="92"/>
    </row>
    <row r="19" spans="1:54" ht="16.2" outlineLevel="1" x14ac:dyDescent="0.25">
      <c r="A19" s="30"/>
      <c r="B19" s="233" t="s">
        <v>1968</v>
      </c>
      <c r="C19" s="232" t="s">
        <v>1966</v>
      </c>
      <c r="D19" s="228">
        <v>20</v>
      </c>
      <c r="E19" s="79"/>
      <c r="F19" s="79"/>
      <c r="G19" s="79"/>
      <c r="H19" s="79"/>
      <c r="I19" s="79"/>
      <c r="J19" s="79"/>
      <c r="K19" s="79"/>
      <c r="L19" s="92"/>
      <c r="M19" s="79"/>
      <c r="N19" s="79"/>
      <c r="O19" s="79"/>
      <c r="P19" s="79"/>
      <c r="Q19" s="79"/>
      <c r="R19" s="79"/>
      <c r="S19" s="79"/>
      <c r="T19" s="79"/>
      <c r="U19" s="79"/>
      <c r="V19" s="79"/>
      <c r="W19" s="224"/>
      <c r="X19" s="79"/>
      <c r="Y19" s="79"/>
      <c r="Z19" s="79"/>
      <c r="AA19" s="79"/>
      <c r="AB19" s="79"/>
      <c r="AC19" s="79"/>
      <c r="AD19" s="79"/>
      <c r="AE19" s="79"/>
      <c r="AF19" s="79"/>
      <c r="AG19" s="79"/>
      <c r="AH19" s="79"/>
      <c r="AI19" s="79"/>
      <c r="AJ19" s="79"/>
      <c r="AK19" s="79"/>
      <c r="AL19" s="79"/>
      <c r="AM19" s="79"/>
      <c r="AN19" s="79"/>
      <c r="AO19" s="229"/>
      <c r="AP19" s="79"/>
      <c r="AQ19" s="79"/>
      <c r="AR19" s="79"/>
      <c r="AS19" s="79"/>
      <c r="AT19" s="79"/>
      <c r="AU19" s="79"/>
      <c r="AV19" s="79"/>
      <c r="AW19" s="92"/>
      <c r="AX19" s="92"/>
      <c r="AY19" s="92"/>
      <c r="AZ19" s="92"/>
      <c r="BA19" s="92"/>
      <c r="BB19" s="92"/>
    </row>
    <row r="20" spans="1:54" ht="16.2" outlineLevel="1" x14ac:dyDescent="0.25">
      <c r="A20" s="30"/>
      <c r="B20" s="233" t="s">
        <v>1968</v>
      </c>
      <c r="C20" s="232" t="s">
        <v>1967</v>
      </c>
      <c r="D20" s="228">
        <v>6</v>
      </c>
      <c r="E20" s="79"/>
      <c r="F20" s="79"/>
      <c r="G20" s="79"/>
      <c r="H20" s="79"/>
      <c r="I20" s="79"/>
      <c r="J20" s="79"/>
      <c r="K20" s="79"/>
      <c r="L20" s="92"/>
      <c r="M20" s="79"/>
      <c r="N20" s="79"/>
      <c r="O20" s="79"/>
      <c r="P20" s="79"/>
      <c r="Q20" s="79"/>
      <c r="R20" s="79"/>
      <c r="S20" s="79"/>
      <c r="T20" s="79"/>
      <c r="U20" s="79"/>
      <c r="V20" s="79"/>
      <c r="W20" s="79"/>
      <c r="X20" s="79"/>
      <c r="Y20" s="79"/>
      <c r="Z20" s="79"/>
      <c r="AA20" s="79"/>
      <c r="AB20" s="224"/>
      <c r="AC20" s="79"/>
      <c r="AD20" s="79"/>
      <c r="AE20" s="79"/>
      <c r="AF20" s="79"/>
      <c r="AG20" s="79"/>
      <c r="AH20" s="79"/>
      <c r="AI20" s="79"/>
      <c r="AJ20" s="79"/>
      <c r="AK20" s="79"/>
      <c r="AL20" s="79"/>
      <c r="AM20" s="79"/>
      <c r="AN20" s="79"/>
      <c r="AO20" s="79"/>
      <c r="AP20" s="79"/>
      <c r="AQ20" s="79"/>
      <c r="AR20" s="79"/>
      <c r="AS20" s="79"/>
      <c r="AT20" s="79"/>
      <c r="AU20" s="229"/>
      <c r="AV20" s="79"/>
      <c r="AW20" s="92"/>
      <c r="AX20" s="92"/>
      <c r="AY20" s="92"/>
      <c r="AZ20" s="92"/>
      <c r="BA20" s="92"/>
      <c r="BB20" s="92"/>
    </row>
    <row r="21" spans="1:54" ht="16.2" outlineLevel="1" x14ac:dyDescent="0.25">
      <c r="A21" s="30"/>
      <c r="B21" s="233" t="s">
        <v>1968</v>
      </c>
      <c r="C21" s="232" t="s">
        <v>1969</v>
      </c>
      <c r="D21" s="228">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24"/>
      <c r="AF21" s="79"/>
      <c r="AG21" s="79"/>
      <c r="AH21" s="79"/>
      <c r="AI21" s="79"/>
      <c r="AJ21" s="79"/>
      <c r="AK21" s="79"/>
      <c r="AL21" s="79"/>
      <c r="AM21" s="79"/>
      <c r="AN21" s="79"/>
      <c r="AO21" s="229"/>
      <c r="AP21" s="79"/>
      <c r="AQ21" s="79"/>
      <c r="AR21" s="79"/>
      <c r="AS21" s="79"/>
      <c r="AT21" s="79"/>
      <c r="AU21" s="79"/>
      <c r="AV21" s="79"/>
      <c r="AW21" s="92"/>
      <c r="AX21" s="92"/>
      <c r="AY21" s="92"/>
      <c r="AZ21" s="92"/>
      <c r="BA21" s="92"/>
      <c r="BB21" s="92"/>
    </row>
    <row r="22" spans="1:54" ht="16.2" x14ac:dyDescent="0.25">
      <c r="A22" s="30"/>
      <c r="B22" s="138" t="s">
        <v>1968</v>
      </c>
      <c r="C22" s="135" t="s">
        <v>332</v>
      </c>
      <c r="D22" s="228">
        <v>7</v>
      </c>
      <c r="E22" s="79"/>
      <c r="F22" s="79"/>
      <c r="G22" s="79"/>
      <c r="H22" s="79"/>
      <c r="I22" s="79"/>
      <c r="J22" s="79"/>
      <c r="K22" s="79"/>
      <c r="L22" s="92"/>
      <c r="M22" s="79"/>
      <c r="N22" s="79"/>
      <c r="O22" s="79"/>
      <c r="P22" s="79"/>
      <c r="Q22" s="79"/>
      <c r="R22" s="224"/>
      <c r="S22" s="79"/>
      <c r="T22" s="79"/>
      <c r="U22" s="79"/>
      <c r="V22" s="79"/>
      <c r="W22" s="79"/>
      <c r="X22" s="79"/>
      <c r="Y22" s="79"/>
      <c r="Z22" s="79"/>
      <c r="AA22" s="229"/>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x14ac:dyDescent="0.25">
      <c r="A23" s="30"/>
      <c r="B23" s="138" t="s">
        <v>1970</v>
      </c>
      <c r="C23" s="135" t="s">
        <v>334</v>
      </c>
      <c r="D23" s="228">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24"/>
      <c r="AF23" s="79"/>
      <c r="AG23" s="79"/>
      <c r="AH23" s="79"/>
      <c r="AI23" s="79"/>
      <c r="AJ23" s="79"/>
      <c r="AK23" s="79"/>
      <c r="AL23" s="79"/>
      <c r="AM23" s="79"/>
      <c r="AN23" s="79"/>
      <c r="AO23" s="79"/>
      <c r="AP23" s="79"/>
      <c r="AQ23" s="79"/>
      <c r="AR23" s="79"/>
      <c r="AS23" s="79"/>
      <c r="AT23" s="79"/>
      <c r="AU23" s="229"/>
      <c r="AV23" s="79"/>
      <c r="AW23" s="92"/>
      <c r="AX23" s="92"/>
      <c r="AY23" s="92"/>
      <c r="AZ23" s="92"/>
      <c r="BA23" s="92"/>
      <c r="BB23" s="92"/>
    </row>
    <row r="24" spans="1:54" ht="16.2" x14ac:dyDescent="0.25">
      <c r="A24" s="30"/>
      <c r="B24" s="138" t="s">
        <v>26</v>
      </c>
      <c r="C24" s="137" t="s">
        <v>336</v>
      </c>
      <c r="D24" s="228">
        <v>32</v>
      </c>
      <c r="E24" s="79"/>
      <c r="F24" s="79"/>
      <c r="G24" s="79"/>
      <c r="H24" s="79"/>
      <c r="I24" s="79"/>
      <c r="J24" s="79"/>
      <c r="K24" s="224"/>
      <c r="L24" s="92"/>
      <c r="M24" s="79"/>
      <c r="N24" s="79"/>
      <c r="O24" s="79"/>
      <c r="P24" s="79"/>
      <c r="Q24" s="229"/>
      <c r="R24" s="79"/>
      <c r="S24" s="79"/>
      <c r="T24" s="79"/>
      <c r="U24" s="79"/>
      <c r="V24" s="79"/>
      <c r="W24" s="224"/>
      <c r="X24" s="79"/>
      <c r="Y24" s="79"/>
      <c r="Z24" s="79"/>
      <c r="AA24" s="79"/>
      <c r="AB24" s="224"/>
      <c r="AC24" s="79"/>
      <c r="AD24" s="79"/>
      <c r="AE24" s="229"/>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x14ac:dyDescent="0.25">
      <c r="A25" s="30"/>
      <c r="B25" s="233" t="s">
        <v>26</v>
      </c>
      <c r="C25" s="232" t="s">
        <v>1966</v>
      </c>
      <c r="D25" s="228">
        <v>1</v>
      </c>
      <c r="E25" s="79"/>
      <c r="F25" s="79"/>
      <c r="G25" s="79"/>
      <c r="H25" s="79"/>
      <c r="I25" s="79"/>
      <c r="J25" s="79"/>
      <c r="K25" s="224"/>
      <c r="L25" s="92"/>
      <c r="M25" s="79"/>
      <c r="N25" s="79"/>
      <c r="O25" s="79"/>
      <c r="P25" s="79"/>
      <c r="Q25" s="22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x14ac:dyDescent="0.25">
      <c r="A26" s="30"/>
      <c r="B26" s="233" t="s">
        <v>26</v>
      </c>
      <c r="C26" s="232" t="s">
        <v>1967</v>
      </c>
      <c r="D26" s="228">
        <v>15</v>
      </c>
      <c r="E26" s="79"/>
      <c r="F26" s="79"/>
      <c r="G26" s="79"/>
      <c r="H26" s="79"/>
      <c r="I26" s="79"/>
      <c r="J26" s="79"/>
      <c r="K26" s="79"/>
      <c r="L26" s="92"/>
      <c r="M26" s="79"/>
      <c r="N26" s="79"/>
      <c r="O26" s="79"/>
      <c r="P26" s="79"/>
      <c r="Q26" s="79"/>
      <c r="R26" s="79"/>
      <c r="S26" s="79"/>
      <c r="T26" s="79"/>
      <c r="U26" s="79"/>
      <c r="V26" s="79"/>
      <c r="W26" s="224"/>
      <c r="X26" s="79"/>
      <c r="Y26" s="79"/>
      <c r="Z26" s="79"/>
      <c r="AA26" s="79"/>
      <c r="AB26" s="79"/>
      <c r="AC26" s="79"/>
      <c r="AD26" s="79"/>
      <c r="AE26" s="229"/>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x14ac:dyDescent="0.25">
      <c r="A27" s="30"/>
      <c r="B27" s="233" t="s">
        <v>26</v>
      </c>
      <c r="C27" s="232" t="s">
        <v>1969</v>
      </c>
      <c r="D27" s="228">
        <v>3</v>
      </c>
      <c r="E27" s="79"/>
      <c r="F27" s="79"/>
      <c r="G27" s="79"/>
      <c r="H27" s="79"/>
      <c r="I27" s="79"/>
      <c r="J27" s="79"/>
      <c r="K27" s="79"/>
      <c r="L27" s="92"/>
      <c r="M27" s="79"/>
      <c r="N27" s="79"/>
      <c r="O27" s="79"/>
      <c r="P27" s="79"/>
      <c r="Q27" s="79"/>
      <c r="R27" s="79"/>
      <c r="S27" s="79"/>
      <c r="T27" s="79"/>
      <c r="U27" s="79"/>
      <c r="V27" s="79"/>
      <c r="W27" s="79"/>
      <c r="X27" s="79"/>
      <c r="Y27" s="79"/>
      <c r="Z27" s="79"/>
      <c r="AA27" s="79"/>
      <c r="AB27" s="224"/>
      <c r="AC27" s="79"/>
      <c r="AD27" s="79"/>
      <c r="AE27" s="229"/>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x14ac:dyDescent="0.25">
      <c r="A28" s="30"/>
      <c r="B28" s="233" t="s">
        <v>26</v>
      </c>
      <c r="C28" s="234" t="s">
        <v>1971</v>
      </c>
      <c r="D28" s="228">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x14ac:dyDescent="0.25">
      <c r="A29" s="30"/>
      <c r="B29" s="138" t="s">
        <v>26</v>
      </c>
      <c r="C29" s="137" t="s">
        <v>369</v>
      </c>
      <c r="D29" s="228">
        <v>22</v>
      </c>
      <c r="E29" s="79"/>
      <c r="F29" s="79"/>
      <c r="G29" s="79"/>
      <c r="H29" s="79"/>
      <c r="I29" s="79"/>
      <c r="J29" s="79"/>
      <c r="K29" s="224"/>
      <c r="L29" s="92"/>
      <c r="M29" s="79"/>
      <c r="N29" s="79"/>
      <c r="O29" s="79"/>
      <c r="P29" s="79"/>
      <c r="Q29" s="22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x14ac:dyDescent="0.25">
      <c r="A30" s="30"/>
      <c r="B30" s="233" t="s">
        <v>26</v>
      </c>
      <c r="C30" s="232" t="s">
        <v>1966</v>
      </c>
      <c r="D30" s="228">
        <v>11</v>
      </c>
      <c r="E30" s="79"/>
      <c r="F30" s="79"/>
      <c r="G30" s="79"/>
      <c r="H30" s="79"/>
      <c r="I30" s="79"/>
      <c r="J30" s="79"/>
      <c r="K30" s="224"/>
      <c r="L30" s="92"/>
      <c r="M30" s="79"/>
      <c r="N30" s="79"/>
      <c r="O30" s="79"/>
      <c r="P30" s="79"/>
      <c r="Q30" s="22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x14ac:dyDescent="0.25">
      <c r="A31" s="30"/>
      <c r="B31" s="233" t="s">
        <v>26</v>
      </c>
      <c r="C31" s="234" t="s">
        <v>1972</v>
      </c>
      <c r="D31" s="228">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x14ac:dyDescent="0.25">
      <c r="A32" s="30"/>
      <c r="B32" s="138" t="s">
        <v>26</v>
      </c>
      <c r="C32" s="137" t="s">
        <v>380</v>
      </c>
      <c r="D32" s="228">
        <v>14</v>
      </c>
      <c r="E32" s="79"/>
      <c r="F32" s="224"/>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x14ac:dyDescent="0.25">
      <c r="A33" s="30"/>
      <c r="B33" s="233" t="s">
        <v>26</v>
      </c>
      <c r="C33" s="232" t="s">
        <v>1973</v>
      </c>
      <c r="D33" s="228">
        <v>3</v>
      </c>
      <c r="E33" s="79"/>
      <c r="F33" s="79"/>
      <c r="G33" s="79"/>
      <c r="H33" s="79"/>
      <c r="I33" s="79"/>
      <c r="J33" s="79"/>
      <c r="K33" s="79"/>
      <c r="L33" s="92"/>
      <c r="M33" s="79"/>
      <c r="N33" s="79"/>
      <c r="O33" s="79"/>
      <c r="P33" s="79"/>
      <c r="Q33" s="22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x14ac:dyDescent="0.25">
      <c r="A34" s="30"/>
      <c r="B34" s="233" t="s">
        <v>26</v>
      </c>
      <c r="C34" s="232" t="s">
        <v>1966</v>
      </c>
      <c r="D34" s="228">
        <v>1</v>
      </c>
      <c r="E34" s="79"/>
      <c r="F34" s="224"/>
      <c r="G34" s="79"/>
      <c r="H34" s="79"/>
      <c r="I34" s="79"/>
      <c r="J34" s="79"/>
      <c r="K34" s="229"/>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x14ac:dyDescent="0.25">
      <c r="A35" s="30"/>
      <c r="B35" s="233" t="s">
        <v>26</v>
      </c>
      <c r="C35" s="234" t="s">
        <v>1974</v>
      </c>
      <c r="D35" s="228">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x14ac:dyDescent="0.25">
      <c r="A36" s="30"/>
      <c r="B36" s="138" t="s">
        <v>26</v>
      </c>
      <c r="C36" s="235" t="s">
        <v>1999</v>
      </c>
      <c r="D36" s="228">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x14ac:dyDescent="0.25">
      <c r="A37" s="30"/>
      <c r="B37" s="138" t="s">
        <v>1965</v>
      </c>
      <c r="C37" s="137" t="s">
        <v>1975</v>
      </c>
      <c r="D37" s="228" t="s">
        <v>1976</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x14ac:dyDescent="0.25"/>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
</file>

<file path=customXml/itemProps1.xml><?xml version="1.0" encoding="utf-8"?>
<ds:datastoreItem xmlns:ds="http://schemas.openxmlformats.org/officeDocument/2006/customXml" ds:itemID="{F1040C44-6077-4294-9B7E-112083F35469}"/>
</file>

<file path=customXml/itemProps2.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3.xml><?xml version="1.0" encoding="utf-8"?>
<ds:datastoreItem xmlns:ds="http://schemas.openxmlformats.org/officeDocument/2006/customXml" ds:itemID="{18AAA335-33FC-43F6-B758-4189E316609B}">
  <ds:schemaRefs>
    <ds:schemaRef ds:uri="http://schemas.microsoft.com/office/infopath/2007/PartnerControls"/>
    <ds:schemaRef ds:uri="http://purl.org/dc/elements/1.1/"/>
    <ds:schemaRef ds:uri="6ea7b29d-57ec-408d-9ea9-cf73b04f66d5"/>
    <ds:schemaRef ds:uri="http://purl.org/dc/terms/"/>
    <ds:schemaRef ds:uri="http://schemas.microsoft.com/office/2006/documentManagement/types"/>
    <ds:schemaRef ds:uri="http://www.w3.org/XML/1998/namespace"/>
    <ds:schemaRef ds:uri="0683c779-04fc-4b63-89c9-6c25ffa1c0a4"/>
    <ds:schemaRef ds:uri="http://purl.org/dc/dcmitype/"/>
    <ds:schemaRef ds:uri="http://schemas.openxmlformats.org/package/2006/metadata/core-properties"/>
    <ds:schemaRef ds:uri="http://schemas.microsoft.com/sharepoint/v3"/>
    <ds:schemaRef ds:uri="http://schemas.microsoft.com/office/2006/metadata/properties"/>
  </ds:schemaRefs>
</ds:datastoreItem>
</file>

<file path=customXml/itemProps4.xml><?xml version="1.0" encoding="utf-8"?>
<ds:datastoreItem xmlns:ds="http://schemas.openxmlformats.org/officeDocument/2006/customXml" ds:itemID="{B3AECEC8-4DD8-465B-8409-57126B460C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Campos</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Nádia Genebra Ahmad</cp:lastModifiedBy>
  <cp:revision/>
  <dcterms:created xsi:type="dcterms:W3CDTF">2024-07-02T08:46:04Z</dcterms:created>
  <dcterms:modified xsi:type="dcterms:W3CDTF">2024-11-29T09:05:51Z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