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3"/>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FY24'!$V$6:$V$269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35" r:id="rId13"/>
    <pivotCache cacheId="238" r:id="rId14"/>
    <pivotCache cacheId="241" r:id="rId15"/>
    <pivotCache cacheId="244" r:id="rId16"/>
    <pivotCache cacheId="247" r:id="rId17"/>
    <pivotCache cacheId="250" r:id="rId18"/>
    <pivotCache cacheId="253" r:id="rId19"/>
    <pivotCache cacheId="260"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P34" i="15" l="1"/>
  <c r="P28" i="15"/>
  <c r="P30" i="15"/>
  <c r="P29" i="15"/>
  <c r="P33" i="15"/>
  <c r="P36" i="15"/>
  <c r="P35" i="15"/>
  <c r="P37" i="15" l="1"/>
  <c r="Q28" i="15" l="1"/>
  <c r="R28" i="15" s="1"/>
  <c r="Q29" i="15"/>
  <c r="R29" i="15" s="1"/>
  <c r="Q30" i="15"/>
  <c r="R30" i="15" s="1"/>
  <c r="Q31" i="15"/>
  <c r="R31" i="15" s="1"/>
  <c r="Q32" i="15"/>
  <c r="R32" i="15" s="1"/>
  <c r="Q33" i="15"/>
  <c r="R33" i="15" s="1"/>
  <c r="Q34" i="15"/>
  <c r="R34" i="15" s="1"/>
  <c r="Q35" i="15"/>
  <c r="R35" i="15" s="1"/>
  <c r="Q36" i="15"/>
  <c r="R36" i="15" s="1"/>
  <c r="J37" i="15" l="1"/>
  <c r="G37" i="15"/>
  <c r="E37" i="15"/>
  <c r="K37" i="15" l="1"/>
  <c r="J22" i="15"/>
  <c r="I20" i="15"/>
  <c r="I19" i="15"/>
  <c r="I18" i="15"/>
  <c r="I17" i="15"/>
  <c r="I16" i="15"/>
  <c r="I15" i="15"/>
  <c r="I14" i="15"/>
  <c r="I13" i="15"/>
  <c r="H22" i="15"/>
  <c r="G22" i="15"/>
  <c r="F22" i="15"/>
  <c r="E22" i="15"/>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N112" i="17"/>
  <c r="M111" i="17"/>
  <c r="M112" i="17"/>
  <c r="N111" i="17"/>
  <c r="O111" i="17"/>
  <c r="O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G549" i="20" s="1"/>
  <c r="I549" i="20" l="1"/>
  <c r="J549" i="20" s="1"/>
  <c r="Q549" i="20" s="1"/>
  <c r="N240" i="17"/>
  <c r="M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49" i="15"/>
  <c r="XEN247" i="20" l="1"/>
  <c r="XES247" i="20"/>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N37" i="15"/>
  <c r="M37" i="15"/>
  <c r="L37" i="15"/>
  <c r="L21" i="15"/>
  <c r="L20" i="15"/>
  <c r="L18" i="15"/>
  <c r="L17" i="15"/>
  <c r="L15" i="15"/>
  <c r="L14" i="15"/>
  <c r="L16" i="15"/>
  <c r="XEB247" i="20" l="1"/>
  <c r="XDX247" i="20" s="1"/>
  <c r="XDT247" i="20" s="1"/>
  <c r="XDP247" i="20" s="1"/>
  <c r="XDV247" i="20"/>
  <c r="O28" i="15"/>
  <c r="O30" i="15"/>
  <c r="O36" i="15"/>
  <c r="O31" i="15"/>
  <c r="O32" i="15"/>
  <c r="O34" i="15"/>
  <c r="O29" i="15"/>
  <c r="O35" i="15"/>
  <c r="L13" i="15"/>
  <c r="XDW247" i="20" l="1"/>
  <c r="XDS247" i="20" s="1"/>
  <c r="XDO247" i="20" s="1"/>
  <c r="XDK247" i="20" s="1"/>
  <c r="XDQ247" i="20"/>
  <c r="O37" i="15"/>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09" i="17"/>
  <c r="M224" i="17"/>
  <c r="O709" i="17"/>
  <c r="N224" i="17"/>
  <c r="N709"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8" i="17"/>
  <c r="O708" i="17"/>
  <c r="N708"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8" i="17"/>
  <c r="N698" i="17"/>
  <c r="M698"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0" i="15"/>
  <c r="T94" i="15"/>
  <c r="U150" i="15"/>
  <c r="XAK247" i="20" l="1"/>
  <c r="XAG247" i="20" s="1"/>
  <c r="XAC247" i="20" s="1"/>
  <c r="WZY247" i="20" s="1"/>
  <c r="XAJ247" i="20"/>
  <c r="U94"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69" i="17"/>
  <c r="N668" i="17"/>
  <c r="M667" i="17"/>
  <c r="M666" i="17"/>
  <c r="N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M669" i="17"/>
  <c r="O666" i="17"/>
  <c r="N666" i="17"/>
  <c r="M665" i="17"/>
  <c r="M668" i="17"/>
  <c r="O665" i="17"/>
  <c r="O669" i="17"/>
  <c r="O667" i="17"/>
  <c r="O668" i="17"/>
  <c r="I688" i="20"/>
  <c r="J688" i="20" s="1"/>
  <c r="I692" i="20"/>
  <c r="J692" i="20" s="1"/>
  <c r="K691" i="20"/>
  <c r="L691" i="20" s="1"/>
  <c r="K689" i="20"/>
  <c r="L689" i="20" s="1"/>
  <c r="K688" i="20"/>
  <c r="L688" i="20" s="1"/>
  <c r="I691" i="20"/>
  <c r="J691" i="20" s="1"/>
  <c r="K690" i="20"/>
  <c r="L690" i="20" s="1"/>
  <c r="N667" i="17"/>
  <c r="H688" i="20"/>
  <c r="K692" i="20"/>
  <c r="L692" i="20" s="1"/>
  <c r="I690" i="20"/>
  <c r="J690" i="20" s="1"/>
  <c r="I689" i="20"/>
  <c r="J689" i="20" s="1"/>
  <c r="WXN247" i="20" l="1"/>
  <c r="WXJ247" i="20" s="1"/>
  <c r="WXF247" i="20" s="1"/>
  <c r="WXB247" i="20" s="1"/>
  <c r="WXM247" i="20"/>
  <c r="N692" i="20"/>
  <c r="N688" i="20"/>
  <c r="N691" i="20"/>
  <c r="N689" i="20"/>
  <c r="N690" i="20"/>
  <c r="N730" i="17"/>
  <c r="M729" i="17"/>
  <c r="N727" i="17"/>
  <c r="WXI247" i="20" l="1"/>
  <c r="WXE247" i="20" s="1"/>
  <c r="WXA247" i="20" s="1"/>
  <c r="WWW247" i="20" s="1"/>
  <c r="WXH247" i="20"/>
  <c r="N728" i="17"/>
  <c r="M730" i="17"/>
  <c r="M728" i="17"/>
  <c r="O728" i="17"/>
  <c r="M727" i="17"/>
  <c r="O730" i="17"/>
  <c r="N729" i="17"/>
  <c r="O729" i="17"/>
  <c r="O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O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59" i="17"/>
  <c r="N659" i="17"/>
  <c r="M659" i="17"/>
  <c r="O672" i="17"/>
  <c r="N672" i="17"/>
  <c r="M672" i="17"/>
  <c r="O680" i="17"/>
  <c r="M680" i="17"/>
  <c r="N680" i="17"/>
  <c r="M688" i="17"/>
  <c r="N688" i="17"/>
  <c r="O688" i="17"/>
  <c r="M696" i="17"/>
  <c r="O696" i="17"/>
  <c r="N696" i="17"/>
  <c r="M699" i="17"/>
  <c r="N699" i="17"/>
  <c r="O699" i="17"/>
  <c r="M707" i="17"/>
  <c r="O707" i="17"/>
  <c r="N707" i="17"/>
  <c r="M711" i="17"/>
  <c r="O711" i="17"/>
  <c r="N711" i="17"/>
  <c r="M719" i="17"/>
  <c r="O719" i="17"/>
  <c r="N719" i="17"/>
  <c r="M726" i="17"/>
  <c r="O726" i="17"/>
  <c r="N726" i="17"/>
  <c r="M731" i="17"/>
  <c r="N731" i="17"/>
  <c r="O731" i="17"/>
  <c r="M735" i="17"/>
  <c r="O735" i="17"/>
  <c r="N735"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6" i="17"/>
  <c r="N656" i="17"/>
  <c r="O656" i="17"/>
  <c r="M664" i="17"/>
  <c r="O664" i="17"/>
  <c r="N664" i="17"/>
  <c r="M677" i="17"/>
  <c r="O677" i="17"/>
  <c r="N677" i="17"/>
  <c r="N685" i="17"/>
  <c r="O685" i="17"/>
  <c r="M685" i="17"/>
  <c r="N693" i="17"/>
  <c r="O693" i="17"/>
  <c r="M693" i="17"/>
  <c r="N222" i="17"/>
  <c r="O222" i="17"/>
  <c r="M222" i="17"/>
  <c r="N704" i="17"/>
  <c r="O704" i="17"/>
  <c r="M704" i="17"/>
  <c r="N716" i="17"/>
  <c r="O716" i="17"/>
  <c r="M716" i="17"/>
  <c r="N724" i="17"/>
  <c r="M724" i="17"/>
  <c r="O724" i="17"/>
  <c r="N736" i="17"/>
  <c r="O736" i="17"/>
  <c r="M736" i="17"/>
  <c r="M619" i="17"/>
  <c r="O619" i="17"/>
  <c r="N619" i="17"/>
  <c r="M623" i="17"/>
  <c r="O623" i="17"/>
  <c r="N623" i="17"/>
  <c r="M631" i="17"/>
  <c r="O631" i="17"/>
  <c r="N631" i="17"/>
  <c r="M640" i="17"/>
  <c r="O640" i="17"/>
  <c r="N640" i="17"/>
  <c r="O646" i="17"/>
  <c r="N646" i="17"/>
  <c r="M646" i="17"/>
  <c r="O183" i="17"/>
  <c r="N183" i="17"/>
  <c r="M183" i="17"/>
  <c r="O655" i="17"/>
  <c r="N655" i="17"/>
  <c r="M655" i="17"/>
  <c r="O663" i="17"/>
  <c r="N663" i="17"/>
  <c r="M663" i="17"/>
  <c r="O676" i="17"/>
  <c r="N676" i="17"/>
  <c r="M676" i="17"/>
  <c r="M684" i="17"/>
  <c r="O684" i="17"/>
  <c r="N684" i="17"/>
  <c r="M692" i="17"/>
  <c r="O692" i="17"/>
  <c r="N692" i="17"/>
  <c r="M221" i="17"/>
  <c r="O221" i="17"/>
  <c r="N221" i="17"/>
  <c r="M703" i="17"/>
  <c r="O703" i="17"/>
  <c r="N703" i="17"/>
  <c r="M715" i="17"/>
  <c r="N715" i="17"/>
  <c r="O715" i="17"/>
  <c r="M723" i="17"/>
  <c r="O723" i="17"/>
  <c r="N723" i="17"/>
  <c r="M739" i="17"/>
  <c r="O739" i="17"/>
  <c r="N739" i="17"/>
  <c r="N624" i="17"/>
  <c r="M624" i="17"/>
  <c r="O624" i="17"/>
  <c r="N637" i="17"/>
  <c r="M637" i="17"/>
  <c r="O637" i="17"/>
  <c r="O643" i="17"/>
  <c r="N643" i="17"/>
  <c r="M643" i="17"/>
  <c r="M114" i="17"/>
  <c r="O114" i="17"/>
  <c r="N114" i="17"/>
  <c r="M173" i="17"/>
  <c r="O173" i="17"/>
  <c r="N173" i="17"/>
  <c r="M660" i="17"/>
  <c r="O660" i="17"/>
  <c r="N660" i="17"/>
  <c r="M673" i="17"/>
  <c r="O673" i="17"/>
  <c r="N673" i="17"/>
  <c r="N681" i="17"/>
  <c r="M681" i="17"/>
  <c r="O681" i="17"/>
  <c r="N689" i="17"/>
  <c r="O689" i="17"/>
  <c r="M689" i="17"/>
  <c r="N697" i="17"/>
  <c r="M697" i="17"/>
  <c r="O697" i="17"/>
  <c r="N208" i="17"/>
  <c r="M208" i="17"/>
  <c r="O208" i="17"/>
  <c r="N712" i="17"/>
  <c r="O712" i="17"/>
  <c r="M712" i="17"/>
  <c r="N720" i="17"/>
  <c r="O720" i="17"/>
  <c r="M720" i="17"/>
  <c r="N732" i="17"/>
  <c r="O732" i="17"/>
  <c r="M732" i="17"/>
  <c r="O740" i="17"/>
  <c r="N740" i="17"/>
  <c r="M740"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7" i="17"/>
  <c r="M657" i="17"/>
  <c r="O657" i="17"/>
  <c r="N661" i="17"/>
  <c r="M661" i="17"/>
  <c r="O661" i="17"/>
  <c r="N670" i="17"/>
  <c r="M670" i="17"/>
  <c r="O670" i="17"/>
  <c r="N674" i="17"/>
  <c r="M674" i="17"/>
  <c r="O674" i="17"/>
  <c r="N678" i="17"/>
  <c r="M678" i="17"/>
  <c r="O678" i="17"/>
  <c r="O682" i="17"/>
  <c r="N682" i="17"/>
  <c r="M682" i="17"/>
  <c r="O686" i="17"/>
  <c r="N686" i="17"/>
  <c r="M686" i="17"/>
  <c r="O690" i="17"/>
  <c r="M690" i="17"/>
  <c r="N690" i="17"/>
  <c r="O694" i="17"/>
  <c r="N694" i="17"/>
  <c r="M694" i="17"/>
  <c r="O175" i="17"/>
  <c r="N175" i="17"/>
  <c r="M175" i="17"/>
  <c r="O223" i="17"/>
  <c r="N223" i="17"/>
  <c r="M223" i="17"/>
  <c r="O701" i="17"/>
  <c r="M701" i="17"/>
  <c r="N701" i="17"/>
  <c r="O705" i="17"/>
  <c r="N705" i="17"/>
  <c r="M705" i="17"/>
  <c r="O209" i="17"/>
  <c r="N209" i="17"/>
  <c r="M209" i="17"/>
  <c r="O713" i="17"/>
  <c r="N713" i="17"/>
  <c r="M713" i="17"/>
  <c r="O717" i="17"/>
  <c r="M717" i="17"/>
  <c r="N717" i="17"/>
  <c r="O721" i="17"/>
  <c r="N721" i="17"/>
  <c r="M721" i="17"/>
  <c r="O725" i="17"/>
  <c r="N725" i="17"/>
  <c r="M725" i="17"/>
  <c r="O733" i="17"/>
  <c r="M733" i="17"/>
  <c r="N733" i="17"/>
  <c r="O737" i="17"/>
  <c r="M737" i="17"/>
  <c r="N737"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8" i="17"/>
  <c r="N658" i="17"/>
  <c r="M658" i="17"/>
  <c r="O662" i="17"/>
  <c r="N662" i="17"/>
  <c r="M662" i="17"/>
  <c r="O671" i="17"/>
  <c r="N671" i="17"/>
  <c r="M671" i="17"/>
  <c r="O675" i="17"/>
  <c r="N675" i="17"/>
  <c r="M675" i="17"/>
  <c r="O679" i="17"/>
  <c r="N679" i="17"/>
  <c r="M679" i="17"/>
  <c r="M683" i="17"/>
  <c r="O683" i="17"/>
  <c r="N683" i="17"/>
  <c r="O687" i="17"/>
  <c r="M687" i="17"/>
  <c r="N687" i="17"/>
  <c r="O691" i="17"/>
  <c r="N691" i="17"/>
  <c r="M691" i="17"/>
  <c r="N695" i="17"/>
  <c r="M695" i="17"/>
  <c r="O695" i="17"/>
  <c r="M176" i="17"/>
  <c r="O176" i="17"/>
  <c r="N176" i="17"/>
  <c r="O702" i="17"/>
  <c r="N702" i="17"/>
  <c r="M702" i="17"/>
  <c r="N706" i="17"/>
  <c r="M706" i="17"/>
  <c r="O706" i="17"/>
  <c r="M710" i="17"/>
  <c r="O710" i="17"/>
  <c r="N710" i="17"/>
  <c r="O714" i="17"/>
  <c r="N714" i="17"/>
  <c r="M714" i="17"/>
  <c r="O718" i="17"/>
  <c r="N718" i="17"/>
  <c r="M718" i="17"/>
  <c r="N722" i="17"/>
  <c r="M722" i="17"/>
  <c r="O722" i="17"/>
  <c r="M168" i="17"/>
  <c r="O168" i="17"/>
  <c r="N168" i="17"/>
  <c r="O734" i="17"/>
  <c r="N734" i="17"/>
  <c r="M734" i="17"/>
  <c r="N738" i="17"/>
  <c r="M738" i="17"/>
  <c r="O738"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O33" i="15" l="1"/>
  <c r="WUQ247" i="20"/>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0" i="15"/>
  <c r="T172" i="15"/>
  <c r="T162" i="15"/>
  <c r="T184" i="15"/>
  <c r="T183" i="15"/>
  <c r="T167" i="15"/>
  <c r="T174" i="15"/>
  <c r="T165" i="15"/>
  <c r="T179" i="15"/>
  <c r="T171" i="15"/>
  <c r="T161" i="15"/>
  <c r="T176" i="15"/>
  <c r="T154" i="15"/>
  <c r="T153" i="15"/>
  <c r="T166" i="15"/>
  <c r="T173" i="15"/>
  <c r="T155" i="15"/>
  <c r="T186" i="15"/>
  <c r="T178" i="15"/>
  <c r="T170" i="15"/>
  <c r="T160" i="15"/>
  <c r="T158" i="15"/>
  <c r="T157" i="15"/>
  <c r="T156" i="15"/>
  <c r="T181" i="15"/>
  <c r="T185" i="15"/>
  <c r="T177" i="15"/>
  <c r="T169" i="15"/>
  <c r="T159" i="15"/>
  <c r="T168" i="15"/>
  <c r="T175" i="15"/>
  <c r="T182" i="15"/>
  <c r="T71" i="15"/>
  <c r="T63" i="15"/>
  <c r="T55" i="15"/>
  <c r="T118" i="15"/>
  <c r="T110" i="15"/>
  <c r="T102" i="15"/>
  <c r="T109" i="15"/>
  <c r="T59" i="15"/>
  <c r="T114" i="15"/>
  <c r="T112" i="15"/>
  <c r="T119" i="15"/>
  <c r="T103" i="15"/>
  <c r="T70" i="15"/>
  <c r="T62" i="15"/>
  <c r="T54" i="15"/>
  <c r="T117" i="15"/>
  <c r="T101" i="15"/>
  <c r="T98" i="15"/>
  <c r="T104" i="15"/>
  <c r="T111" i="15"/>
  <c r="T152" i="15"/>
  <c r="T69" i="15"/>
  <c r="T61" i="15"/>
  <c r="T53" i="15"/>
  <c r="T116" i="15"/>
  <c r="T108" i="15"/>
  <c r="T100" i="15"/>
  <c r="T51" i="15"/>
  <c r="T57" i="15"/>
  <c r="T64" i="15"/>
  <c r="T76" i="15"/>
  <c r="T68" i="15"/>
  <c r="T60" i="15"/>
  <c r="T52" i="15"/>
  <c r="T115" i="15"/>
  <c r="T107" i="15"/>
  <c r="T99" i="15"/>
  <c r="T67" i="15"/>
  <c r="T106" i="15"/>
  <c r="T120" i="15"/>
  <c r="T56" i="15"/>
  <c r="T75" i="15"/>
  <c r="T96" i="15"/>
  <c r="T74" i="15"/>
  <c r="T66" i="15"/>
  <c r="T58" i="15"/>
  <c r="T121" i="15"/>
  <c r="T113" i="15"/>
  <c r="T105" i="15"/>
  <c r="T97" i="15"/>
  <c r="T73" i="15"/>
  <c r="T65" i="15"/>
  <c r="T72" i="15"/>
  <c r="X801" i="1"/>
  <c r="X266" i="1"/>
  <c r="X823" i="1"/>
  <c r="O144" i="17"/>
  <c r="M144" i="17"/>
  <c r="N144" i="17"/>
  <c r="N700" i="17"/>
  <c r="O700" i="17"/>
  <c r="M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9" i="15" l="1"/>
  <c r="T189" i="15"/>
  <c r="T190" i="15"/>
  <c r="T78" i="15"/>
  <c r="T123" i="15"/>
  <c r="T124" i="15"/>
  <c r="WTC247" i="20"/>
  <c r="WSY247" i="20" s="1"/>
  <c r="WSU247" i="20" s="1"/>
  <c r="WSQ247" i="20" s="1"/>
  <c r="WTB247" i="20"/>
  <c r="T50" i="15"/>
  <c r="T77" i="15" s="1"/>
  <c r="T151" i="15"/>
  <c r="T95" i="15"/>
  <c r="T122"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51" i="17"/>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1" i="15" l="1"/>
  <c r="V61"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3" i="15"/>
  <c r="U58" i="15"/>
  <c r="V58" i="15" s="1"/>
  <c r="U105" i="15"/>
  <c r="V105" i="15" s="1"/>
  <c r="U71" i="15"/>
  <c r="V71" i="15" s="1"/>
  <c r="U118" i="15"/>
  <c r="V118" i="15" s="1"/>
  <c r="U54" i="15"/>
  <c r="V54" i="15" s="1"/>
  <c r="U59" i="15"/>
  <c r="V59" i="15" s="1"/>
  <c r="U102" i="15"/>
  <c r="V102" i="15" s="1"/>
  <c r="U113" i="15"/>
  <c r="V113" i="15" s="1"/>
  <c r="U167" i="15"/>
  <c r="V167" i="15" s="1"/>
  <c r="U106" i="15"/>
  <c r="V106" i="15" s="1"/>
  <c r="U74" i="15"/>
  <c r="V74" i="15" s="1"/>
  <c r="U51" i="15"/>
  <c r="U73" i="15"/>
  <c r="V73" i="15" s="1"/>
  <c r="U114" i="15"/>
  <c r="V114" i="15" s="1"/>
  <c r="U65" i="15"/>
  <c r="V65" i="15" s="1"/>
  <c r="U95" i="15"/>
  <c r="U164" i="15"/>
  <c r="U155" i="15"/>
  <c r="V155" i="15" s="1"/>
  <c r="U115" i="15"/>
  <c r="V115" i="15" s="1"/>
  <c r="U52" i="15"/>
  <c r="U152" i="15"/>
  <c r="U100" i="15"/>
  <c r="V100" i="15" s="1"/>
  <c r="U66" i="15"/>
  <c r="V66" i="15" s="1"/>
  <c r="U63" i="15"/>
  <c r="V63" i="15" s="1"/>
  <c r="U159" i="15"/>
  <c r="V159" i="15" s="1"/>
  <c r="U70" i="15"/>
  <c r="V70" i="15" s="1"/>
  <c r="U57" i="15"/>
  <c r="V57" i="15" s="1"/>
  <c r="U108" i="15"/>
  <c r="V108" i="15" s="1"/>
  <c r="U96" i="15"/>
  <c r="U183" i="15"/>
  <c r="V183" i="15" s="1"/>
  <c r="U179" i="15"/>
  <c r="V179" i="15" s="1"/>
  <c r="U112" i="15"/>
  <c r="V112" i="15" s="1"/>
  <c r="U109" i="15"/>
  <c r="V109" i="15" s="1"/>
  <c r="U75" i="15"/>
  <c r="V75" i="15" s="1"/>
  <c r="U116" i="15"/>
  <c r="V116" i="15" s="1"/>
  <c r="U151" i="15"/>
  <c r="U156" i="15"/>
  <c r="V156" i="15" s="1"/>
  <c r="U64" i="15"/>
  <c r="V64" i="15" s="1"/>
  <c r="U62" i="15"/>
  <c r="V62" i="15" s="1"/>
  <c r="U117" i="15"/>
  <c r="V117" i="15" s="1"/>
  <c r="U172" i="15"/>
  <c r="V172" i="15" s="1"/>
  <c r="U56" i="15"/>
  <c r="V56" i="15" s="1"/>
  <c r="U121" i="15"/>
  <c r="V121" i="15" s="1"/>
  <c r="U72" i="15"/>
  <c r="V72" i="15" s="1"/>
  <c r="U68" i="15"/>
  <c r="V68" i="15" s="1"/>
  <c r="U50" i="15"/>
  <c r="U160" i="15"/>
  <c r="V160" i="15" s="1"/>
  <c r="U176" i="15"/>
  <c r="V176" i="15" s="1"/>
  <c r="U120" i="15"/>
  <c r="V120" i="15" s="1"/>
  <c r="U98" i="15"/>
  <c r="V98" i="15" s="1"/>
  <c r="U55" i="15"/>
  <c r="V55" i="15" s="1"/>
  <c r="U180" i="15"/>
  <c r="V180" i="15" s="1"/>
  <c r="U69" i="15"/>
  <c r="V69" i="15" s="1"/>
  <c r="U67" i="15"/>
  <c r="V67" i="15" s="1"/>
  <c r="U107" i="15"/>
  <c r="V107" i="15" s="1"/>
  <c r="U60" i="15"/>
  <c r="V60" i="15" s="1"/>
  <c r="U97" i="15"/>
  <c r="U171" i="15"/>
  <c r="V171" i="15" s="1"/>
  <c r="U184" i="15"/>
  <c r="V184" i="15" s="1"/>
  <c r="U119" i="15"/>
  <c r="V119" i="15" s="1"/>
  <c r="U110" i="15"/>
  <c r="V110" i="15" s="1"/>
  <c r="U101" i="15"/>
  <c r="V101" i="15" s="1"/>
  <c r="U103" i="15"/>
  <c r="V103" i="15" s="1"/>
  <c r="U104" i="15"/>
  <c r="V104" i="15" s="1"/>
  <c r="U168" i="15"/>
  <c r="V168" i="15" s="1"/>
  <c r="U175" i="15"/>
  <c r="V175" i="15" s="1"/>
  <c r="U99" i="15"/>
  <c r="V99" i="15" s="1"/>
  <c r="U76" i="15"/>
  <c r="V76" i="15" s="1"/>
  <c r="U111" i="15"/>
  <c r="V111" i="15" s="1"/>
  <c r="U53" i="15"/>
  <c r="V53"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1" i="15"/>
  <c r="V181" i="15" s="1"/>
  <c r="U174" i="15"/>
  <c r="V174" i="15" s="1"/>
  <c r="U154" i="15"/>
  <c r="U170" i="15"/>
  <c r="V170" i="15" s="1"/>
  <c r="U186" i="15"/>
  <c r="V186" i="15" s="1"/>
  <c r="U182" i="15"/>
  <c r="V182" i="15" s="1"/>
  <c r="U158" i="15"/>
  <c r="V158" i="15" s="1"/>
  <c r="U178" i="15"/>
  <c r="V178" i="15" s="1"/>
  <c r="U177" i="15"/>
  <c r="V177" i="15" s="1"/>
  <c r="U173" i="15"/>
  <c r="V173" i="15" s="1"/>
  <c r="U166" i="15"/>
  <c r="V166" i="15" s="1"/>
  <c r="U157" i="15"/>
  <c r="V157" i="15" s="1"/>
  <c r="U165" i="15"/>
  <c r="V165" i="15" s="1"/>
  <c r="U169" i="15"/>
  <c r="V169" i="15" s="1"/>
  <c r="U162" i="15"/>
  <c r="V162" i="15" s="1"/>
  <c r="U153" i="15"/>
  <c r="U185" i="15"/>
  <c r="V185" i="15" s="1"/>
  <c r="U161" i="15"/>
  <c r="V161"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4" i="15"/>
  <c r="T188" i="15" s="1"/>
  <c r="T15" i="15"/>
  <c r="T163" i="15"/>
  <c r="T187" i="15" s="1"/>
  <c r="N19" i="15"/>
  <c r="N16" i="15"/>
  <c r="V95" i="15"/>
  <c r="U122" i="15"/>
  <c r="V50" i="15"/>
  <c r="U77" i="15"/>
  <c r="O148" i="21"/>
  <c r="Q152" i="21"/>
  <c r="V153" i="15"/>
  <c r="U189" i="15"/>
  <c r="U123" i="15"/>
  <c r="V123" i="15" s="1"/>
  <c r="V96" i="15"/>
  <c r="V51" i="15"/>
  <c r="U78" i="15"/>
  <c r="V78" i="15" s="1"/>
  <c r="U124" i="15"/>
  <c r="V124" i="15" s="1"/>
  <c r="V97" i="15"/>
  <c r="O130" i="21"/>
  <c r="Q130" i="21" s="1"/>
  <c r="Q132" i="21"/>
  <c r="V154" i="15"/>
  <c r="U190" i="15"/>
  <c r="V190" i="15" s="1"/>
  <c r="V152" i="15"/>
  <c r="U188" i="15"/>
  <c r="U187" i="15"/>
  <c r="V151" i="15"/>
  <c r="V52" i="15"/>
  <c r="U79" i="15"/>
  <c r="V79" i="15" s="1"/>
  <c r="V187" i="15" l="1"/>
  <c r="M22" i="15"/>
  <c r="N13" i="15"/>
  <c r="N22" i="15" s="1"/>
  <c r="R37" i="15"/>
  <c r="T17" i="15"/>
  <c r="V163" i="15"/>
  <c r="V164" i="15"/>
  <c r="E160" i="15"/>
  <c r="V189" i="15"/>
  <c r="O144" i="21"/>
  <c r="Q144" i="21" s="1"/>
  <c r="Q148" i="21"/>
  <c r="V188" i="15"/>
  <c r="E180" i="15"/>
  <c r="V77" i="15"/>
  <c r="D59" i="15"/>
  <c r="V122" i="15"/>
  <c r="D107"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<sst xmlns="http://schemas.openxmlformats.org/spreadsheetml/2006/main" count="35431" uniqueCount="2456">
  <si>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</si>
  <si>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</si>
  <si>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</si>
  <si>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</si>
  <si>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</si>
  <si>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</si>
  <si>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</si>
  <si>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</si>
  <si>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</si>
  <si>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</si>
  <si>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</si>
  <si>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</si>
  <si>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</si>
  <si>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</si>
  <si>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</si>
  <si>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</si>
  <si>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</si>
  <si>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</si>
  <si>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</si>
  <si>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</si>
  <si>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</si>
  <si>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</si>
  <si>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</si>
  <si>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</si>
  <si>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</si>
  <si>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</si>
  <si>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</si>
  <si>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</si>
  <si>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</si>
  <si>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</si>
  <si>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</si>
  <si>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</si>
  <si>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</si>
  <si>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</si>
  <si>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</si>
  <si>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</si>
  <si>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</si>
  <si>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</si>
  <si>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</si>
  <si>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</si>
  <si>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</si>
  <si>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</si>
  <si>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</si>
  <si>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</si>
  <si>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</si>
  <si>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</si>
  <si>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</si>
  <si>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</si>
  <si>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</si>
  <si>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</si>
  <si>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</si>
  <si>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</si>
  <si>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</si>
  <si>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</si>
  <si>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</si>
  <si>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</si>
  <si>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</si>
  <si>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</si>
  <si>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</si>
  <si>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</si>
  <si>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</si>
  <si>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</si>
  <si>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</si>
  <si>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</si>
  <si>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</si>
  <si>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</si>
  <si>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</si>
  <si>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</si>
  <si>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</si>
  <si>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</si>
  <si>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</si>
  <si>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</si>
  <si>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</si>
  <si>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</si>
  <si>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</si>
  <si>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</si>
  <si>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</si>
  <si>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</si>
  <si>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</si>
  <si>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</si>
  <si>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</si>
  <si>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</si>
  <si>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</si>
  <si>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</si>
  <si>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</si>
  <si>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</si>
  <si>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</si>
  <si>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</si>
  <si>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</si>
  <si>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</si>
  <si>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</si>
  <si>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</si>
  <si>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</si>
  <si>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</si>
  <si>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</si>
  <si>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</si>
  <si>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</si>
  <si>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</si>
  <si>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</si>
  <si>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</si>
  <si>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</si>
  <si>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</si>
  <si>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</si>
  <si>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</si>
  <si>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</si>
  <si>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</si>
  <si>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</si>
  <si>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</si>
  <si>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</si>
  <si>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</si>
  <si>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</si>
  <si>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</si>
  <si>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</si>
  <si>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</si>
  <si>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</si>
  <si>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</si>
  <si>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</si>
  <si>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</si>
  <si>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</si>
  <si>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</si>
  <si>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</si>
  <si>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</si>
  <si>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</si>
  <si>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</si>
  <si>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</si>
  <si>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</si>
  <si>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</si>
  <si>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</si>
  <si>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</si>
  <si>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</si>
  <si>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</si>
  <si>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</si>
  <si>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</si>
  <si>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</si>
  <si>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</si>
  <si>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</si>
  <si>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</si>
  <si>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</si>
  <si>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</si>
  <si>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</si>
  <si>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</si>
  <si>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</si>
  <si>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</si>
  <si>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</si>
  <si>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</si>
  <si>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</si>
  <si>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</si>
  <si>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</si>
  <si>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</si>
  <si>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</si>
  <si>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</si>
  <si>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</si>
  <si>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</si>
  <si>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</si>
  <si>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</si>
  <si>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</si>
  <si>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</si>
  <si>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</si>
  <si>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</si>
  <si>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</si>
  <si>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</si>
  <si>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</si>
  <si>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</si>
  <si>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</si>
  <si>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</si>
  <si>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</si>
  <si>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</si>
  <si>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</si>
  <si>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</si>
  <si>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</si>
  <si>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</si>
  <si>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</si>
  <si>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</si>
  <si>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</si>
  <si>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</si>
  <si>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</si>
  <si>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</si>
  <si>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</si>
  <si>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</si>
  <si>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</si>
  <si>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</si>
  <si>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</si>
  <si>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</si>
  <si>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</si>
  <si>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</si>
  <si>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</si>
  <si>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</si>
  <si>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</si>
  <si>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</si>
  <si>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</si>
  <si>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</si>
  <si>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</si>
  <si>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</si>
  <si>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</si>
  <si>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</si>
  <si>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</si>
  <si>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</si>
  <si>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</si>
  <si>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</si>
  <si>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</si>
  <si>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</si>
  <si>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</si>
  <si>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</si>
  <si>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</si>
  <si>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</si>
  <si>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</si>
  <si>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</si>
  <si>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</si>
  <si>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</si>
  <si>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</si>
  <si>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</si>
  <si>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</si>
  <si>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</si>
  <si>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</si>
  <si>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</si>
  <si>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</si>
  <si>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</si>
  <si>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</si>
  <si>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</si>
  <si>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</si>
  <si>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</si>
  <si>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</si>
  <si>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</si>
  <si>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</si>
  <si>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</si>
  <si>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</si>
  <si>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</si>
  <si>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</si>
  <si>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</si>
  <si>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</si>
  <si>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</si>
  <si>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</si>
  <si>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</si>
  <si>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</si>
  <si>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</si>
  <si>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</si>
  <si>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</si>
  <si>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</si>
  <si>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</si>
  <si>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</si>
  <si>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</si>
  <si>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</si>
  <si>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</si>
  <si>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</si>
  <si>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</si>
  <si>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</si>
  <si>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</si>
  <si>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</si>
  <si>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</si>
  <si>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</si>
  <si>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</si>
  <si>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</si>
  <si>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</si>
  <si>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</si>
  <si>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</si>
  <si>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</si>
  <si>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</si>
  <si>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</si>
  <si>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</si>
  <si>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</si>
  <si>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</si>
  <si>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</si>
  <si>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</si>
  <si>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</si>
  <si>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</si>
  <si>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</si>
  <si>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</si>
  <si>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</si>
  <si>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</si>
  <si>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</si>
  <si>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</si>
  <si>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</si>
  <si>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</si>
  <si>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</si>
  <si>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</si>
  <si>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</si>
  <si>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</si>
  <si>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</si>
  <si>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</si>
  <si>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</si>
  <si>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</si>
  <si>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</si>
  <si>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</si>
  <si>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</si>
  <si>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</si>
  <si>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</si>
  <si>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</si>
  <si>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</si>
  <si>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</si>
  <si>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</si>
  <si>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</si>
  <si>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</si>
  <si>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</si>
  <si>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</si>
  <si>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</si>
  <si>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</si>
  <si>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</si>
  <si>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</si>
  <si>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</si>
  <si>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</si>
  <si>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</si>
  <si>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</si>
  <si>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</si>
  <si>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</si>
  <si>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</si>
  <si>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</si>
  <si>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</si>
  <si>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</si>
  <si>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</si>
  <si>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</si>
  <si>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</si>
  <si>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</si>
  <si>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</si>
  <si>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</si>
  <si>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</si>
  <si>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</si>
  <si>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</si>
  <si>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</si>
  <si>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</si>
  <si>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</si>
  <si>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</si>
  <si>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</si>
  <si>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</si>
  <si>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</si>
  <si>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</si>
  <si>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</si>
  <si>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</si>
  <si>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</si>
  <si>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</si>
  <si>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</si>
  <si>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</si>
  <si>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</si>
  <si>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</si>
  <si>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</si>
  <si>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</si>
  <si>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</si>
  <si>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</si>
  <si>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</si>
  <si>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</si>
  <si>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</si>
  <si>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</si>
  <si>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</si>
  <si>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</si>
  <si>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</si>
  <si>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</si>
  <si>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</si>
  <si>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</si>
  <si>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</si>
  <si>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</si>
  <si>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</si>
  <si>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</si>
  <si>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</si>
  <si>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</si>
  <si>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</si>
  <si>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</si>
  <si>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</si>
  <si>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</si>
  <si>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</si>
  <si>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</si>
  <si>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</si>
  <si>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</si>
  <si>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</si>
  <si>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</si>
  <si>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</si>
  <si>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</si>
  <si>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</si>
  <si>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</si>
  <si>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</si>
  <si>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</si>
  <si>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</si>
  <si>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</si>
  <si>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</si>
  <si>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</si>
  <si>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</si>
  <si>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</si>
  <si>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</si>
  <si>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</si>
  <si>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</si>
  <si>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</si>
  <si>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</si>
  <si>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</si>
  <si>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</si>
  <si>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</si>
  <si>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</si>
  <si>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</si>
  <si>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</si>
  <si>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</si>
  <si>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</si>
  <si>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</si>
  <si>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</si>
  <si>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</si>
  <si>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</si>
  <si>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</si>
  <si>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</si>
  <si>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</si>
  <si>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</si>
  <si>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</si>
  <si>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</si>
  <si>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</si>
  <si>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</si>
  <si>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</si>
  <si>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</si>
  <si>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</si>
  <si>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</si>
  <si>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</si>
  <si>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</si>
  <si>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</si>
  <si>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</si>
  <si>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</si>
  <si>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</si>
  <si>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</si>
  <si>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</si>
  <si>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</si>
  <si>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</si>
  <si>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</si>
  <si>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</si>
  <si>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</si>
  <si>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</si>
  <si>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</si>
  <si>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</si>
  <si>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</si>
  <si>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</si>
  <si>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</si>
  <si>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</si>
  <si>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</si>
  <si>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</si>
  <si>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</si>
  <si>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</si>
  <si>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</si>
  <si>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</si>
  <si>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</si>
  <si>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</si>
  <si>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</si>
  <si>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</si>
  <si>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</si>
  <si>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</si>
  <si>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</si>
  <si>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</si>
  <si>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</si>
  <si>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</si>
  <si>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</si>
  <si>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</si>
  <si>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</si>
  <si>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</si>
  <si>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</si>
  <si>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</si>
  <si>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</si>
  <si>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</si>
  <si>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</si>
  <si>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</si>
  <si>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</si>
  <si>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</si>
  <si>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</si>
  <si>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</si>
  <si>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</si>
  <si>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</si>
  <si>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</si>
  <si>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</si>
  <si>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</si>
  <si>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</si>
  <si>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</si>
  <si>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</si>
  <si>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</si>
  <si>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</si>
  <si>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</si>
  <si>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</si>
  <si>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</si>
  <si>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</si>
  <si>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</si>
  <si>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</si>
  <si>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</si>
  <si>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</si>
  <si>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</si>
  <si>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</si>
  <si>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</si>
  <si>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</si>
  <si>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</si>
  <si>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</si>
  <si>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</si>
  <si>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</si>
  <si>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</si>
  <si>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</si>
  <si>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</si>
  <si>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</si>
  <si>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</si>
  <si>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</si>
  <si>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</si>
  <si>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</si>
  <si>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</si>
  <si>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</si>
  <si>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</si>
  <si>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</si>
  <si>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</si>
  <si>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</si>
  <si>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</si>
  <si>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</si>
  <si>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</si>
  <si>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</si>
  <si>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</si>
  <si>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</si>
  <si>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</si>
  <si>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</si>
  <si>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</si>
  <si>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</si>
  <si>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</si>
  <si>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</si>
  <si>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</si>
  <si>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</si>
  <si>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</si>
  <si>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</si>
  <si>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</si>
  <si>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</si>
  <si>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</si>
  <si>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</si>
  <si>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</si>
  <si>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</si>
  <si>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</si>
  <si>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</si>
  <si>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</si>
  <si>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</si>
  <si>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</si>
  <si>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</si>
  <si>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</si>
  <si>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</si>
  <si>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</si>
  <si>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</si>
  <si>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</si>
  <si>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</si>
  <si>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</si>
  <si>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</si>
  <si>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</si>
  <si>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</si>
  <si>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</si>
  <si>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</si>
  <si>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</si>
  <si>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</si>
  <si>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</si>
  <si>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</si>
  <si>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</si>
  <si>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</si>
  <si>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</si>
  <si>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</si>
  <si>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</si>
  <si>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</si>
  <si>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</si>
  <si>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</si>
  <si>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</si>
  <si>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</si>
  <si>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</si>
  <si>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</si>
  <si>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</si>
  <si>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</si>
  <si>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</si>
  <si>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</si>
  <si>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</si>
  <si>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</si>
  <si>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</si>
  <si>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</si>
  <si>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</si>
  <si>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</si>
  <si>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</si>
  <si>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</si>
  <si>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</si>
  <si>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</si>
  <si>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</si>
  <si>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</si>
  <si>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</si>
  <si>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</si>
  <si>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</si>
  <si>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</si>
  <si>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</si>
  <si>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</si>
  <si>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</si>
  <si>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</si>
  <si>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</si>
  <si>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</si>
  <si>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</si>
  <si>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</si>
  <si>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</si>
  <si>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</si>
  <si>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</si>
  <si>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</si>
  <si>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</si>
  <si>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</si>
  <si>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</si>
  <si>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</si>
  <si>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</si>
  <si>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</si>
  <si>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</si>
  <si>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</si>
  <si>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</si>
  <si>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</si>
  <si>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</si>
  <si>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</si>
  <si>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</si>
  <si>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</si>
  <si>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</si>
  <si>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</si>
  <si>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</si>
  <si>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</si>
  <si>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</si>
  <si>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</si>
  <si>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</si>
  <si>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</si>
  <si>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</si>
  <si>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</si>
  <si>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</si>
  <si>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</si>
  <si>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</si>
  <si>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</si>
  <si>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</si>
  <si>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</si>
  <si>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</si>
  <si>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</si>
  <si>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</si>
  <si>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</si>
  <si>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</si>
  <si>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</si>
  <si>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</si>
  <si>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</si>
  <si>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</si>
  <si>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</si>
  <si>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</si>
  <si>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</si>
  <si>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</si>
  <si>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</si>
  <si>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</si>
  <si>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</si>
  <si>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</si>
  <si>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</si>
  <si>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</si>
  <si>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</si>
  <si>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</si>
  <si>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</si>
  <si>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</si>
  <si>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</si>
  <si>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</si>
  <si>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</si>
  <si>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</si>
  <si>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</si>
  <si>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</si>
  <si>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</si>
  <si>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</si>
  <si>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</si>
  <si>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</si>
  <si>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</si>
  <si>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</si>
  <si>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</si>
  <si>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</si>
  <si>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</si>
  <si>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</si>
  <si>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</si>
  <si>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</si>
  <si>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</si>
  <si>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</si>
  <si>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</si>
  <si>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</si>
  <si>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</si>
  <si>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</si>
  <si>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</si>
  <si>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</si>
  <si>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</si>
  <si>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</si>
  <si>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</si>
  <si>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</si>
  <si>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</si>
  <si>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</si>
  <si>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</si>
  <si>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</si>
  <si>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</si>
  <si>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</si>
  <si>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</si>
  <si>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</si>
  <si>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</si>
  <si>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</si>
  <si>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</si>
  <si>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</si>
  <si>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</si>
  <si>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</si>
  <si>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</si>
  <si>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</si>
  <si>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</si>
  <si>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</si>
  <si>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</si>
  <si>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</si>
  <si>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</si>
  <si>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</si>
  <si>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</si>
  <si>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</si>
  <si>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</si>
  <si>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</si>
  <si>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</si>
  <si>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</si>
  <si>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</si>
  <si>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</si>
  <si>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</si>
  <si>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</si>
  <si>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</si>
  <si>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</si>
  <si>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</si>
  <si>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</si>
  <si>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</si>
  <si>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</si>
  <si>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</si>
  <si>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</si>
  <si>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</si>
  <si>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</si>
  <si>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</si>
  <si>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</si>
  <si>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</si>
  <si>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</si>
  <si>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</si>
  <si>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</si>
  <si>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</si>
  <si>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</si>
  <si>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</si>
  <si>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</si>
  <si>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</si>
  <si>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</si>
  <si>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</si>
  <si>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</si>
  <si>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</si>
  <si>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</si>
  <si>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</si>
  <si>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</si>
  <si>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</si>
  <si>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</si>
  <si>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</si>
  <si>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</si>
  <si>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</si>
  <si>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</si>
  <si>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</si>
  <si>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</si>
  <si>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</si>
  <si>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</si>
  <si>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</si>
  <si>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</si>
  <si>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</si>
  <si>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</si>
  <si>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</si>
  <si>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</si>
  <si>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</si>
  <si>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</si>
  <si>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</si>
  <si>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</si>
  <si>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</si>
  <si>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</si>
  <si>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</si>
  <si>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</si>
  <si>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</si>
  <si>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</si>
  <si>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</si>
  <si>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</si>
  <si>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</si>
  <si>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</si>
  <si>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</si>
  <si>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</si>
  <si>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</si>
  <si>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</si>
  <si>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</si>
  <si>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</si>
  <si>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</si>
  <si>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</si>
  <si>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</si>
  <si>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</si>
  <si>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</si>
  <si>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</si>
  <si>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</si>
  <si>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</si>
  <si>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</si>
  <si>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</si>
  <si>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</si>
  <si>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</si>
  <si>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</si>
  <si>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</si>
  <si>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</si>
  <si>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</si>
  <si>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</si>
  <si>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</si>
  <si>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</si>
  <si>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</si>
  <si>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</si>
  <si>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</si>
  <si>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</si>
  <si>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</si>
  <si>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</si>
  <si>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</si>
  <si>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</si>
  <si>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</si>
  <si>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</si>
  <si>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</si>
  <si>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</si>
  <si>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</si>
  <si>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</si>
  <si>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</si>
  <si>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</si>
  <si>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</si>
  <si>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</si>
  <si>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</si>
  <si>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</si>
  <si>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</si>
  <si>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</si>
  <si>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</si>
  <si>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</si>
  <si>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</si>
  <si>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</si>
  <si>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</si>
  <si>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</si>
  <si>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</si>
  <si>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</si>
  <si>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</si>
  <si>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</si>
  <si>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</si>
  <si>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</si>
  <si>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</si>
  <si>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</si>
  <si>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</si>
  <si>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</si>
  <si>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</si>
  <si>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</si>
  <si>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</si>
  <si>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</si>
  <si>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</si>
  <si>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</si>
  <si>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</si>
  <si>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</si>
  <si>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</si>
  <si>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</si>
  <si>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</si>
  <si>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</si>
  <si>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</si>
  <si>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</si>
  <si>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</si>
  <si>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</si>
  <si>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</si>
  <si>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</si>
  <si>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</si>
  <si>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</si>
  <si>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</si>
  <si>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</si>
  <si>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</si>
  <si>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</si>
  <si>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</si>
  <si>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</si>
  <si>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</si>
  <si>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</si>
  <si>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</si>
  <si>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</si>
  <si>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</si>
  <si>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</si>
  <si>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</si>
  <si>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</si>
  <si>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</si>
  <si>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</si>
  <si>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</si>
  <si>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</si>
  <si>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</si>
  <si>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</si>
  <si>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</si>
  <si>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</si>
  <si>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</si>
  <si>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</si>
  <si>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</si>
  <si>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</si>
  <si>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</si>
  <si>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</si>
  <si>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</si>
  <si>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</si>
  <si>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</si>
  <si>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</si>
  <si>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</si>
  <si>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</si>
  <si>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</si>
  <si>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</si>
  <si>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</si>
  <si>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</si>
  <si>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</si>
  <si>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</si>
  <si>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</si>
  <si>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</si>
  <si>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</si>
  <si>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</si>
  <si>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</si>
  <si>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</si>
  <si>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</si>
  <si>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</si>
  <si>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</si>
  <si>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</si>
  <si>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</si>
  <si>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</si>
  <si>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</si>
  <si>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</si>
  <si>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</si>
  <si>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</si>
  <si>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</si>
  <si>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</si>
  <si>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</si>
  <si>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</si>
  <si>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</si>
  <si>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</si>
  <si>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</si>
  <si>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</si>
  <si>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</si>
  <si>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</si>
  <si>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</si>
  <si>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</si>
  <si>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</si>
  <si>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</si>
  <si>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</si>
  <si>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</si>
  <si>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</si>
  <si>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</si>
  <si>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</si>
  <si>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</si>
  <si>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</si>
  <si>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</si>
  <si>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</si>
  <si>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</si>
  <si>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</si>
  <si>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</si>
  <si>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</si>
  <si>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</si>
  <si>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</si>
  <si>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</si>
  <si>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</si>
  <si>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</si>
  <si>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</si>
  <si>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</si>
  <si>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</si>
  <si>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</si>
  <si>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</si>
  <si>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</si>
  <si>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</si>
  <si>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</si>
  <si>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</si>
  <si>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</si>
  <si>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</si>
  <si>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</si>
  <si>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</si>
  <si>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</si>
  <si>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</si>
  <si>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</si>
  <si>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</si>
  <si>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</si>
  <si>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</si>
  <si>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</si>
  <si>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</si>
  <si>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</si>
  <si>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</si>
  <si>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</si>
  <si>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</si>
  <si>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</si>
  <si>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</si>
  <si>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</si>
  <si>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</si>
  <si>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</si>
  <si>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</si>
  <si>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</si>
  <si>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</si>
  <si>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</si>
  <si>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</si>
  <si>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</si>
  <si>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</si>
  <si>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</si>
  <si>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</si>
  <si>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</si>
  <si>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</si>
  <si>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</si>
  <si>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</si>
  <si>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</si>
  <si>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</si>
  <si>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</si>
  <si>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</si>
  <si>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</si>
  <si>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</si>
  <si>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</si>
  <si>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</si>
  <si>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</si>
  <si>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</si>
  <si>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</si>
  <si>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</si>
  <si>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</si>
  <si>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</si>
  <si>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</si>
  <si>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</si>
  <si>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</si>
  <si>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</si>
  <si>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</si>
  <si>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</si>
  <si>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</si>
  <si>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</si>
  <si>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</si>
  <si>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</si>
  <si>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</si>
  <si>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</si>
  <si>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</si>
  <si>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</si>
  <si>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</si>
  <si>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</si>
  <si>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</si>
  <si>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</si>
  <si>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</si>
  <si>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</si>
  <si>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</si>
  <si>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</si>
  <si>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</si>
  <si>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</si>
  <si>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</si>
  <si>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</si>
  <si>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</si>
  <si>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</si>
  <si>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</si>
  <si>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</si>
  <si>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</si>
  <si>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</si>
  <si>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</si>
  <si>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</si>
  <si>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</si>
  <si>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</si>
  <si>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</si>
  <si>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</si>
  <si>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</si>
  <si>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</si>
  <si>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</si>
  <si>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</si>
  <si>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</si>
  <si>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</si>
  <si>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</si>
  <si>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</si>
  <si>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</si>
  <si>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</si>
  <si>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</si>
  <si>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</si>
  <si>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</si>
  <si>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</si>
  <si>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</si>
  <si>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</si>
  <si>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</si>
  <si>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</si>
  <si>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</si>
  <si>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</si>
  <si>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</si>
  <si>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</si>
  <si>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</si>
  <si>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</si>
  <si>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</si>
  <si>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</si>
  <si>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</si>
  <si>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</si>
  <si>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</si>
  <si>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</si>
  <si>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</si>
  <si>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</si>
  <si>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</si>
  <si>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</si>
  <si>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</si>
  <si>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</si>
  <si>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</si>
  <si>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</si>
  <si>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</si>
  <si>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</si>
  <si>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</si>
  <si>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</si>
  <si>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</si>
  <si>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</si>
  <si>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</si>
  <si>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</si>
  <si>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</si>
  <si>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</si>
  <si>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</si>
  <si>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</si>
  <si>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</si>
  <si>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</si>
  <si>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</si>
  <si>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</si>
  <si>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</si>
  <si>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</si>
  <si>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</si>
  <si>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</si>
  <si>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</si>
  <si>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</si>
  <si>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</si>
  <si>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</si>
  <si>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</si>
  <si>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</si>
  <si>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</si>
  <si>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</si>
  <si>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</si>
  <si>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</si>
  <si>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</si>
  <si>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</si>
  <si>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</si>
  <si>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</si>
  <si>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</si>
  <si>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</si>
  <si>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</si>
  <si>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</si>
  <si>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</si>
  <si>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</si>
  <si>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</si>
  <si>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</si>
  <si>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</si>
  <si>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</si>
  <si>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</si>
  <si>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</si>
  <si>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</si>
  <si>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</si>
  <si>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</si>
  <si>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</si>
  <si>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</si>
  <si>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</si>
  <si>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</si>
  <si>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</si>
  <si>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</si>
  <si>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</si>
  <si>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</si>
  <si>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</si>
  <si>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</si>
  <si>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</si>
  <si>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</si>
  <si>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</si>
  <si>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</si>
  <si>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</si>
  <si>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</si>
  <si>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</si>
  <si>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</si>
  <si>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</si>
  <si>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</si>
  <si>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</si>
  <si>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</si>
  <si>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</si>
  <si>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</si>
  <si>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</si>
  <si>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</si>
  <si>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</si>
  <si>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</si>
  <si>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</si>
  <si>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</si>
  <si>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</si>
  <si>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</si>
  <si>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</si>
  <si>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</si>
  <si>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</si>
  <si>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</si>
  <si>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</si>
  <si>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</si>
  <si>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</si>
  <si>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</si>
  <si>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</si>
  <si>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</si>
  <si>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</si>
  <si>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</si>
  <si>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</si>
  <si>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</si>
  <si>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</si>
  <si>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</si>
  <si>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</si>
  <si>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</si>
  <si>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</si>
  <si>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</si>
  <si>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</si>
  <si>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</si>
  <si>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</si>
  <si>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</si>
  <si>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</si>
  <si>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</si>
  <si>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</si>
  <si>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</si>
  <si>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</si>
  <si>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</si>
  <si>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</si>
  <si>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</si>
  <si>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</si>
  <si>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</si>
  <si>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</si>
  <si>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</si>
  <si>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</si>
  <si>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</si>
  <si>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</si>
  <si>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</si>
  <si>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</si>
  <si>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</si>
  <si>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</si>
  <si>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</si>
  <si>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</si>
  <si>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</si>
  <si>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</si>
  <si>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</si>
  <si>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</si>
  <si>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</si>
  <si>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</si>
  <si>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</si>
  <si>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</si>
  <si>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</si>
  <si>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</si>
  <si>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</si>
  <si>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</si>
  <si>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</si>
  <si>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</si>
  <si>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</si>
  <si>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</si>
  <si>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</si>
  <si>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</si>
  <si>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</si>
  <si>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</si>
  <si>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</si>
  <si>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</si>
  <si>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</si>
  <si>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</si>
  <si>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</si>
  <si>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</si>
  <si>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</si>
  <si>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</si>
  <si>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</si>
  <si>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</si>
  <si>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</si>
  <si>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</si>
  <si>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</si>
  <si>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</si>
  <si>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</si>
  <si>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</si>
  <si>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</si>
  <si>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</si>
  <si>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</si>
  <si>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</si>
  <si>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</si>
  <si>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</si>
  <si>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</si>
  <si>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</si>
  <si>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</si>
  <si>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</si>
  <si>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</si>
  <si>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</si>
  <si>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</si>
  <si>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</si>
  <si>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</si>
  <si>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</si>
  <si>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</si>
  <si>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</si>
  <si>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</si>
  <si>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</si>
  <si>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</si>
  <si>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</si>
  <si>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</si>
  <si>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</si>
  <si>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</si>
  <si>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</si>
  <si>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</si>
  <si>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</si>
  <si>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</si>
  <si>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</si>
  <si>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</si>
  <si>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</si>
  <si>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</si>
  <si>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</si>
  <si>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</si>
  <si>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</si>
  <si>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</si>
  <si>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</si>
  <si>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</si>
  <si>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</si>
  <si>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</si>
  <si>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</si>
  <si>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</si>
  <si>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</si>
  <si>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</si>
  <si>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</si>
  <si>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</si>
  <si>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</si>
  <si>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</si>
  <si>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</si>
  <si>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</si>
  <si>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</si>
  <si>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</si>
  <si>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</si>
  <si>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</si>
  <si>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</si>
  <si>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</si>
  <si>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</si>
  <si>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</si>
  <si>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</si>
  <si>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</si>
  <si>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</si>
  <si>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</si>
  <si>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</si>
  <si>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</si>
  <si>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</si>
  <si>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</si>
  <si>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</si>
  <si>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</si>
  <si>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</si>
  <si>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</si>
  <si>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</si>
  <si>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</si>
  <si>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</si>
  <si>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</si>
  <si>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</si>
  <si>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</si>
  <si>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</si>
  <si>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</si>
  <si>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</si>
  <si>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</si>
  <si>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</si>
  <si>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</si>
  <si>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</si>
  <si>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</si>
  <si>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</si>
  <si>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</si>
  <si>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</si>
  <si>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</si>
  <si>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</si>
  <si>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</si>
  <si>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</si>
  <si>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</si>
  <si>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</si>
  <si>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</si>
  <si>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</si>
  <si>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</si>
  <si>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</si>
  <si>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</si>
  <si>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</si>
  <si>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</si>
  <si>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</si>
  <si>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</si>
  <si>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</si>
  <si>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</si>
  <si>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</si>
  <si>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</si>
  <si>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</si>
  <si>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</si>
  <si>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</si>
  <si>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</si>
  <si>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</si>
  <si>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</si>
  <si>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</si>
  <si>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</si>
  <si>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</si>
  <si>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</si>
  <si>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</si>
  <si>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</si>
  <si>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</si>
  <si>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</si>
  <si>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</si>
  <si>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</si>
  <si>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</si>
  <si>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</si>
  <si>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</si>
  <si>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</si>
  <si>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</si>
  <si>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</si>
  <si>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</si>
  <si>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</si>
  <si>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</si>
  <si>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</si>
  <si>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</si>
  <si>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</si>
  <si>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</si>
  <si>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</si>
  <si>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</si>
  <si>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</si>
  <si>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</si>
  <si>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</si>
  <si>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</si>
  <si>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</si>
  <si>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</si>
  <si>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</si>
  <si>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</si>
  <si>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</si>
  <si>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</si>
  <si>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</si>
  <si>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</si>
  <si>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</si>
  <si>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</si>
  <si>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</si>
  <si>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</si>
  <si>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</si>
  <si>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</si>
  <si>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</si>
  <si>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</si>
  <si>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</si>
  <si>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</si>
  <si>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</si>
  <si>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</si>
  <si>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</si>
  <si>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</si>
  <si>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</si>
  <si>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</si>
  <si>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</si>
  <si>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</si>
  <si>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</si>
  <si>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</si>
  <si>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</si>
  <si>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</si>
  <si>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</si>
  <si>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</si>
  <si>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</si>
  <si>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</si>
  <si>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</si>
  <si>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</si>
  <si>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</si>
  <si>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</si>
  <si>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</si>
  <si>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</si>
  <si>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</si>
  <si>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</si>
  <si>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</si>
  <si>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</si>
  <si>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</si>
  <si>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</si>
  <si>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</si>
  <si>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</si>
  <si>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</si>
  <si>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</si>
  <si>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</si>
  <si>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</si>
  <si>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</si>
  <si>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</si>
  <si>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</si>
  <si>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</si>
  <si>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</si>
  <si>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</si>
  <si>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</si>
  <si>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</si>
  <si>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</si>
  <si>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</si>
  <si>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</si>
  <si>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</si>
  <si>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</si>
  <si>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</si>
  <si>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</si>
  <si>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</si>
  <si>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</si>
  <si>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</si>
  <si>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</si>
  <si>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</si>
  <si>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</si>
  <si>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</si>
  <si>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</si>
  <si>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</si>
  <si>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</si>
  <si>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</si>
  <si>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</si>
  <si>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</si>
  <si>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</si>
  <si>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</si>
  <si>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</si>
  <si>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</si>
  <si>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</si>
  <si>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</si>
  <si>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</si>
  <si>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</si>
  <si>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</si>
  <si>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</si>
  <si>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</si>
  <si>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</si>
  <si>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</si>
  <si>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</si>
  <si>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</si>
  <si>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</si>
  <si>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</si>
  <si>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</si>
  <si>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</si>
  <si>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</si>
  <si>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</si>
  <si>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</si>
  <si>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</si>
  <si>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</si>
  <si>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</si>
  <si>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</si>
  <si>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</si>
  <si>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</si>
  <si>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</si>
  <si>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</si>
  <si>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</si>
  <si>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</si>
  <si>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</si>
  <si>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</si>
  <si>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</si>
  <si>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</si>
  <si>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</si>
  <si>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</si>
  <si>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</si>
  <si>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</si>
  <si>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</si>
  <si>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</si>
  <si>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</si>
  <si>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</si>
  <si>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</si>
  <si>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</si>
  <si>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</si>
  <si>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</si>
  <si>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</si>
  <si>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</si>
  <si>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</si>
  <si>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</si>
  <si>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</si>
  <si>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</si>
  <si>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</si>
  <si>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</si>
  <si>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</si>
  <si>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</si>
  <si>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</si>
  <si>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</si>
  <si>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</si>
  <si>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</si>
  <si>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</si>
  <si>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</si>
  <si>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</si>
  <si>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</si>
  <si>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</si>
  <si>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</si>
  <si>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</si>
  <si>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</si>
  <si>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</si>
  <si>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</si>
  <si>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</si>
  <si>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</si>
  <si>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</si>
  <si>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</si>
  <si>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</si>
  <si>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</si>
  <si>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</si>
  <si>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</si>
  <si>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</si>
  <si>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</si>
  <si>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</si>
  <si>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</si>
  <si>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</si>
  <si>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</si>
  <si>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</si>
  <si>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</si>
  <si>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</si>
  <si>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</si>
  <si>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</si>
  <si>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</si>
  <si>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</si>
  <si>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</si>
  <si>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</si>
  <si>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</si>
  <si>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</si>
  <si>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</si>
  <si>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</si>
  <si>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</si>
  <si>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</si>
  <si>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</si>
  <si>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</si>
  <si>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</si>
  <si>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</si>
  <si>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</si>
  <si>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</si>
  <si>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</si>
  <si>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</si>
  <si>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</si>
  <si>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</si>
  <si>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</si>
  <si>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</si>
  <si>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</si>
  <si>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</si>
  <si>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</si>
  <si>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</si>
  <si>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</si>
  <si>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</si>
  <si>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</si>
  <si>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</si>
  <si>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</si>
  <si>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</si>
  <si>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</si>
  <si>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</si>
  <si>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</si>
  <si>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</si>
  <si>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</si>
  <si>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</si>
  <si>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</si>
  <si>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</si>
  <si>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</si>
  <si>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</si>
  <si>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</si>
  <si>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</si>
  <si>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</si>
  <si>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</si>
  <si>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</si>
  <si>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</si>
  <si>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</si>
  <si>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</si>
  <si>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</si>
  <si>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</si>
  <si>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</si>
  <si>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</si>
  <si>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</si>
  <si>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</si>
  <si>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</si>
  <si>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</si>
  <si>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</si>
  <si>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</si>
  <si>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</si>
  <si>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</si>
  <si>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</si>
  <si>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</si>
  <si>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</si>
  <si>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</si>
  <si>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</si>
  <si>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</si>
  <si>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</si>
  <si>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</si>
  <si>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</si>
  <si>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</si>
  <si>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</si>
  <si>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</si>
  <si>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</si>
  <si>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</si>
  <si>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</si>
  <si>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</si>
  <si>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</si>
  <si>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</si>
  <si>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</si>
  <si>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</si>
  <si>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</si>
  <si>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</si>
  <si>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</si>
  <si>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</si>
  <si>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</si>
  <si>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</si>
  <si>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</si>
  <si>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</si>
  <si>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</si>
  <si>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</si>
  <si>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</si>
  <si>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</si>
  <si>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</si>
  <si>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</si>
  <si>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</si>
  <si>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</si>
  <si>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</si>
  <si>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</si>
  <si>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</si>
  <si>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</si>
  <si>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</si>
  <si>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</si>
  <si>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</si>
  <si>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</si>
  <si>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</si>
  <si>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</si>
  <si>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</si>
  <si>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</si>
  <si>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</si>
  <si>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</si>
  <si>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</si>
  <si>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</si>
  <si>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</si>
  <si>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</si>
  <si>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</si>
  <si>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</si>
  <si>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</si>
  <si>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</si>
  <si>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</si>
  <si>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</si>
  <si>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</si>
  <si>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</si>
  <si>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</si>
  <si>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</si>
  <si>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</si>
  <si>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</si>
  <si>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</si>
  <si>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</si>
  <si>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</si>
  <si>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</si>
  <si>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</si>
  <si>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</si>
  <si>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</si>
  <si>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</si>
  <si>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</si>
  <si>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</si>
  <si>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</si>
  <si>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</si>
  <si>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</si>
  <si>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</si>
  <si>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</si>
  <si>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</si>
  <si>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</si>
  <si>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</si>
  <si>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</si>
  <si>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</si>
  <si>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</si>
  <si>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</si>
  <si>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</si>
  <si>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</si>
  <si>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</si>
  <si>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</si>
  <si>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</si>
  <si>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</si>
  <si>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</si>
  <si>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</si>
  <si>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</si>
  <si>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</si>
  <si>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</si>
  <si>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</si>
  <si>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</si>
  <si>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</si>
  <si>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</si>
  <si>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</si>
  <si>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</si>
  <si>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</si>
  <si>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</si>
  <si>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</si>
  <si>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</si>
  <si>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</si>
  <si>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</si>
  <si>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</si>
  <si>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</si>
  <si>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</si>
  <si>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</si>
  <si>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</si>
  <si>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</si>
  <si>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</si>
  <si>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</si>
  <si>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</si>
  <si>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</si>
  <si>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</si>
  <si>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</si>
  <si>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</si>
  <si>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</si>
  <si>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</si>
  <si>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</si>
  <si>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</si>
  <si>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</si>
  <si>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</si>
  <si>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</si>
  <si>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</si>
  <si>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</si>
  <si>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</si>
  <si>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</si>
  <si>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</si>
  <si>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</si>
  <si>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</si>
  <si>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</si>
  <si>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</si>
  <si>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</si>
  <si>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</si>
  <si>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</si>
  <si>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</si>
  <si>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</si>
  <si>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</si>
  <si>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</si>
  <si>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</si>
  <si>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</si>
  <si>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</si>
  <si>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</si>
  <si>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</si>
  <si>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</si>
  <si>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</si>
  <si>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</si>
  <si>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</si>
  <si>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</si>
  <si>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</si>
  <si>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</si>
  <si>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</si>
  <si>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</si>
  <si>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</si>
  <si>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</si>
  <si>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</si>
  <si>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</si>
  <si>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</si>
  <si>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</si>
  <si>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</si>
  <si>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</si>
  <si>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</si>
  <si>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</si>
  <si>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</si>
  <si>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</si>
  <si>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</si>
  <si>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</si>
  <si>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</si>
  <si>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</si>
  <si>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</si>
  <si>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</si>
  <si>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</si>
  <si>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</si>
  <si>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</si>
  <si>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</si>
  <si>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</si>
  <si>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</si>
  <si>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</si>
  <si>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</si>
  <si>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</si>
  <si>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</si>
  <si>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</si>
  <si>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</si>
  <si>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</si>
  <si>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</si>
  <si>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</si>
  <si>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</si>
  <si>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</si>
  <si>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</si>
  <si>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</si>
  <si>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</si>
  <si>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</si>
  <si>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</si>
  <si>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</si>
  <si>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</si>
  <si>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</si>
  <si>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</si>
  <si>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</si>
  <si>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</si>
  <si>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</si>
  <si>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</si>
  <si>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</si>
  <si>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</si>
  <si>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</si>
  <si>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</si>
  <si>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</si>
  <si>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</si>
  <si>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</si>
  <si>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</si>
  <si>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</si>
  <si>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</si>
  <si>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</si>
  <si>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</si>
  <si>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</si>
  <si>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</si>
  <si>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</si>
  <si>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</si>
  <si>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</si>
  <si>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</si>
  <si>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</si>
  <si>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</si>
  <si>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</si>
  <si>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</si>
  <si>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</si>
  <si>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</si>
  <si>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</si>
  <si>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</si>
  <si>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</si>
  <si>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</si>
  <si>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</si>
  <si>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</si>
  <si>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</si>
  <si>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</si>
  <si>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</si>
  <si>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</si>
  <si>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</si>
  <si>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</si>
  <si>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</si>
  <si>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</si>
  <si>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</si>
  <si>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</si>
  <si>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</si>
  <si>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</si>
  <si>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</si>
  <si>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</si>
  <si>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</si>
  <si>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</si>
  <si>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</si>
  <si>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</si>
  <si>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</si>
  <si>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</si>
  <si>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</si>
  <si>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</si>
  <si>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</si>
  <si>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</si>
  <si>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</si>
  <si>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</si>
  <si>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</si>
  <si>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</si>
  <si>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</si>
  <si>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</si>
  <si>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</si>
  <si>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</si>
  <si>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</si>
  <si>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</si>
  <si>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</si>
  <si>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</si>
  <si>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</si>
  <si>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</si>
  <si>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</si>
  <si>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</si>
  <si>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</si>
  <si>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</si>
  <si>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</si>
  <si>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</si>
  <si>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</si>
  <si>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</si>
  <si>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</si>
  <si>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</si>
  <si>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</si>
  <si>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</si>
  <si>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</si>
  <si>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</si>
  <si>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</si>
  <si>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</si>
  <si>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</si>
  <si>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</si>
  <si>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</si>
  <si>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</si>
  <si>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</si>
  <si>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</si>
  <si>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</si>
  <si>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</si>
  <si>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</si>
  <si>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</si>
  <si>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</si>
  <si>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</si>
  <si>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</si>
  <si>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</si>
  <si>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</si>
  <si>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</si>
  <si>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</si>
  <si>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</si>
  <si>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</si>
  <si>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</si>
  <si>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</si>
  <si>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</si>
  <si>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</si>
  <si>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</si>
  <si>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</si>
  <si>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</si>
  <si>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</si>
  <si>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</si>
  <si>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</si>
  <si>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</si>
  <si>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</si>
  <si>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</si>
  <si>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</si>
  <si>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</si>
  <si>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</si>
  <si>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</si>
  <si>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</si>
  <si>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</si>
  <si>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</si>
  <si>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</si>
  <si>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</si>
  <si>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</si>
  <si>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</si>
  <si>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</si>
  <si>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</si>
  <si>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</si>
  <si>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</si>
  <si>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</si>
  <si>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</si>
  <si>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</si>
  <si>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</si>
  <si>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</si>
  <si>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</si>
  <si>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</si>
  <si>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</si>
  <si>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</si>
  <si>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</si>
  <si>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</si>
  <si>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</si>
  <si>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</si>
  <si>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</si>
  <si>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</si>
  <si>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</si>
  <si>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</si>
  <si>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</si>
  <si>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</si>
  <si>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</si>
  <si>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</si>
  <si>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</si>
  <si>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</si>
  <si>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</si>
  <si>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</si>
  <si>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</si>
  <si>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</si>
  <si>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</si>
  <si>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</si>
  <si>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</si>
  <si>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</si>
  <si>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</si>
  <si>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</si>
  <si>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</si>
  <si>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</si>
  <si>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</si>
  <si>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</si>
  <si>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</si>
  <si>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</si>
  <si>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</si>
  <si>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</si>
  <si>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</si>
  <si>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</si>
  <si>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</si>
  <si>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</si>
  <si>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</si>
  <si>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</si>
  <si>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</si>
  <si>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</si>
  <si>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</si>
  <si>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</si>
  <si>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</si>
  <si>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</si>
  <si>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</si>
  <si>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</si>
  <si>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</si>
  <si>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</si>
  <si>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</si>
  <si>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</si>
  <si>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</si>
  <si>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</si>
  <si>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</si>
  <si>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</si>
  <si>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</si>
  <si>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</si>
  <si>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</si>
  <si>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</si>
  <si>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</si>
  <si>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</si>
  <si>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</si>
  <si>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</si>
  <si>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</si>
  <si>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</si>
  <si>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</si>
  <si>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</si>
  <si>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</si>
  <si>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</si>
  <si>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</si>
  <si>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</si>
  <si>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</si>
  <si>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</si>
  <si>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</si>
  <si>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</si>
  <si>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</si>
  <si>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</si>
  <si>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</si>
  <si>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</si>
  <si>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</si>
  <si>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</si>
  <si>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</si>
  <si>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</si>
  <si>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</si>
  <si>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</si>
  <si>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</si>
  <si>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</si>
  <si>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</si>
  <si>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</si>
  <si>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</si>
  <si>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</si>
  <si>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</si>
  <si>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</si>
  <si>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</si>
  <si>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</si>
  <si>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</si>
  <si>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</si>
  <si>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</si>
  <si>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</si>
  <si>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</si>
  <si>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</si>
  <si>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</si>
  <si>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</si>
  <si>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</si>
  <si>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</si>
  <si>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</si>
  <si>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</si>
  <si>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</si>
  <si>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</si>
  <si>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</si>
  <si>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</si>
  <si>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</si>
  <si>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</si>
  <si>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</si>
  <si>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</si>
  <si>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</si>
  <si>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</si>
  <si>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</si>
  <si>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</si>
  <si>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</si>
  <si>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</si>
  <si>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</si>
  <si>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</si>
  <si>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</si>
  <si>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</si>
  <si>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</si>
  <si>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</si>
  <si>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</si>
  <si>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</si>
  <si>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</si>
  <si>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</si>
  <si>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</si>
  <si>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</si>
  <si>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</si>
  <si>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</si>
  <si>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</si>
  <si>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</si>
  <si>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</si>
  <si>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</si>
  <si>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</si>
  <si>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</si>
  <si>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</si>
  <si>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</si>
  <si>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</si>
  <si>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</si>
  <si>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</si>
  <si>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</si>
  <si>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</si>
  <si>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</si>
  <si>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</si>
  <si>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</si>
  <si>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</si>
  <si>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</si>
  <si>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</si>
  <si>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</si>
  <si>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</si>
  <si>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</si>
  <si>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</si>
  <si>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</si>
  <si>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</si>
  <si>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</si>
  <si>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</si>
  <si>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</si>
  <si>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</si>
  <si>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</si>
  <si>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</si>
  <si>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</si>
  <si>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</si>
  <si>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</si>
  <si>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</si>
  <si>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</si>
  <si>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</si>
  <si>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</si>
  <si>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</si>
  <si>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</si>
  <si>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</si>
  <si>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</si>
  <si>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</si>
  <si>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</si>
  <si>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</si>
  <si>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</si>
  <si>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</si>
  <si>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</si>
  <si>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</si>
  <si>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</si>
  <si>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</si>
  <si>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</si>
  <si>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</si>
  <si>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</si>
  <si>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</si>
  <si>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</si>
  <si>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</si>
  <si>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</si>
  <si>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</si>
  <si>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</si>
  <si>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</si>
  <si>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</si>
  <si>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</si>
  <si>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</si>
  <si>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</si>
  <si>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</si>
  <si>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</si>
  <si>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</si>
  <si>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</si>
  <si>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</si>
  <si>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</si>
  <si>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</si>
  <si>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</si>
  <si>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</si>
  <si>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</si>
  <si>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</si>
  <si>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</si>
  <si>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</si>
  <si>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</si>
  <si>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</si>
  <si>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</si>
  <si>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</si>
  <si>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</si>
  <si>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</si>
  <si>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</si>
  <si>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</si>
  <si>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</si>
  <si>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</si>
  <si>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</si>
  <si>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</si>
  <si>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</si>
  <si>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</si>
  <si>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</si>
  <si>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</si>
  <si>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</si>
  <si>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</si>
  <si>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</si>
  <si>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</si>
  <si>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</si>
  <si>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</si>
  <si>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</si>
  <si>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</si>
  <si>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</si>
  <si>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</si>
  <si>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</si>
  <si>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</si>
  <si>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</si>
  <si>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</si>
  <si>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</si>
  <si>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</si>
  <si>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</si>
  <si>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</si>
  <si>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</si>
  <si>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</si>
  <si>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</si>
  <si>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</si>
  <si>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</si>
  <si>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</si>
  <si>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</si>
  <si>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</si>
  <si>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</si>
  <si>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</si>
  <si>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</si>
  <si>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</si>
  <si>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</si>
  <si>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</si>
  <si>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</si>
  <si>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</si>
  <si>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</si>
  <si>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</si>
  <si>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</si>
  <si>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</si>
  <si>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</si>
  <si>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</si>
  <si>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</si>
  <si>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</si>
  <si>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</si>
  <si>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</si>
  <si>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</si>
  <si>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</si>
  <si>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</si>
  <si>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</si>
  <si>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</si>
  <si>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</si>
  <si>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</si>
  <si>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</si>
  <si>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</si>
  <si>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</si>
  <si>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</si>
  <si>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</si>
  <si>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</si>
  <si>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</si>
  <si>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</si>
  <si>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</si>
  <si>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</si>
  <si>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</si>
  <si>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</si>
  <si>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</si>
  <si>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</si>
  <si>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</si>
  <si>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</si>
  <si>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</si>
  <si>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</si>
  <si>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</si>
  <si>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</si>
  <si>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</si>
  <si>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</si>
  <si>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</si>
  <si>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</si>
  <si>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</si>
  <si>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</si>
  <si>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</si>
  <si>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</si>
  <si>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</si>
  <si>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</si>
  <si>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</si>
  <si>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</si>
  <si>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</si>
  <si>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</si>
  <si>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</si>
  <si>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</si>
  <si>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</si>
  <si>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</si>
  <si>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</si>
  <si>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</si>
  <si>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</si>
  <si>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</si>
  <si>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</si>
  <si>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</si>
  <si>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</si>
  <si>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</si>
  <si>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</si>
  <si>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</si>
  <si>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</si>
  <si>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</si>
  <si>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</si>
  <si>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</si>
  <si>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</si>
  <si>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</si>
  <si>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</si>
  <si>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</si>
  <si>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</si>
  <si>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</si>
  <si>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</si>
  <si>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</si>
  <si>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</si>
  <si>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</si>
  <si>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</si>
  <si>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</si>
  <si>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</si>
  <si>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</si>
  <si>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</si>
  <si>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</si>
  <si>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</si>
  <si>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</si>
  <si>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</si>
  <si>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</si>
  <si>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</si>
  <si>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</si>
  <si>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</si>
  <si>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</si>
  <si>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</si>
  <si>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</si>
  <si>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</si>
  <si>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</si>
  <si>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</si>
  <si>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</si>
  <si>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</si>
  <si>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</si>
  <si>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</si>
  <si>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</si>
  <si>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</si>
  <si>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</si>
  <si>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</si>
  <si>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</si>
  <si>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</si>
  <si>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</si>
  <si>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</si>
  <si>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</si>
  <si>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</si>
  <si>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</si>
  <si>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</si>
  <si>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</si>
  <si>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</si>
  <si>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</si>
  <si>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</si>
  <si>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</si>
  <si>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</si>
  <si>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</si>
  <si>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</si>
  <si>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</si>
  <si>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</si>
  <si>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</si>
  <si>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</si>
  <si>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</si>
  <si>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</si>
  <si>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</si>
  <si>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</si>
  <si>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</si>
  <si>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</si>
  <si>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</si>
  <si>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</si>
  <si>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</si>
  <si>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</si>
  <si>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</si>
  <si>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</si>
  <si>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</si>
  <si>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</si>
  <si>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</si>
  <si>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</si>
  <si>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</si>
  <si>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</si>
  <si>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</si>
  <si>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</si>
  <si>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</si>
  <si>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</si>
  <si>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</si>
  <si>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</si>
  <si>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</si>
  <si>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</si>
  <si>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</si>
  <si>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</si>
  <si>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</si>
  <si>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</si>
  <si>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</si>
  <si>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</si>
  <si>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</si>
  <si>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</si>
  <si>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</si>
  <si>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</si>
  <si>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</si>
  <si>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</si>
  <si>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</si>
  <si>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</si>
  <si>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</si>
  <si>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</si>
  <si>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</si>
  <si>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</si>
  <si>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</si>
  <si>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</si>
  <si>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</si>
  <si>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</si>
  <si>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</si>
  <si>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</si>
  <si>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</si>
  <si>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</si>
  <si>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</si>
  <si>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</si>
  <si>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</si>
  <si>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</si>
  <si>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</si>
  <si>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</si>
  <si>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</si>
  <si>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</si>
  <si>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</si>
  <si>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</si>
  <si>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</si>
  <si>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</si>
  <si>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</si>
  <si>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</si>
  <si>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</si>
  <si>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</si>
  <si>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</si>
  <si>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</si>
  <si>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</si>
  <si>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</si>
  <si>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</si>
  <si>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</si>
  <si>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</si>
  <si>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</si>
  <si>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</si>
  <si>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</si>
  <si>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</si>
  <si>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</si>
  <si>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</si>
  <si>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</si>
  <si>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</si>
  <si>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</si>
  <si>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</si>
  <si>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</si>
  <si>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</si>
  <si>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</si>
  <si>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</si>
  <si>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</si>
  <si>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</si>
  <si>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</si>
  <si>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</si>
  <si>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</si>
  <si>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</si>
  <si>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</si>
  <si>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</si>
  <si>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</si>
  <si>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</si>
  <si>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</si>
  <si>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</si>
  <si>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</si>
  <si>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</si>
  <si>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</si>
  <si>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</si>
  <si>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</si>
  <si>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</si>
  <si>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</si>
  <si>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</si>
  <si>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</si>
  <si>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</si>
  <si>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RELATION_START_DATE</t>
  </si>
  <si>
    <t>ESTABLISHED_RELATION_END_DATE</t>
  </si>
  <si>
    <t>RESPONSIBILITY_PROCESS_RELESTABLISHED_RELATION_END_DATE</t>
  </si>
  <si>
    <t>RESPONSIBILITY_PROCESS_RELRELATION_START_DATE</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</si>
  <si>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fevereiro a 07 de março</t>
    </r>
  </si>
  <si>
    <t>package 5</t>
  </si>
  <si>
    <t xml:space="preserve">OK </t>
  </si>
  <si>
    <t>Package 8</t>
  </si>
  <si>
    <r>
      <rPr>
        <b/>
        <sz val="11"/>
        <rFont val="Santander Text"/>
        <family val="2"/>
      </rPr>
      <t>2. Tabela de certificados:</t>
    </r>
    <r>
      <rPr>
        <sz val="11"/>
        <rFont val="Santander Text"/>
        <family val="2"/>
      </rPr>
      <t xml:space="preserve">
- Foram fechadas as especificações dos 2 campos planeados e testados os 2 campos que vão ser aprovisionados ler informação da Gloval.
 </t>
    </r>
  </si>
  <si>
    <r>
      <rPr>
        <b/>
        <sz val="11"/>
        <color theme="1"/>
        <rFont val="Santander Text"/>
        <family val="2"/>
      </rPr>
      <t>1. Tabela de Clientes:</t>
    </r>
    <r>
      <rPr>
        <sz val="11"/>
        <color theme="1"/>
        <rFont val="Santander Text"/>
        <family val="2"/>
      </rPr>
      <t xml:space="preserve">
- Foram concluídos os testes de 4 campos da tabela relativos ao risco físico. 
- Foi testado o campo cod_nace, sendo que o mesmo se encontra com incidências.
</t>
    </r>
  </si>
  <si>
    <r>
      <t xml:space="preserve">1. Estavam planeadas as especificações de 5 campos:
</t>
    </r>
    <r>
      <rPr>
        <sz val="11"/>
        <color theme="1"/>
        <rFont val="Santander Text"/>
        <family val="2"/>
      </rPr>
      <t xml:space="preserve">- 4 campos relativos aos certificados foram fechado. Contudo, é importante dar nota que estão pendentes de resposta da Corporação, pelo que caso a Corporação considere algo diferente do mapeamento proposto, a especificação destes campos terá que ser atualizada.
- 1 campo do package 5 em validação de EF (CNCLLD_INSTRMNT_STTS)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</si>
  <si>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Foram concluídos os testes de 2 campos da tabela de Output de Certificados. 
- Foram concluídas as especificações dos 2 campos da tabela de Output de Certificados.
</t>
    </r>
    <r>
      <rPr>
        <b/>
        <sz val="11"/>
        <color theme="1"/>
        <rFont val="Santander Text"/>
        <family val="2"/>
      </rPr>
      <t>2. Modelo Verde:</t>
    </r>
    <r>
      <rPr>
        <sz val="11"/>
        <color theme="1"/>
        <rFont val="Santander Text"/>
        <family val="2"/>
      </rPr>
      <t xml:space="preserve"> 
- Conforme planeado, foram testados 5 campos. 4 destes campos foram concluídos, 1 deles encontra-se com incidências.
</t>
    </r>
    <r>
      <rPr>
        <b/>
        <sz val="11"/>
        <color theme="1"/>
        <rFont val="Santander Text"/>
        <family val="2"/>
      </rPr>
      <t>3. Loan Tape:</t>
    </r>
    <r>
      <rPr>
        <sz val="11"/>
        <color theme="1"/>
        <rFont val="Santander Text"/>
        <family val="2"/>
      </rPr>
      <t xml:space="preserve"> 
- Dos 5 campos planeados para fecho de especificação, foram concluídos 4. Dar nota que estes campos são relativos aos certificados e que estão pendentes de resposta da Corporação. Caso a Corporaçao indique um mapeamento diferente do proposto, a especificação dos campos deverá ser atualizado. O campo em falta não foi fechado dado que se encontra em Validação de EF.</t>
    </r>
    <r>
      <rPr>
        <b/>
        <sz val="11"/>
        <color theme="1"/>
        <rFont val="Santander Text"/>
        <family val="2"/>
      </rPr>
      <t xml:space="preserve">
</t>
    </r>
    <r>
      <rPr>
        <sz val="11"/>
        <color theme="1"/>
        <rFont val="Santander Text"/>
        <family val="2"/>
      </rPr>
      <t xml:space="preserve">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campo carbon_emission_value_year, para contemplar a especificação proposta pela Gloval, concluindo assim as especificações do Modelo de Bens Imóveis.
</t>
    </r>
    <r>
      <rPr>
        <b/>
        <sz val="11"/>
        <color theme="1"/>
        <rFont val="Santander Text"/>
        <family val="2"/>
      </rPr>
      <t>2. Modelo Verde</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sstnbl_indctr, após reunião com Corporação, concluindo assim as especificações do Modelo Verde.
- FY24: Concluir os testes do campo cod_nace.
</t>
    </r>
    <r>
      <rPr>
        <b/>
        <sz val="11"/>
        <color theme="1"/>
        <rFont val="Santander Text"/>
        <family val="2"/>
      </rPr>
      <t>3. Loan Tape</t>
    </r>
    <r>
      <rPr>
        <sz val="11"/>
        <color theme="1"/>
        <rFont val="Santander Text"/>
        <family val="2"/>
      </rPr>
      <t xml:space="preserve">
- FY25: Concluir a especificações do campo pendente (CNCLLD_INSTRMNT_STTS), concluindo assim as especificações da Loan Tape.
- Testar 32 campos dos entregues pela equipa de Tecnologia durante esta semana.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</si>
</sst>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7" fillId="33" borderId="64" xfId="0" applyFont="1" applyFill="1" applyBorder="1" applyAlignment="1">
      <alignment horizontal="center"/>
    </xf>
    <xf numFmtId="0" fontId="78" fillId="29" borderId="54" xfId="0" applyFont="1" applyFill="1" applyBorder="1" applyAlignment="1">
      <alignment horizontal="center"/>
    </xf>
    <xf numFmtId="0" fontId="71" fillId="36" borderId="63" xfId="0" applyFont="1" applyFill="1" applyBorder="1" applyAlignment="1">
      <alignment horizontal="center"/>
    </xf>
    <xf numFmtId="0" fontId="78"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9" fillId="5" borderId="0" xfId="0" applyFont="1" applyFill="1"/>
    <xf numFmtId="0" fontId="80" fillId="0" borderId="0" xfId="0" applyFont="1"/>
    <xf numFmtId="0" fontId="81"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4" xfId="0" quotePrefix="1" applyFont="1" applyFill="1" applyBorder="1" applyAlignment="1">
      <alignment horizont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92">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dLbl>
              <c:idx val="3"/>
              <c:layout>
                <c:manualLayout>
                  <c:x val="-1.4662611011551597E-2"/>
                  <c:y val="-2.538882891527727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6. Em implementação</c:v>
                </c:pt>
                <c:pt idx="3">
                  <c:v>2.2 Em especificação</c:v>
                </c:pt>
              </c:strCache>
            </c:strRef>
          </c:cat>
          <c:val>
            <c:numRef>
              <c:f>'Aux - Pivots2'!$C$67:$C$71</c:f>
              <c:numCache>
                <c:formatCode>General</c:formatCode>
                <c:ptCount val="4"/>
                <c:pt idx="0">
                  <c:v>12</c:v>
                </c:pt>
                <c:pt idx="1">
                  <c:v>192</c:v>
                </c:pt>
                <c:pt idx="2">
                  <c:v>3</c:v>
                </c:pt>
                <c:pt idx="3">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53</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1</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45</c:v>
                </c:pt>
                <c:pt idx="1">
                  <c:v>15</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Pivots2'!$B$112:$B$116</c:f>
              <c:strCache>
                <c:ptCount val="4"/>
                <c:pt idx="0">
                  <c:v>0. Cancelado</c:v>
                </c:pt>
                <c:pt idx="1">
                  <c:v>1. Concluído</c:v>
                </c:pt>
                <c:pt idx="2">
                  <c:v>2.1 Em Teste</c:v>
                </c:pt>
                <c:pt idx="3">
                  <c:v>6. Em implementação</c:v>
                </c:pt>
              </c:strCache>
            </c:strRef>
          </c:cat>
          <c:val>
            <c:numRef>
              <c:f>'Aux - Pivots2'!$C$112:$C$116</c:f>
              <c:numCache>
                <c:formatCode>General</c:formatCode>
                <c:ptCount val="4"/>
                <c:pt idx="0">
                  <c:v>16</c:v>
                </c:pt>
                <c:pt idx="1">
                  <c:v>225</c:v>
                </c:pt>
                <c:pt idx="2">
                  <c:v>1</c:v>
                </c:pt>
                <c:pt idx="3">
                  <c:v>60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7.12.xlsx]Aux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rgbClr val="FFCB32">
              <a:lumMod val="50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22</c:v>
                </c:pt>
                <c:pt idx="1">
                  <c:v>39</c:v>
                </c:pt>
                <c:pt idx="2">
                  <c:v>18</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12</c:v>
                </c:pt>
                <c:pt idx="1">
                  <c:v>21</c:v>
                </c:pt>
                <c:pt idx="2">
                  <c:v>11</c:v>
                </c:pt>
                <c:pt idx="4">
                  <c:v>1</c:v>
                </c:pt>
                <c:pt idx="5">
                  <c:v>5</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rgbClr val="FFCB32">
                <a:lumMod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5">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4. Validação EF</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numCache>
            </c:numRef>
          </c:val>
          <c:extLst>
            <c:ext xmlns:c16="http://schemas.microsoft.com/office/drawing/2014/chart" uri="{C3380CC4-5D6E-409C-BE32-E72D297353CC}">
              <c16:uniqueId val="{00000004-6123-417F-A69A-DFFFDAD3CBFD}"/>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10</c:v>
                </c:pt>
                <c:pt idx="1">
                  <c:v>7</c:v>
                </c:pt>
                <c:pt idx="2">
                  <c:v>14</c:v>
                </c:pt>
                <c:pt idx="4">
                  <c:v>1</c:v>
                </c:pt>
                <c:pt idx="5">
                  <c:v>3</c:v>
                </c:pt>
              </c:numCache>
            </c:numRef>
          </c:val>
          <c:extLst>
            <c:ext xmlns:c16="http://schemas.microsoft.com/office/drawing/2014/chart" uri="{C3380CC4-5D6E-409C-BE32-E72D297353CC}">
              <c16:uniqueId val="{00000005-6123-417F-A69A-DFFFDAD3CBFD}"/>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2.2 Em especificação</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3</c:v>
                </c:pt>
              </c:numCache>
            </c:numRef>
          </c:val>
          <c:extLst>
            <c:ext xmlns:c16="http://schemas.microsoft.com/office/drawing/2014/chart" uri="{C3380CC4-5D6E-409C-BE32-E72D297353CC}">
              <c16:uniqueId val="{00000004-0593-404F-895D-90BCC3126CD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accent5"/>
              </a:solidFill>
              <a:ln w="19050">
                <a:noFill/>
              </a:ln>
              <a:effectLst/>
            </c:spPr>
            <c:extLst>
              <c:ext xmlns:c16="http://schemas.microsoft.com/office/drawing/2014/chart" uri="{C3380CC4-5D6E-409C-BE32-E72D297353CC}">
                <c16:uniqueId val="{00000003-0544-4AE3-A745-E99D5235D4A5}"/>
              </c:ext>
            </c:extLst>
          </c:dPt>
          <c:dPt>
            <c:idx val="2"/>
            <c:bubble3D val="0"/>
            <c:spPr>
              <a:solidFill>
                <a:srgbClr val="FF0000"/>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2.1 Em Teste</c:v>
                </c:pt>
                <c:pt idx="1">
                  <c:v>4. Validação EF</c:v>
                </c:pt>
                <c:pt idx="2">
                  <c:v>6. Em implementação </c:v>
                </c:pt>
              </c:strCache>
            </c:strRef>
          </c:cat>
          <c:val>
            <c:numRef>
              <c:f>'Aux - Pivots2'!$C$173:$C$176</c:f>
              <c:numCache>
                <c:formatCode>General</c:formatCode>
                <c:ptCount val="3"/>
                <c:pt idx="0">
                  <c:v>49</c:v>
                </c:pt>
                <c:pt idx="1">
                  <c:v>1</c:v>
                </c:pt>
                <c:pt idx="2">
                  <c:v>21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rgbClr val="FF0000"/>
          </a:solidFill>
          <a:ln w="19050">
            <a:noFill/>
          </a:ln>
          <a:effectLst/>
        </c:spPr>
        <c:dLbl>
          <c:idx val="0"/>
          <c:layout>
            <c:manualLayout>
              <c:x val="-2.4238683138792228E-2"/>
              <c:y val="-5.4862760935258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7313345099137303E-2"/>
              <c:y val="3.53716108008745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7313345099137303E-2"/>
                  <c:y val="3.53716108008745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2.4238683138792228E-2"/>
                  <c:y val="-5.486276093525881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2.2 Em especificação</c:v>
                </c:pt>
                <c:pt idx="4">
                  <c:v>6. Em implementação </c:v>
                </c:pt>
              </c:strCache>
            </c:strRef>
          </c:cat>
          <c:val>
            <c:numRef>
              <c:f>'Aux - Pivots2'!$C$205:$C$210</c:f>
              <c:numCache>
                <c:formatCode>General</c:formatCode>
                <c:ptCount val="5"/>
                <c:pt idx="0">
                  <c:v>4</c:v>
                </c:pt>
                <c:pt idx="1">
                  <c:v>114</c:v>
                </c:pt>
                <c:pt idx="2">
                  <c:v>1</c:v>
                </c:pt>
                <c:pt idx="3">
                  <c:v>1</c:v>
                </c:pt>
                <c:pt idx="4">
                  <c:v>14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42</xdr:row>
      <xdr:rowOff>146050</xdr:rowOff>
    </xdr:from>
    <xdr:to>
      <xdr:col>6</xdr:col>
      <xdr:colOff>251193</xdr:colOff>
      <xdr:row>76</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49</xdr:row>
      <xdr:rowOff>56603</xdr:rowOff>
    </xdr:from>
    <xdr:to>
      <xdr:col>14</xdr:col>
      <xdr:colOff>631909</xdr:colOff>
      <xdr:row>49</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58238</xdr:rowOff>
    </xdr:from>
    <xdr:to>
      <xdr:col>14</xdr:col>
      <xdr:colOff>628099</xdr:colOff>
      <xdr:row>52</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55</xdr:row>
      <xdr:rowOff>56063</xdr:rowOff>
    </xdr:from>
    <xdr:to>
      <xdr:col>14</xdr:col>
      <xdr:colOff>628099</xdr:colOff>
      <xdr:row>55</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59332</xdr:rowOff>
    </xdr:from>
    <xdr:to>
      <xdr:col>14</xdr:col>
      <xdr:colOff>628099</xdr:colOff>
      <xdr:row>61</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58791</xdr:rowOff>
    </xdr:from>
    <xdr:to>
      <xdr:col>14</xdr:col>
      <xdr:colOff>628099</xdr:colOff>
      <xdr:row>67</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73</xdr:row>
      <xdr:rowOff>60155</xdr:rowOff>
    </xdr:from>
    <xdr:to>
      <xdr:col>14</xdr:col>
      <xdr:colOff>631909</xdr:colOff>
      <xdr:row>73</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70</xdr:row>
      <xdr:rowOff>58521</xdr:rowOff>
    </xdr:from>
    <xdr:to>
      <xdr:col>14</xdr:col>
      <xdr:colOff>628099</xdr:colOff>
      <xdr:row>70</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94</xdr:row>
      <xdr:rowOff>60414</xdr:rowOff>
    </xdr:from>
    <xdr:to>
      <xdr:col>14</xdr:col>
      <xdr:colOff>621111</xdr:colOff>
      <xdr:row>94</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56941</xdr:rowOff>
    </xdr:from>
    <xdr:to>
      <xdr:col>14</xdr:col>
      <xdr:colOff>624921</xdr:colOff>
      <xdr:row>97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106</xdr:row>
      <xdr:rowOff>66849</xdr:rowOff>
    </xdr:from>
    <xdr:to>
      <xdr:col>14</xdr:col>
      <xdr:colOff>625339</xdr:colOff>
      <xdr:row>106</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61051</xdr:rowOff>
    </xdr:from>
    <xdr:to>
      <xdr:col>14</xdr:col>
      <xdr:colOff>624921</xdr:colOff>
      <xdr:row>109</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63293</xdr:rowOff>
    </xdr:from>
    <xdr:to>
      <xdr:col>14</xdr:col>
      <xdr:colOff>624921</xdr:colOff>
      <xdr:row>112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115</xdr:row>
      <xdr:rowOff>63629</xdr:rowOff>
    </xdr:from>
    <xdr:to>
      <xdr:col>14</xdr:col>
      <xdr:colOff>624921</xdr:colOff>
      <xdr:row>115</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150</xdr:row>
      <xdr:rowOff>56604</xdr:rowOff>
    </xdr:from>
    <xdr:to>
      <xdr:col>14</xdr:col>
      <xdr:colOff>624919</xdr:colOff>
      <xdr:row>150</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58608</xdr:rowOff>
    </xdr:from>
    <xdr:to>
      <xdr:col>14</xdr:col>
      <xdr:colOff>628729</xdr:colOff>
      <xdr:row>154</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54897</xdr:rowOff>
    </xdr:from>
    <xdr:to>
      <xdr:col>14</xdr:col>
      <xdr:colOff>628729</xdr:colOff>
      <xdr:row>158</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63989</xdr:rowOff>
    </xdr:from>
    <xdr:to>
      <xdr:col>14</xdr:col>
      <xdr:colOff>625339</xdr:colOff>
      <xdr:row>166</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56048</xdr:rowOff>
    </xdr:from>
    <xdr:to>
      <xdr:col>14</xdr:col>
      <xdr:colOff>628729</xdr:colOff>
      <xdr:row>170</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56146</xdr:rowOff>
    </xdr:from>
    <xdr:to>
      <xdr:col>14</xdr:col>
      <xdr:colOff>628729</xdr:colOff>
      <xdr:row>174</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182</xdr:row>
      <xdr:rowOff>60156</xdr:rowOff>
    </xdr:from>
    <xdr:to>
      <xdr:col>14</xdr:col>
      <xdr:colOff>624919</xdr:colOff>
      <xdr:row>182</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178</xdr:row>
      <xdr:rowOff>54340</xdr:rowOff>
    </xdr:from>
    <xdr:to>
      <xdr:col>14</xdr:col>
      <xdr:colOff>628729</xdr:colOff>
      <xdr:row>178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93</xdr:row>
      <xdr:rowOff>76535</xdr:rowOff>
    </xdr:from>
    <xdr:to>
      <xdr:col>14</xdr:col>
      <xdr:colOff>635000</xdr:colOff>
      <xdr:row>136</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96</xdr:row>
      <xdr:rowOff>139700</xdr:rowOff>
    </xdr:from>
    <xdr:to>
      <xdr:col>5</xdr:col>
      <xdr:colOff>465667</xdr:colOff>
      <xdr:row>115</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149</xdr:row>
      <xdr:rowOff>37660</xdr:rowOff>
    </xdr:from>
    <xdr:to>
      <xdr:col>14</xdr:col>
      <xdr:colOff>401732</xdr:colOff>
      <xdr:row>191</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48</xdr:row>
      <xdr:rowOff>85830</xdr:rowOff>
    </xdr:from>
    <xdr:to>
      <xdr:col>14</xdr:col>
      <xdr:colOff>352159</xdr:colOff>
      <xdr:row>80</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58</xdr:row>
      <xdr:rowOff>53887</xdr:rowOff>
    </xdr:from>
    <xdr:to>
      <xdr:col>14</xdr:col>
      <xdr:colOff>628099</xdr:colOff>
      <xdr:row>58</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62872</xdr:rowOff>
    </xdr:from>
    <xdr:to>
      <xdr:col>14</xdr:col>
      <xdr:colOff>628099</xdr:colOff>
      <xdr:row>64</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103</xdr:row>
      <xdr:rowOff>59522</xdr:rowOff>
    </xdr:from>
    <xdr:to>
      <xdr:col>14</xdr:col>
      <xdr:colOff>634864</xdr:colOff>
      <xdr:row>103</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56900</xdr:rowOff>
    </xdr:from>
    <xdr:to>
      <xdr:col>14</xdr:col>
      <xdr:colOff>645244</xdr:colOff>
      <xdr:row>162</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152</xdr:row>
      <xdr:rowOff>178592</xdr:rowOff>
    </xdr:from>
    <xdr:to>
      <xdr:col>6</xdr:col>
      <xdr:colOff>357185</xdr:colOff>
      <xdr:row>169</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173</xdr:row>
      <xdr:rowOff>8503</xdr:rowOff>
    </xdr:from>
    <xdr:to>
      <xdr:col>6</xdr:col>
      <xdr:colOff>329971</xdr:colOff>
      <xdr:row>188</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27.448813425923"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27.44882719907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27.44882951388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1 Em Teste"/>
        <s v="2.2 Em especificaçã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27.44883206018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27.44883495370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4">
        <s v="0. Cancelado"/>
        <s v="1. Concluído"/>
        <s v="2.1 Em Teste"/>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27.44883784722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27.44884004629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27.448867245374" createdVersion="6" refreshedVersion="6" minRefreshableVersion="3" recordCount="734">
  <cacheSource type="worksheet">
    <worksheetSource name="Table4"/>
  </cacheSource>
  <cacheFields count="21">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6. Em implementação "/>
        <s v="4. Validação EF"/>
        <s v="1. Concluído"/>
        <s v="2.2 Em especificação"/>
        <s v="2.1 Em Teste"/>
        <s v="0. Cancelado"/>
        <s v="2. Em Teste" u="1"/>
        <s v="7. Por iniciar" u="1"/>
        <s v="2.2 Em Re-especificação" u="1"/>
        <e v="#N/A" u="1"/>
        <s v="5. Em Correção" u="1"/>
        <s v="6. Em implementação (re-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6. Em implementação "/>
    <m/>
    <s v="Package 1"/>
    <s v="Package 1"/>
    <m/>
    <s v=""/>
    <s v=""/>
    <s v=""/>
    <m/>
    <m/>
    <m/>
    <m/>
    <m/>
    <x v="0"/>
    <s v="HF"/>
  </r>
  <r>
    <x v="0"/>
    <x v="1"/>
    <x v="0"/>
    <s v="lt002_instrument"/>
    <s v="OFF_BLNC_SHT_AMNT_INSTRMNT"/>
    <x v="0"/>
    <s v="6. Em implementação "/>
    <m/>
    <s v="Package 4"/>
    <s v="Package 11 (23 abril)"/>
    <m/>
    <s v=""/>
    <s v=""/>
    <s v=""/>
    <m/>
    <m/>
    <s v="Novo Projeto - Em especificação"/>
    <s v="ESTR, GD, GF, ESG e LF"/>
    <s v="Novos Requisitos FY25 - Âmbito ESTR e (ou) LF"/>
    <x v="1"/>
    <s v="HF"/>
  </r>
  <r>
    <x v="0"/>
    <x v="1"/>
    <x v="0"/>
    <s v="lt003_entity"/>
    <s v="ec_grp_id"/>
    <x v="0"/>
    <s v="6. Em implementação "/>
    <m/>
    <s v="Package 4"/>
    <s v="Package 11 (23 abril)"/>
    <m/>
    <s v=""/>
    <s v=""/>
    <s v=""/>
    <m/>
    <m/>
    <s v="Novo Projeto - Em especificação"/>
    <s v="ESTR, P3, GF e LF"/>
    <s v="Novos Requisitos FY25 - Âmbito ESTR e (ou) LF"/>
    <x v="1"/>
    <s v="JB"/>
  </r>
  <r>
    <x v="0"/>
    <x v="1"/>
    <x v="0"/>
    <s v="lt003_entity"/>
    <s v="ec_grp_nm"/>
    <x v="0"/>
    <s v="6. Em implementação "/>
    <m/>
    <s v="Package 4"/>
    <s v="Package 11 (23 abril)"/>
    <m/>
    <s v=""/>
    <s v=""/>
    <s v=""/>
    <m/>
    <m/>
    <s v="Novo Projeto - Em especificação"/>
    <s v="ESTR, P3, GF e LF"/>
    <s v="Novos Requisitos FY25 - Âmbito ESTR e (ou) LF"/>
    <x v="1"/>
    <s v="JB"/>
  </r>
  <r>
    <x v="0"/>
    <x v="1"/>
    <x v="0"/>
    <s v="lt004_protection"/>
    <s v="RL_ESTT_ADDRSS"/>
    <x v="0"/>
    <s v="6. Em implementação "/>
    <m/>
    <s v="Package 4"/>
    <s v="Package 11 (23 abril)"/>
    <m/>
    <s v=""/>
    <s v=""/>
    <s v=""/>
    <m/>
    <m/>
    <s v="Novo Projeto - Em especificação"/>
    <s v="ESTR e ESG"/>
    <s v="Novos Requisitos FY25 - Âmbito ESTR e (ou) LF"/>
    <x v="1"/>
    <s v="JB"/>
  </r>
  <r>
    <x v="0"/>
    <x v="1"/>
    <x v="0"/>
    <s v="lt004_protection"/>
    <s v="RL_ESTT_CLLTRL_LCTN_INT"/>
    <x v="0"/>
    <s v="6. Em implementação "/>
    <m/>
    <s v="Package 5"/>
    <s v="Package 11 (23 abril)"/>
    <m/>
    <s v=""/>
    <s v=""/>
    <s v=""/>
    <m/>
    <m/>
    <s v="Novo Projeto - Em especificação"/>
    <s v="ESTR e ESG"/>
    <s v="Novos Requisitos FY25 - Âmbito ESTR e (ou) LF"/>
    <x v="1"/>
    <s v="JB"/>
  </r>
  <r>
    <x v="0"/>
    <x v="1"/>
    <x v="0"/>
    <s v="lt004_protection"/>
    <s v="RL_ESTT_CTY"/>
    <x v="0"/>
    <s v="6. Em implementação "/>
    <m/>
    <s v="Package 3"/>
    <s v="Package 11 (23 abril)"/>
    <m/>
    <s v=""/>
    <s v=""/>
    <s v=""/>
    <m/>
    <m/>
    <s v="Novo Projeto - Em especificação"/>
    <s v="ESTR e ESG"/>
    <s v="Novos Requisitos FY25 - Âmbito ESTR e (ou) LF"/>
    <x v="1"/>
    <s v="JB"/>
  </r>
  <r>
    <x v="0"/>
    <x v="1"/>
    <x v="0"/>
    <s v="lt004_protection"/>
    <s v="YR_CNSTRCTN"/>
    <x v="0"/>
    <s v="6. Em implementação "/>
    <m/>
    <s v="Package 3"/>
    <s v="Package 11 (23 abril)"/>
    <m/>
    <s v=""/>
    <s v=""/>
    <s v=""/>
    <m/>
    <m/>
    <s v="Novo Projeto - Em especificação"/>
    <s v="ESTR, P3 e ESG"/>
    <s v="Novos Requisitos FY25 - Âmbito ESTR e (ou) LF"/>
    <x v="1"/>
    <s v="JB"/>
  </r>
  <r>
    <x v="0"/>
    <x v="1"/>
    <x v="0"/>
    <s v="lt004_protection"/>
    <s v="BLDNG_AR"/>
    <x v="0"/>
    <s v="6. Em implementação "/>
    <m/>
    <s v="Package 3"/>
    <s v="Package 11 (23 abril)"/>
    <m/>
    <s v=""/>
    <s v=""/>
    <s v=""/>
    <m/>
    <m/>
    <s v="Novo Projeto - Em especificação"/>
    <s v="P3 e ESG"/>
    <s v="Novos Requisitos FY25 - Outros"/>
    <x v="1"/>
    <s v="JB"/>
  </r>
  <r>
    <x v="0"/>
    <x v="1"/>
    <x v="0"/>
    <s v="lt002_instrument"/>
    <s v="NW_BSNSS"/>
    <x v="0"/>
    <s v="6. Em implementação "/>
    <m/>
    <s v="Package 5"/>
    <s v="Package 12 (30 maio)"/>
    <m/>
    <s v=""/>
    <s v=""/>
    <s v=""/>
    <m/>
    <m/>
    <s v="Novo Projeto - Em especificação"/>
    <s v="GD, P3 e GF"/>
    <s v="Novos Requisitos FY25 - Outros"/>
    <x v="1"/>
    <s v="RC"/>
  </r>
  <r>
    <x v="0"/>
    <x v="1"/>
    <x v="0"/>
    <s v="lt002_instrument"/>
    <s v="CNCLLD_INSTRMNT_STTS"/>
    <x v="1"/>
    <s v="4. Validação EF"/>
    <m/>
    <s v="Package 5"/>
    <s v="Package 12 (30 maio)"/>
    <m/>
    <s v=""/>
    <s v=""/>
    <s v=""/>
    <m/>
    <m/>
    <s v="Novo Projeto - Em especificação"/>
    <s v="GD, P3 e GF"/>
    <s v="Novos Requisitos FY25 - Outros"/>
    <x v="1"/>
    <s v="RC"/>
  </r>
  <r>
    <x v="0"/>
    <x v="1"/>
    <x v="0"/>
    <s v="lt002_instrument"/>
    <s v="TYP_OFF_BLNC_PRDCT"/>
    <x v="0"/>
    <s v="6. Em implementação "/>
    <m/>
    <s v="Package 4 --&gt; Não está especificado no LT - não conseguimos testar"/>
    <s v="Package 12 (30 maio)"/>
    <m/>
    <s v=""/>
    <s v=""/>
    <s v=""/>
    <m/>
    <m/>
    <s v="Novo Projeto - Em especificação"/>
    <s v="ESTR, GD, P3 e LF"/>
    <s v="Novos Requisitos FY25 - Âmbito ESTR e (ou) LF"/>
    <x v="1"/>
    <s v="JB"/>
  </r>
  <r>
    <x v="0"/>
    <x v="2"/>
    <x v="0"/>
    <s v="modesg_out_empr_info_nfin"/>
    <s v="ppc_trnvr_ttl_elgbl"/>
    <x v="2"/>
    <s v="1. Concluído"/>
    <m/>
    <s v="Package 1"/>
    <s v="Package 2"/>
    <m/>
    <s v=""/>
    <s v=""/>
    <s v=""/>
    <m/>
    <m/>
    <m/>
    <m/>
    <m/>
    <x v="1"/>
    <m/>
  </r>
  <r>
    <x v="0"/>
    <x v="2"/>
    <x v="0"/>
    <s v="modesg_out_empr_info_nfin"/>
    <s v="ppc_turnover_own_prfrmnce_algnd"/>
    <x v="2"/>
    <s v="1. Concluído"/>
    <m/>
    <s v="Package 1"/>
    <s v="Package 2"/>
    <m/>
    <s v=""/>
    <s v=""/>
    <s v=""/>
    <m/>
    <m/>
    <m/>
    <m/>
    <m/>
    <x v="1"/>
    <m/>
  </r>
  <r>
    <x v="0"/>
    <x v="2"/>
    <x v="0"/>
    <s v="modesg_out_empr_info_nfin"/>
    <s v="ppc_capex_ttl_elgbl"/>
    <x v="2"/>
    <s v="1. Concluído"/>
    <m/>
    <s v="Package 1"/>
    <s v="Package 2"/>
    <m/>
    <s v=""/>
    <s v=""/>
    <s v=""/>
    <m/>
    <m/>
    <m/>
    <m/>
    <m/>
    <x v="1"/>
    <m/>
  </r>
  <r>
    <x v="0"/>
    <x v="2"/>
    <x v="0"/>
    <s v="modesg_out_empr_info_nfin"/>
    <s v="ppc_capex_own_prfrmnce_algnd"/>
    <x v="2"/>
    <s v="1. Concluído"/>
    <m/>
    <s v="Package 1"/>
    <s v="Package 2"/>
    <m/>
    <s v=""/>
    <s v=""/>
    <s v=""/>
    <m/>
    <m/>
    <m/>
    <m/>
    <m/>
    <x v="1"/>
    <m/>
  </r>
  <r>
    <x v="0"/>
    <x v="2"/>
    <x v="0"/>
    <s v="modesg_out_empr_info_nfin"/>
    <s v="bio_trnvr_ttl_elgbl"/>
    <x v="2"/>
    <s v="1. Concluído"/>
    <m/>
    <s v="Package 1"/>
    <s v="Package 2"/>
    <m/>
    <s v=""/>
    <s v=""/>
    <s v=""/>
    <m/>
    <m/>
    <m/>
    <m/>
    <m/>
    <x v="1"/>
    <m/>
  </r>
  <r>
    <x v="0"/>
    <x v="2"/>
    <x v="0"/>
    <s v="modesg_out_empr_info_nfin"/>
    <s v="bio_turnover_own_prfrmnce_algnd"/>
    <x v="2"/>
    <s v="1. Concluído"/>
    <m/>
    <s v="Package 1"/>
    <s v="Package 2"/>
    <m/>
    <s v=""/>
    <s v=""/>
    <s v=""/>
    <m/>
    <m/>
    <m/>
    <m/>
    <m/>
    <x v="1"/>
    <m/>
  </r>
  <r>
    <x v="0"/>
    <x v="2"/>
    <x v="0"/>
    <s v="modesg_out_empr_info_nfin"/>
    <s v="bio_capex_ttl_elgbl"/>
    <x v="2"/>
    <s v="1. Concluído"/>
    <m/>
    <s v="Package 1"/>
    <s v="Package 2"/>
    <m/>
    <s v=""/>
    <s v=""/>
    <s v=""/>
    <m/>
    <m/>
    <m/>
    <m/>
    <m/>
    <x v="1"/>
    <m/>
  </r>
  <r>
    <x v="0"/>
    <x v="2"/>
    <x v="0"/>
    <s v="modesg_out_empr_info_nfin"/>
    <s v="bio_capex_own_prfrmnce_algnd"/>
    <x v="2"/>
    <s v="1. Concluído"/>
    <m/>
    <s v="Package 1"/>
    <s v="Package 2"/>
    <m/>
    <s v=""/>
    <s v=""/>
    <s v=""/>
    <m/>
    <m/>
    <m/>
    <m/>
    <m/>
    <x v="1"/>
    <m/>
  </r>
  <r>
    <x v="0"/>
    <x v="2"/>
    <x v="0"/>
    <s v="modesg_out_empr_info_nfin"/>
    <s v="wtr_trnvr_ttl_elgbl"/>
    <x v="2"/>
    <s v="1. Concluído"/>
    <m/>
    <s v="Package 1"/>
    <s v="Package 2"/>
    <m/>
    <s v=""/>
    <s v=""/>
    <s v=""/>
    <m/>
    <m/>
    <m/>
    <m/>
    <m/>
    <x v="1"/>
    <m/>
  </r>
  <r>
    <x v="0"/>
    <x v="2"/>
    <x v="0"/>
    <s v="modesg_out_empr_info_nfin"/>
    <s v="wtr_trnvr_enblng_alignd"/>
    <x v="2"/>
    <s v="1. Concluído"/>
    <m/>
    <s v="Package 1"/>
    <s v="Package 2"/>
    <m/>
    <s v=""/>
    <s v=""/>
    <s v=""/>
    <m/>
    <m/>
    <m/>
    <m/>
    <m/>
    <x v="1"/>
    <m/>
  </r>
  <r>
    <x v="0"/>
    <x v="2"/>
    <x v="0"/>
    <s v="modesg_out_empr_info_nfin"/>
    <s v="wtr_turnover_own_prfrmnce_algnd"/>
    <x v="2"/>
    <s v="1. Concluído"/>
    <m/>
    <s v="Package 1"/>
    <s v="Package 2"/>
    <m/>
    <s v=""/>
    <s v=""/>
    <s v=""/>
    <m/>
    <m/>
    <m/>
    <m/>
    <m/>
    <x v="1"/>
    <m/>
  </r>
  <r>
    <x v="0"/>
    <x v="2"/>
    <x v="0"/>
    <s v="modesg_out_empr_info_nfin"/>
    <s v="wtr_capex_ttl_elgbl"/>
    <x v="2"/>
    <s v="1. Concluído"/>
    <m/>
    <s v="Package 1"/>
    <s v="Package 2"/>
    <m/>
    <s v=""/>
    <s v=""/>
    <s v=""/>
    <m/>
    <m/>
    <m/>
    <m/>
    <m/>
    <x v="1"/>
    <m/>
  </r>
  <r>
    <x v="0"/>
    <x v="2"/>
    <x v="0"/>
    <s v="modesg_out_empr_info_nfin"/>
    <s v="wtr_capex_enblng_algnd"/>
    <x v="2"/>
    <s v="1. Concluído"/>
    <m/>
    <s v="Package 1"/>
    <s v="Package 2"/>
    <m/>
    <s v=""/>
    <s v=""/>
    <s v=""/>
    <m/>
    <m/>
    <m/>
    <m/>
    <m/>
    <x v="1"/>
    <m/>
  </r>
  <r>
    <x v="0"/>
    <x v="2"/>
    <x v="0"/>
    <s v="modesg_out_empr_info_nfin"/>
    <s v="wtr_capex_own_prfrmnce_algnd"/>
    <x v="2"/>
    <s v="1. Concluído"/>
    <m/>
    <s v="Package 1"/>
    <s v="Package 2"/>
    <m/>
    <s v=""/>
    <s v=""/>
    <s v=""/>
    <m/>
    <m/>
    <m/>
    <m/>
    <m/>
    <x v="1"/>
    <m/>
  </r>
  <r>
    <x v="0"/>
    <x v="2"/>
    <x v="0"/>
    <s v="modesg_out_empr_info_nfin"/>
    <s v="ce_trnvr_ttl_elgbl"/>
    <x v="2"/>
    <s v="1. Concluído"/>
    <m/>
    <s v="Package 1"/>
    <s v="Package 2"/>
    <m/>
    <s v=""/>
    <s v=""/>
    <s v=""/>
    <m/>
    <m/>
    <m/>
    <m/>
    <m/>
    <x v="1"/>
    <m/>
  </r>
  <r>
    <x v="0"/>
    <x v="2"/>
    <x v="0"/>
    <s v="modesg_out_empr_info_nfin"/>
    <s v="ce_trnvr_enblng_alignd"/>
    <x v="2"/>
    <s v="1. Concluído"/>
    <m/>
    <s v="Package 1"/>
    <s v="Package 2"/>
    <m/>
    <s v=""/>
    <s v=""/>
    <s v=""/>
    <m/>
    <m/>
    <m/>
    <m/>
    <m/>
    <x v="1"/>
    <m/>
  </r>
  <r>
    <x v="0"/>
    <x v="2"/>
    <x v="0"/>
    <s v="modesg_out_empr_info_nfin"/>
    <s v="ce_turnover_own_prfrmnce_algnd"/>
    <x v="2"/>
    <s v="1. Concluído"/>
    <m/>
    <s v="Package 1"/>
    <s v="Package 2"/>
    <m/>
    <s v=""/>
    <s v=""/>
    <s v=""/>
    <m/>
    <m/>
    <m/>
    <m/>
    <m/>
    <x v="1"/>
    <m/>
  </r>
  <r>
    <x v="0"/>
    <x v="2"/>
    <x v="0"/>
    <s v="modesg_out_empr_info_nfin"/>
    <s v="ce_capex_ttl_elgbl"/>
    <x v="2"/>
    <s v="1. Concluído"/>
    <m/>
    <s v="Package 1"/>
    <s v="Package 2"/>
    <m/>
    <s v=""/>
    <s v=""/>
    <s v=""/>
    <m/>
    <m/>
    <m/>
    <m/>
    <m/>
    <x v="1"/>
    <m/>
  </r>
  <r>
    <x v="0"/>
    <x v="2"/>
    <x v="0"/>
    <s v="modesg_out_empr_info_nfin"/>
    <s v="ce_capex_enblng_algnd"/>
    <x v="2"/>
    <s v="1. Concluído"/>
    <m/>
    <s v="Package 1"/>
    <s v="Package 2"/>
    <m/>
    <s v=""/>
    <s v=""/>
    <s v=""/>
    <m/>
    <m/>
    <m/>
    <m/>
    <m/>
    <x v="1"/>
    <m/>
  </r>
  <r>
    <x v="0"/>
    <x v="2"/>
    <x v="0"/>
    <s v="modesg_out_empr_info_nfin"/>
    <s v="ce_capex_own_prfrmnce_algnd"/>
    <x v="2"/>
    <s v="1. Concluído"/>
    <m/>
    <s v="Package 1"/>
    <s v="Package 2"/>
    <m/>
    <s v=""/>
    <s v=""/>
    <s v=""/>
    <m/>
    <m/>
    <m/>
    <m/>
    <m/>
    <x v="1"/>
    <m/>
  </r>
  <r>
    <x v="0"/>
    <x v="1"/>
    <x v="0"/>
    <s v="lt007_instr_activity"/>
    <s v="PRCNTG_ACTVTY"/>
    <x v="0"/>
    <s v="6. Em implementação "/>
    <m/>
    <s v="Package 5"/>
    <s v="Package 23 abril"/>
    <m/>
    <s v=""/>
    <s v=""/>
    <s v=""/>
    <m/>
    <m/>
    <s v="Novo Projeto - Em especificação"/>
    <s v="GD, P3 e GF"/>
    <s v="Novos Requisitos FY25 - Outros"/>
    <x v="1"/>
    <s v="RC"/>
  </r>
  <r>
    <x v="0"/>
    <x v="1"/>
    <x v="0"/>
    <s v="lt007_instr_activity"/>
    <s v="FLG_SBSTNTL_CNTRBTN"/>
    <x v="0"/>
    <s v="6. Em implementação "/>
    <m/>
    <s v="Package 5"/>
    <s v="Package 23 abril"/>
    <m/>
    <s v=""/>
    <s v=""/>
    <s v=""/>
    <m/>
    <m/>
    <s v="Novo Projeto - Em especificação"/>
    <s v="P3"/>
    <s v="Novos Requisitos FY25 - Outros"/>
    <x v="1"/>
    <s v="RC"/>
  </r>
  <r>
    <x v="0"/>
    <x v="1"/>
    <x v="0"/>
    <s v="lt003_entity"/>
    <s v="grp_ecnmc_actvty"/>
    <x v="0"/>
    <s v="6. Em implementação "/>
    <m/>
    <s v="Package 5"/>
    <s v="Package 23 abril"/>
    <m/>
    <s v=""/>
    <s v=""/>
    <s v=""/>
    <m/>
    <m/>
    <s v="Novo Projeto - Em especificação"/>
    <s v="P3, GF e ESG"/>
    <s v="Novos Requisitos FY25 - Outros"/>
    <x v="1"/>
    <s v="JB"/>
  </r>
  <r>
    <x v="0"/>
    <x v="1"/>
    <x v="0"/>
    <s v="lt006_instr_prot"/>
    <s v="TYP_RLTN"/>
    <x v="0"/>
    <s v="6. Em implementação "/>
    <m/>
    <s v="Package 5"/>
    <s v="Package 23 abril"/>
    <m/>
    <s v=""/>
    <s v=""/>
    <s v=""/>
    <m/>
    <m/>
    <s v="Novo Projeto - Em especificação"/>
    <s v="GD e P3"/>
    <s v="Novos Requisitos FY25 - Outros"/>
    <x v="1"/>
    <s v="JB"/>
  </r>
  <r>
    <x v="0"/>
    <x v="1"/>
    <x v="0"/>
    <s v="lt004_protection"/>
    <s v="EPC_EMSSNS_LBL"/>
    <x v="0"/>
    <s v="6. Em implementação "/>
    <m/>
    <s v="Package 4"/>
    <s v="Package 23 abril"/>
    <m/>
    <s v=""/>
    <s v=""/>
    <s v=""/>
    <m/>
    <m/>
    <s v="Novo Projeto - Em especificação"/>
    <s v="ESG"/>
    <s v="Novos Requisitos FY25 - Outros"/>
    <x v="1"/>
    <s v="JB"/>
  </r>
  <r>
    <x v="0"/>
    <x v="1"/>
    <x v="0"/>
    <s v="lt004_protection"/>
    <s v="TYP_EMSSNS_SCR"/>
    <x v="0"/>
    <s v="6. Em implementação "/>
    <m/>
    <s v="Package 4"/>
    <s v="Package 23 abril"/>
    <m/>
    <s v=""/>
    <s v=""/>
    <s v=""/>
    <m/>
    <m/>
    <s v="Novo Projeto - Em especificação"/>
    <s v="ESG"/>
    <s v="Novos Requisitos FY25 - Outros"/>
    <x v="1"/>
    <s v="JB"/>
  </r>
  <r>
    <x v="0"/>
    <x v="1"/>
    <x v="0"/>
    <s v="lt004_protection"/>
    <s v="EPC_EMSSNS_SCR"/>
    <x v="0"/>
    <s v="6. Em implementação "/>
    <m/>
    <s v="Package 4"/>
    <s v="Package 23 abril"/>
    <m/>
    <s v=""/>
    <s v=""/>
    <s v=""/>
    <m/>
    <m/>
    <s v="Novo Projeto - Em especificação"/>
    <s v="ESG"/>
    <s v="Novos Requisitos FY25 - Outros"/>
    <x v="1"/>
    <s v="JB"/>
  </r>
  <r>
    <x v="0"/>
    <x v="1"/>
    <x v="0"/>
    <s v="lt004_protection"/>
    <s v="TYP_VHCL"/>
    <x v="0"/>
    <s v="6. Em implementação "/>
    <m/>
    <s v="Package 4"/>
    <s v="Package 23 abril"/>
    <m/>
    <s v=""/>
    <s v=""/>
    <s v=""/>
    <m/>
    <m/>
    <s v="Novo Projeto - Em especificação"/>
    <s v="GD, P3 e ESG"/>
    <s v="Novos Requisitos FY25 - Outros"/>
    <x v="1"/>
    <s v="JB"/>
  </r>
  <r>
    <x v="0"/>
    <x v="1"/>
    <x v="0"/>
    <s v="lt004_protection"/>
    <s v="PRMRY_ENRGY_DMND_TTL"/>
    <x v="0"/>
    <s v="6. Em implementação "/>
    <m/>
    <s v="Package 4"/>
    <s v="Package 23 abril"/>
    <m/>
    <s v=""/>
    <s v=""/>
    <s v=""/>
    <m/>
    <m/>
    <s v="Novo Projeto - Em especificação"/>
    <s v="P3 e ESG"/>
    <s v="Novos Requisitos FY25 - Outros"/>
    <x v="1"/>
    <s v="HF"/>
  </r>
  <r>
    <x v="0"/>
    <x v="1"/>
    <x v="0"/>
    <s v="lt004_protection"/>
    <s v="PRMRY_ENRGY_DMND_RFRNC_VL"/>
    <x v="0"/>
    <s v="6. Em implementação "/>
    <m/>
    <s v="Package 4"/>
    <s v="Package 23 abril"/>
    <m/>
    <s v=""/>
    <s v=""/>
    <s v=""/>
    <m/>
    <m/>
    <s v="Novo Projeto - Em especificação"/>
    <s v="P3 e ESG"/>
    <s v="Novos Requisitos FY25 - Outros"/>
    <x v="1"/>
    <s v="HF"/>
  </r>
  <r>
    <x v="0"/>
    <x v="1"/>
    <x v="0"/>
    <s v="lt004_protection"/>
    <s v="RL_ESTT_CLMT_ZN"/>
    <x v="0"/>
    <s v="6. Em implementação "/>
    <m/>
    <s v="Package 4"/>
    <s v="Package 23 abril"/>
    <m/>
    <s v=""/>
    <s v=""/>
    <s v=""/>
    <m/>
    <m/>
    <s v="Novo Projeto - Em especificação"/>
    <s v="P3 e ESG"/>
    <s v="Novos Requisitos FY25 - Outros"/>
    <x v="1"/>
    <s v="JB"/>
  </r>
  <r>
    <x v="0"/>
    <x v="3"/>
    <x v="0"/>
    <s v="ENERGY_CERTIFICATE_EST_INPUT"/>
    <s v="CHAVE_GLOVAL"/>
    <x v="2"/>
    <s v="1. Concluído"/>
    <s v="Fase I"/>
    <s v="Package 1"/>
    <s v="Package 3"/>
    <m/>
    <s v=""/>
    <s v=""/>
    <s v=""/>
    <m/>
    <m/>
    <m/>
    <m/>
    <m/>
    <x v="2"/>
    <m/>
  </r>
  <r>
    <x v="0"/>
    <x v="3"/>
    <x v="0"/>
    <s v="ENERGY_CERTIFICATE_EST_INPUT"/>
    <s v="PROPERTY_BANK_ID"/>
    <x v="2"/>
    <s v="1. Concluído"/>
    <s v="Fase I"/>
    <s v="Package 1"/>
    <s v="Package 3"/>
    <m/>
    <s v=""/>
    <s v=""/>
    <s v=""/>
    <m/>
    <m/>
    <m/>
    <m/>
    <m/>
    <x v="0"/>
    <m/>
  </r>
  <r>
    <x v="0"/>
    <x v="3"/>
    <x v="0"/>
    <s v="ENERGY_CERTIFICATE_EST_INPUT"/>
    <s v="PROPERTY_BRANCH_CODE"/>
    <x v="2"/>
    <s v="1. Concluído"/>
    <s v="Fase I"/>
    <s v="Package 1"/>
    <s v="Package 3"/>
    <m/>
    <s v=""/>
    <s v=""/>
    <s v=""/>
    <m/>
    <m/>
    <m/>
    <m/>
    <m/>
    <x v="0"/>
    <m/>
  </r>
  <r>
    <x v="0"/>
    <x v="3"/>
    <x v="0"/>
    <s v="ENERGY_CERTIFICATE_EST_INPUT"/>
    <s v="PROPERTY_CONTRACT_ID"/>
    <x v="2"/>
    <s v="1. Concluído"/>
    <s v="Fase I"/>
    <s v="Package 1"/>
    <s v="Package 3"/>
    <m/>
    <s v=""/>
    <s v=""/>
    <s v=""/>
    <m/>
    <m/>
    <m/>
    <m/>
    <m/>
    <x v="0"/>
    <m/>
  </r>
  <r>
    <x v="0"/>
    <x v="3"/>
    <x v="0"/>
    <s v="ENERGY_CERTIFICATE_EST_INPUT"/>
    <s v="PROPERTY_REFERENCE_CODE"/>
    <x v="2"/>
    <s v="1. Concluído"/>
    <s v="Fase I"/>
    <s v="Package 1"/>
    <s v="Package 3"/>
    <m/>
    <s v=""/>
    <s v=""/>
    <s v=""/>
    <m/>
    <m/>
    <m/>
    <m/>
    <m/>
    <x v="0"/>
    <m/>
  </r>
  <r>
    <x v="0"/>
    <x v="3"/>
    <x v="0"/>
    <s v="ENERGY_CERTIFICATE_EST_INPUT"/>
    <s v="CÓDIGO_DISTRITO"/>
    <x v="2"/>
    <s v="1. Concluído"/>
    <s v="Fase I"/>
    <s v="Package 1"/>
    <s v="Package 3"/>
    <m/>
    <s v=""/>
    <s v=""/>
    <s v=""/>
    <m/>
    <m/>
    <m/>
    <m/>
    <m/>
    <x v="3"/>
    <m/>
  </r>
  <r>
    <x v="0"/>
    <x v="3"/>
    <x v="0"/>
    <s v="ENERGY_CERTIFICATE_EST_INPUT"/>
    <s v="NOMBRE_DISTRITO"/>
    <x v="2"/>
    <s v="1. Concluído"/>
    <s v="Fase I"/>
    <s v="Package 1"/>
    <s v="Package 3"/>
    <m/>
    <s v=""/>
    <s v=""/>
    <s v=""/>
    <m/>
    <m/>
    <m/>
    <m/>
    <m/>
    <x v="3"/>
    <m/>
  </r>
  <r>
    <x v="0"/>
    <x v="3"/>
    <x v="0"/>
    <s v="ENERGY_CERTIFICATE_EST_INPUT"/>
    <s v="CÓDIGO_CONCEJO"/>
    <x v="2"/>
    <s v="1. Concluído"/>
    <s v="Fase I"/>
    <s v="Package 1"/>
    <s v="Package 3"/>
    <m/>
    <s v=""/>
    <s v=""/>
    <s v=""/>
    <m/>
    <m/>
    <m/>
    <m/>
    <m/>
    <x v="3"/>
    <m/>
  </r>
  <r>
    <x v="0"/>
    <x v="3"/>
    <x v="0"/>
    <s v="ENERGY_CERTIFICATE_EST_INPUT"/>
    <s v="NOMBRE_CONCEJO"/>
    <x v="2"/>
    <s v="1. Concluído"/>
    <s v="Fase I"/>
    <s v="Package 1"/>
    <s v="Package 3"/>
    <m/>
    <s v=""/>
    <s v=""/>
    <s v=""/>
    <m/>
    <m/>
    <m/>
    <m/>
    <m/>
    <x v="3"/>
    <m/>
  </r>
  <r>
    <x v="0"/>
    <x v="3"/>
    <x v="0"/>
    <s v="ENERGY_CERTIFICATE_EST_INPUT"/>
    <s v="CÓDIGO_FREGUESIA"/>
    <x v="2"/>
    <s v="1. Concluído"/>
    <s v="Fase I"/>
    <s v="Package 1"/>
    <s v="Package 3"/>
    <m/>
    <s v=""/>
    <s v=""/>
    <s v=""/>
    <m/>
    <m/>
    <m/>
    <m/>
    <m/>
    <x v="3"/>
    <m/>
  </r>
  <r>
    <x v="0"/>
    <x v="3"/>
    <x v="0"/>
    <s v="ENERGY_CERTIFICATE_EST_INPUT"/>
    <s v="NOMBRE_FREGUESIA"/>
    <x v="2"/>
    <s v="1. Concluído"/>
    <s v="Fase I"/>
    <s v="Package 1"/>
    <s v="Package 3"/>
    <m/>
    <s v=""/>
    <s v=""/>
    <s v=""/>
    <m/>
    <m/>
    <m/>
    <m/>
    <m/>
    <x v="3"/>
    <m/>
  </r>
  <r>
    <x v="0"/>
    <x v="3"/>
    <x v="0"/>
    <s v="ENERGY_CERTIFICATE_EST_INPUT"/>
    <s v="LOCALIDADE"/>
    <x v="2"/>
    <s v="1. Concluído"/>
    <s v="Fase I"/>
    <s v="Package 1"/>
    <s v="Package 3"/>
    <m/>
    <s v=""/>
    <s v=""/>
    <s v=""/>
    <m/>
    <m/>
    <m/>
    <m/>
    <m/>
    <x v="3"/>
    <m/>
  </r>
  <r>
    <x v="0"/>
    <x v="3"/>
    <x v="0"/>
    <s v="ENERGY_CERTIFICATE_EST_INPUT"/>
    <s v="TIPO_VIA"/>
    <x v="2"/>
    <s v="1. Concluído"/>
    <s v="Fase I"/>
    <s v="Package 1"/>
    <s v="Package 3"/>
    <m/>
    <s v=""/>
    <s v=""/>
    <s v=""/>
    <m/>
    <m/>
    <m/>
    <m/>
    <m/>
    <x v="3"/>
    <m/>
  </r>
  <r>
    <x v="0"/>
    <x v="3"/>
    <x v="0"/>
    <s v="ENERGY_CERTIFICATE_EST_INPUT"/>
    <s v="NOMBRE_TIPO_VIA"/>
    <x v="2"/>
    <s v="1. Concluído"/>
    <s v="Fase I"/>
    <s v="Package 1"/>
    <s v="Package 3"/>
    <m/>
    <s v=""/>
    <s v=""/>
    <s v=""/>
    <m/>
    <m/>
    <m/>
    <m/>
    <m/>
    <x v="3"/>
    <m/>
  </r>
  <r>
    <x v="0"/>
    <x v="3"/>
    <x v="0"/>
    <s v="ENERGY_CERTIFICATE_EST_INPUT"/>
    <s v="NOMBRE_VIA"/>
    <x v="2"/>
    <s v="1. Concluído"/>
    <s v="Fase I"/>
    <s v="Package 1"/>
    <s v="Package 3"/>
    <m/>
    <s v=""/>
    <s v=""/>
    <s v=""/>
    <m/>
    <m/>
    <m/>
    <m/>
    <m/>
    <x v="3"/>
    <m/>
  </r>
  <r>
    <x v="0"/>
    <x v="3"/>
    <x v="0"/>
    <s v="ENERGY_CERTIFICATE_EST_INPUT"/>
    <s v="NUMERO_VIA"/>
    <x v="2"/>
    <s v="1. Concluído"/>
    <s v="Fase I"/>
    <s v="Package 1"/>
    <s v="Package 3"/>
    <m/>
    <s v=""/>
    <s v=""/>
    <s v=""/>
    <m/>
    <m/>
    <m/>
    <m/>
    <m/>
    <x v="3"/>
    <m/>
  </r>
  <r>
    <x v="0"/>
    <x v="3"/>
    <x v="0"/>
    <s v="ENERGY_CERTIFICATE_EST_INPUT"/>
    <s v="LOTE"/>
    <x v="2"/>
    <s v="1. Concluído"/>
    <s v="Fase I"/>
    <s v="Package 1"/>
    <s v="Package 3"/>
    <m/>
    <s v=""/>
    <s v=""/>
    <s v=""/>
    <m/>
    <m/>
    <m/>
    <m/>
    <m/>
    <x v="3"/>
    <m/>
  </r>
  <r>
    <x v="0"/>
    <x v="3"/>
    <x v="0"/>
    <s v="ENERGY_CERTIFICATE_EST_INPUT"/>
    <s v="URBANIZACION"/>
    <x v="2"/>
    <s v="1. Concluído"/>
    <s v="Fase I"/>
    <s v="Package 1"/>
    <s v="Package 3"/>
    <m/>
    <s v=""/>
    <s v=""/>
    <s v=""/>
    <m/>
    <m/>
    <m/>
    <m/>
    <m/>
    <x v="3"/>
    <m/>
  </r>
  <r>
    <x v="0"/>
    <x v="3"/>
    <x v="0"/>
    <s v="ENERGY_CERTIFICATE_EST_INPUT"/>
    <s v="CAGLURB"/>
    <x v="2"/>
    <s v="1. Concluído"/>
    <s v="Fase I"/>
    <s v="Package 1"/>
    <s v="Package 3"/>
    <m/>
    <s v=""/>
    <s v=""/>
    <s v=""/>
    <m/>
    <m/>
    <m/>
    <m/>
    <m/>
    <x v="3"/>
    <m/>
  </r>
  <r>
    <x v="0"/>
    <x v="3"/>
    <x v="0"/>
    <s v="ENERGY_CERTIFICATE_EST_INPUT"/>
    <s v="RESTO_DIRECCION"/>
    <x v="2"/>
    <s v="1. Concluído"/>
    <s v="Fase I"/>
    <s v="Package 1"/>
    <s v="Package 3"/>
    <m/>
    <s v=""/>
    <s v=""/>
    <s v=""/>
    <m/>
    <m/>
    <m/>
    <m/>
    <m/>
    <x v="3"/>
    <m/>
  </r>
  <r>
    <x v="0"/>
    <x v="3"/>
    <x v="0"/>
    <s v="ENERGY_CERTIFICATE_EST_INPUT"/>
    <s v="LATITUDE"/>
    <x v="2"/>
    <s v="1. Concluído"/>
    <s v="Fase I"/>
    <s v="Package 1"/>
    <s v="Package 3"/>
    <m/>
    <s v=""/>
    <s v=""/>
    <s v=""/>
    <m/>
    <m/>
    <m/>
    <m/>
    <m/>
    <x v="3"/>
    <m/>
  </r>
  <r>
    <x v="0"/>
    <x v="3"/>
    <x v="0"/>
    <s v="ENERGY_CERTIFICATE_EST_INPUT"/>
    <s v="LONGITUDE"/>
    <x v="2"/>
    <s v="1. Concluído"/>
    <s v="Fase I"/>
    <s v="Package 1"/>
    <s v="Package 3"/>
    <m/>
    <s v=""/>
    <s v=""/>
    <s v=""/>
    <m/>
    <m/>
    <m/>
    <m/>
    <m/>
    <x v="3"/>
    <m/>
  </r>
  <r>
    <x v="0"/>
    <x v="3"/>
    <x v="0"/>
    <s v="ENERGY_CERTIFICATE_EST_INPUT"/>
    <s v="CODIGO_POSTAL"/>
    <x v="2"/>
    <s v="1. Concluído"/>
    <s v="Fase I"/>
    <s v="Package 1"/>
    <s v="Package 3"/>
    <m/>
    <s v=""/>
    <s v=""/>
    <s v=""/>
    <m/>
    <m/>
    <m/>
    <m/>
    <m/>
    <x v="3"/>
    <m/>
  </r>
  <r>
    <x v="0"/>
    <x v="3"/>
    <x v="0"/>
    <s v="ENERGY_CERTIFICATE_EST_INPUT"/>
    <s v="SUBCODIGO_POSTAL"/>
    <x v="2"/>
    <s v="1. Concluído"/>
    <s v="Fase I"/>
    <s v="Package 1"/>
    <s v="Package 3"/>
    <m/>
    <s v=""/>
    <s v=""/>
    <s v=""/>
    <m/>
    <m/>
    <m/>
    <m/>
    <m/>
    <x v="3"/>
    <m/>
  </r>
  <r>
    <x v="0"/>
    <x v="3"/>
    <x v="0"/>
    <s v="ENERGY_CERTIFICATE_EST_INPUT"/>
    <s v="ASSUPERFICIE_UTIL"/>
    <x v="2"/>
    <s v="1. Concluído"/>
    <s v="Fase I"/>
    <s v="Package 1"/>
    <s v="Package 3"/>
    <m/>
    <s v=""/>
    <s v=""/>
    <s v=""/>
    <m/>
    <m/>
    <m/>
    <m/>
    <m/>
    <x v="3"/>
    <m/>
  </r>
  <r>
    <x v="0"/>
    <x v="3"/>
    <x v="0"/>
    <s v="ENERGY_CERTIFICATE_EST_INPUT"/>
    <s v="ANIO_CONSTRUCCION"/>
    <x v="2"/>
    <s v="1. Concluído"/>
    <s v="Fase I"/>
    <s v="Package 1"/>
    <s v="Package 3"/>
    <m/>
    <s v=""/>
    <s v=""/>
    <s v=""/>
    <m/>
    <m/>
    <m/>
    <m/>
    <m/>
    <x v="3"/>
    <m/>
  </r>
  <r>
    <x v="0"/>
    <x v="3"/>
    <x v="0"/>
    <s v="ENERGY_CERTIFICATE_EST_INPUT"/>
    <s v="TIPO_INMUEBLE_HABITACAO"/>
    <x v="2"/>
    <s v="1. Concluído"/>
    <s v="Fase I"/>
    <s v="Package 1"/>
    <s v="Package 3"/>
    <m/>
    <s v=""/>
    <s v=""/>
    <s v=""/>
    <m/>
    <m/>
    <m/>
    <m/>
    <m/>
    <x v="3"/>
    <m/>
  </r>
  <r>
    <x v="0"/>
    <x v="3"/>
    <x v="0"/>
    <s v="ENERGY_CERTIFICATE_EST_INPUT"/>
    <s v="PISO_APARTAMENTO"/>
    <x v="2"/>
    <s v="1. Concluído"/>
    <s v="Fase I"/>
    <s v="Package 1"/>
    <s v="Package 3"/>
    <m/>
    <s v=""/>
    <s v=""/>
    <s v=""/>
    <m/>
    <m/>
    <m/>
    <m/>
    <m/>
    <x v="3"/>
    <m/>
  </r>
  <r>
    <x v="0"/>
    <x v="3"/>
    <x v="0"/>
    <s v="ENERGY_CERTIFICATE_EST_INPUT"/>
    <s v="CASA_UNIFAMILIAR"/>
    <x v="2"/>
    <s v="1. Concluído"/>
    <s v="Fase I"/>
    <s v="Package 1"/>
    <s v="Package 3"/>
    <m/>
    <s v=""/>
    <s v=""/>
    <s v=""/>
    <m/>
    <m/>
    <m/>
    <m/>
    <m/>
    <x v="3"/>
    <m/>
  </r>
  <r>
    <x v="0"/>
    <x v="3"/>
    <x v="0"/>
    <s v="ENERGY_CERTIFICATE_EST_INPUT"/>
    <s v="TIPO_INMUEBLE_COMERCIO_SERVICOS"/>
    <x v="2"/>
    <s v="1. Concluído"/>
    <s v="Fase I"/>
    <s v="Package 1"/>
    <s v="Package 3"/>
    <m/>
    <s v=""/>
    <s v=""/>
    <s v=""/>
    <m/>
    <m/>
    <m/>
    <m/>
    <m/>
    <x v="3"/>
    <m/>
  </r>
  <r>
    <x v="0"/>
    <x v="3"/>
    <x v="0"/>
    <s v="ENERGY_CERTIFICATE_EST_INPUT"/>
    <s v="NOME_CONSERVATORIA"/>
    <x v="2"/>
    <s v="1. Concluído"/>
    <s v="Fase I"/>
    <s v="Package 1"/>
    <s v="Package 3"/>
    <m/>
    <s v=""/>
    <s v=""/>
    <s v=""/>
    <m/>
    <m/>
    <m/>
    <m/>
    <m/>
    <x v="3"/>
    <m/>
  </r>
  <r>
    <x v="0"/>
    <x v="3"/>
    <x v="0"/>
    <s v="ENERGY_CERTIFICATE_EST_INPUT"/>
    <s v="COD_CONSERVATORIA"/>
    <x v="2"/>
    <s v="1. Concluído"/>
    <s v="Fase I"/>
    <s v="Package 1"/>
    <s v="Package 3"/>
    <m/>
    <s v=""/>
    <s v=""/>
    <s v=""/>
    <m/>
    <m/>
    <m/>
    <m/>
    <m/>
    <x v="3"/>
    <m/>
  </r>
  <r>
    <x v="0"/>
    <x v="3"/>
    <x v="0"/>
    <s v="ENERGY_CERTIFICATE_EST_INPUT"/>
    <s v="REGISTRO_CONSERVATORIA"/>
    <x v="2"/>
    <s v="1. Concluído"/>
    <s v="Fase I"/>
    <s v="Package 1"/>
    <s v="Package 3"/>
    <m/>
    <s v=""/>
    <s v=""/>
    <s v=""/>
    <m/>
    <m/>
    <m/>
    <m/>
    <m/>
    <x v="3"/>
    <m/>
  </r>
  <r>
    <x v="0"/>
    <x v="3"/>
    <x v="0"/>
    <s v="ENERGY_CERTIFICATE_EST_INPUT"/>
    <s v="ART_MATRICIAIS"/>
    <x v="2"/>
    <s v="1. Concluído"/>
    <s v="Fase I"/>
    <s v="Package 1"/>
    <s v="Package 3"/>
    <m/>
    <s v=""/>
    <s v=""/>
    <s v=""/>
    <m/>
    <m/>
    <m/>
    <m/>
    <m/>
    <x v="3"/>
    <m/>
  </r>
  <r>
    <x v="0"/>
    <x v="3"/>
    <x v="0"/>
    <s v="ENERGY_CERTIFICATE_EST_INPUT"/>
    <s v="FRACCAO_AUTONOMA"/>
    <x v="2"/>
    <s v="1. Concluído"/>
    <s v="Fase I"/>
    <s v="Package 1"/>
    <s v="Package 3"/>
    <m/>
    <s v=""/>
    <s v=""/>
    <s v=""/>
    <m/>
    <m/>
    <m/>
    <m/>
    <m/>
    <x v="3"/>
    <m/>
  </r>
  <r>
    <x v="0"/>
    <x v="3"/>
    <x v="0"/>
    <s v="ENERGY_CERTIFICATE_EST_INPUT"/>
    <s v="FINALIDADE_BEM"/>
    <x v="2"/>
    <s v="1. Concluído"/>
    <s v="Fase I"/>
    <s v="Package 1"/>
    <s v="Package 3"/>
    <m/>
    <s v=""/>
    <s v=""/>
    <s v=""/>
    <m/>
    <m/>
    <m/>
    <m/>
    <m/>
    <x v="3"/>
    <m/>
  </r>
  <r>
    <x v="0"/>
    <x v="3"/>
    <x v="0"/>
    <s v="ENERGY_CERTIFICATE_EST_INPUT"/>
    <s v="CLASS_GPT31"/>
    <x v="2"/>
    <s v="1. Concluído"/>
    <s v="Fase I"/>
    <s v="Package 1"/>
    <s v="Package 3"/>
    <m/>
    <s v=""/>
    <s v=""/>
    <s v=""/>
    <m/>
    <m/>
    <m/>
    <m/>
    <m/>
    <x v="3"/>
    <m/>
  </r>
  <r>
    <x v="0"/>
    <x v="3"/>
    <x v="0"/>
    <s v="ENERGY_CERTIFICATE_EST_INPUT"/>
    <s v="CLASS_STCLIM"/>
    <x v="2"/>
    <s v="1. Concluído"/>
    <s v="Fase I"/>
    <s v="Package 1"/>
    <s v="Package 3"/>
    <m/>
    <s v=""/>
    <s v=""/>
    <s v=""/>
    <m/>
    <m/>
    <m/>
    <m/>
    <m/>
    <x v="3"/>
    <m/>
  </r>
  <r>
    <x v="0"/>
    <x v="3"/>
    <x v="0"/>
    <s v="ENERGY_CERTIFICATE_EST_INPUT"/>
    <s v="CONF_STCLIM"/>
    <x v="2"/>
    <s v="1. Concluído"/>
    <s v="Fase I"/>
    <s v="Package 1"/>
    <s v="Package 3"/>
    <m/>
    <s v=""/>
    <s v=""/>
    <s v=""/>
    <m/>
    <m/>
    <m/>
    <m/>
    <m/>
    <x v="3"/>
    <m/>
  </r>
  <r>
    <x v="0"/>
    <x v="3"/>
    <x v="0"/>
    <s v="ENERGY_CERTIFICATE_EST_INPUT"/>
    <s v="CLASSE_ENERGETICA"/>
    <x v="2"/>
    <s v="1. Concluído"/>
    <s v="Fase I"/>
    <s v="Package 1"/>
    <s v="Package 3"/>
    <m/>
    <s v=""/>
    <s v=""/>
    <s v=""/>
    <m/>
    <m/>
    <m/>
    <m/>
    <m/>
    <x v="2"/>
    <m/>
  </r>
  <r>
    <x v="0"/>
    <x v="3"/>
    <x v="0"/>
    <s v="ENERGY_CERTIFICATE_EST_INPUT"/>
    <s v="FIABILIDAD"/>
    <x v="2"/>
    <s v="1. Concluído"/>
    <s v="Fase I"/>
    <s v="Package 1"/>
    <s v="Package 3"/>
    <m/>
    <s v=""/>
    <s v=""/>
    <s v=""/>
    <m/>
    <m/>
    <m/>
    <m/>
    <m/>
    <x v="2"/>
    <m/>
  </r>
  <r>
    <x v="0"/>
    <x v="3"/>
    <x v="0"/>
    <s v="ENERGY_CERTIFICATE_EST_INPUT"/>
    <s v="EMISSIONES"/>
    <x v="2"/>
    <s v="1. Concluído"/>
    <s v="Fase I"/>
    <s v="Package 1"/>
    <s v="Package 3"/>
    <m/>
    <s v=""/>
    <s v=""/>
    <s v=""/>
    <m/>
    <m/>
    <m/>
    <m/>
    <m/>
    <x v="2"/>
    <m/>
  </r>
  <r>
    <x v="0"/>
    <x v="3"/>
    <x v="0"/>
    <s v="ENERGY_CERTIFICATE_EST_INPUT"/>
    <s v="CONSUMOS"/>
    <x v="2"/>
    <s v="1. Concluído"/>
    <s v="Fase I"/>
    <s v="Package 1"/>
    <s v="Package 3"/>
    <m/>
    <s v=""/>
    <s v=""/>
    <s v=""/>
    <m/>
    <m/>
    <m/>
    <m/>
    <m/>
    <x v="2"/>
    <m/>
  </r>
  <r>
    <x v="0"/>
    <x v="3"/>
    <x v="0"/>
    <s v="ENERGY_CERTIFICATE_EST_INPUT"/>
    <s v="DATA_ENVIO"/>
    <x v="2"/>
    <s v="1. Concluído"/>
    <s v="Fase I"/>
    <s v="Package 1"/>
    <s v="Package 3"/>
    <m/>
    <s v=""/>
    <s v=""/>
    <s v=""/>
    <m/>
    <m/>
    <m/>
    <m/>
    <m/>
    <x v="2"/>
    <m/>
  </r>
  <r>
    <x v="0"/>
    <x v="0"/>
    <x v="0"/>
    <s v="PROPERTY_ENERGY_CERTIFICATE"/>
    <s v="EPC"/>
    <x v="2"/>
    <s v="1. Concluído"/>
    <m/>
    <s v="Package 1"/>
    <s v="Package 6"/>
    <m/>
    <s v=""/>
    <s v=""/>
    <s v=""/>
    <m/>
    <m/>
    <m/>
    <m/>
    <m/>
    <x v="0"/>
    <m/>
  </r>
  <r>
    <x v="0"/>
    <x v="0"/>
    <x v="0"/>
    <s v="PROPERTY_ENERGY_CERTIFICATE"/>
    <s v="PRMRY_ENRGY_DMND_RFRNC_VL"/>
    <x v="2"/>
    <s v="1. Concluído"/>
    <m/>
    <m/>
    <s v="Package 3"/>
    <m/>
    <s v=""/>
    <s v=""/>
    <s v=""/>
    <m/>
    <m/>
    <m/>
    <m/>
    <m/>
    <x v="0"/>
    <m/>
  </r>
  <r>
    <x v="0"/>
    <x v="0"/>
    <x v="0"/>
    <s v="PROPERTY_ENERGY_CERTIFICATE"/>
    <s v="CARBON_EMISSION_VALUE_YEAR"/>
    <x v="3"/>
    <s v="2.2 Em especificação"/>
    <m/>
    <s v="Package 8"/>
    <s v="Package 6"/>
    <m/>
    <s v=""/>
    <s v=""/>
    <s v=""/>
    <m/>
    <m/>
    <m/>
    <m/>
    <m/>
    <x v="0"/>
    <m/>
  </r>
  <r>
    <x v="0"/>
    <x v="4"/>
    <x v="0"/>
    <s v="modesg_inp_risco_fisico_zipcode"/>
    <s v="cod_pais"/>
    <x v="2"/>
    <s v="1. Concluído"/>
    <m/>
    <s v="Package 2"/>
    <s v="Package 3"/>
    <m/>
    <s v=""/>
    <s v=""/>
    <s v=""/>
    <m/>
    <m/>
    <s v="Novo Projeto - Em especificação"/>
    <m/>
    <m/>
    <x v="1"/>
    <s v="HF"/>
  </r>
  <r>
    <x v="0"/>
    <x v="4"/>
    <x v="0"/>
    <s v="modesg_inp_risco_fisico_zipcode"/>
    <s v="localizacao"/>
    <x v="2"/>
    <s v="1. Concluído"/>
    <m/>
    <s v="Package 2"/>
    <s v="Package 3"/>
    <m/>
    <s v=""/>
    <s v=""/>
    <s v=""/>
    <m/>
    <m/>
    <s v="Novo Projeto - Em especificação"/>
    <m/>
    <m/>
    <x v="1"/>
    <s v="HF"/>
  </r>
  <r>
    <x v="0"/>
    <x v="4"/>
    <x v="0"/>
    <s v="modesg_inp_risco_fisico_zipcode"/>
    <s v="cod_nace_esg"/>
    <x v="2"/>
    <s v="1. Concluído"/>
    <m/>
    <s v="Package 2"/>
    <s v="Package 3"/>
    <m/>
    <s v=""/>
    <s v=""/>
    <s v=""/>
    <m/>
    <m/>
    <s v="Novo Projeto - Em especificação"/>
    <m/>
    <m/>
    <x v="1"/>
    <s v="HF"/>
  </r>
  <r>
    <x v="0"/>
    <x v="4"/>
    <x v="0"/>
    <s v="modesg_inp_risco_fisico_zipcode"/>
    <s v="flg_rsc_fsc_agd"/>
    <x v="2"/>
    <s v="1. Concluído"/>
    <m/>
    <s v="Package 2"/>
    <s v="Package 3"/>
    <m/>
    <s v=""/>
    <s v=""/>
    <s v=""/>
    <m/>
    <m/>
    <s v="Novo Projeto - Em especificação"/>
    <m/>
    <m/>
    <x v="1"/>
    <s v="HF"/>
  </r>
  <r>
    <x v="0"/>
    <x v="4"/>
    <x v="0"/>
    <s v="modesg_inp_risco_fisico_zipcode"/>
    <s v="flg_rsc_fsc_crnc"/>
    <x v="2"/>
    <s v="1. Concluído"/>
    <m/>
    <s v="Package 2"/>
    <s v="Package 3"/>
    <m/>
    <s v=""/>
    <s v=""/>
    <s v=""/>
    <m/>
    <m/>
    <s v="Novo Projeto - Em especificação"/>
    <m/>
    <m/>
    <x v="1"/>
    <s v="HF"/>
  </r>
  <r>
    <x v="0"/>
    <x v="2"/>
    <x v="0"/>
    <s v="modesg_out_bens_imoveis"/>
    <s v="flg_rsc_fsc_agd"/>
    <x v="2"/>
    <s v="1. Concluído"/>
    <m/>
    <s v="Package 2"/>
    <s v="Package 3"/>
    <m/>
    <s v=""/>
    <s v=""/>
    <s v=""/>
    <m/>
    <m/>
    <s v="Novo Projeto - Em especificação"/>
    <m/>
    <m/>
    <x v="0"/>
    <s v="HF"/>
  </r>
  <r>
    <x v="0"/>
    <x v="2"/>
    <x v="0"/>
    <s v="modesg_out_bens_imoveis"/>
    <s v="flg_rsc_fsc_crnc"/>
    <x v="2"/>
    <s v="1. Concluído"/>
    <m/>
    <s v="Package 2"/>
    <s v="Package 3"/>
    <m/>
    <s v=""/>
    <s v=""/>
    <s v=""/>
    <m/>
    <m/>
    <s v="Novo Projeto - Em especificação"/>
    <m/>
    <m/>
    <x v="0"/>
    <s v="HF"/>
  </r>
  <r>
    <x v="0"/>
    <x v="2"/>
    <x v="0"/>
    <s v="modesg_out_bens_imoveis"/>
    <s v="origem_flg_rsc_fsc_agd"/>
    <x v="2"/>
    <s v="1. Concluído"/>
    <m/>
    <s v="Package 2"/>
    <s v="Package 3"/>
    <m/>
    <s v=""/>
    <s v=""/>
    <s v=""/>
    <m/>
    <m/>
    <s v="Novo Projeto - Em especificação"/>
    <m/>
    <m/>
    <x v="0"/>
    <m/>
  </r>
  <r>
    <x v="0"/>
    <x v="2"/>
    <x v="0"/>
    <s v="modesg_out_bens_imoveis"/>
    <s v="origem_flg_rsc_fsc_crnc"/>
    <x v="2"/>
    <s v="1. Concluído"/>
    <m/>
    <s v="Package 2"/>
    <s v="Package 3"/>
    <m/>
    <s v=""/>
    <s v=""/>
    <s v=""/>
    <m/>
    <m/>
    <s v="Novo Projeto - Em especificação"/>
    <m/>
    <m/>
    <x v="0"/>
    <m/>
  </r>
  <r>
    <x v="0"/>
    <x v="2"/>
    <x v="0"/>
    <s v="modesg_out_empr_info_nfin"/>
    <s v="origem_scp1_emss"/>
    <x v="2"/>
    <s v="1. Concluído"/>
    <m/>
    <m/>
    <s v="Package 3"/>
    <m/>
    <s v=""/>
    <s v=""/>
    <s v=""/>
    <m/>
    <m/>
    <m/>
    <m/>
    <m/>
    <x v="0"/>
    <s v="HF"/>
  </r>
  <r>
    <x v="0"/>
    <x v="2"/>
    <x v="0"/>
    <s v="modesg_out_empr_info_nfin"/>
    <s v="origem_scp2_emss"/>
    <x v="2"/>
    <s v="1. Concluído"/>
    <m/>
    <m/>
    <s v="Package 3"/>
    <m/>
    <s v=""/>
    <s v=""/>
    <s v=""/>
    <m/>
    <m/>
    <m/>
    <m/>
    <m/>
    <x v="0"/>
    <s v="HF"/>
  </r>
  <r>
    <x v="0"/>
    <x v="2"/>
    <x v="0"/>
    <s v="modesg_out_empr_info_nfin"/>
    <s v="origem_scp3_emss"/>
    <x v="2"/>
    <s v="1. Concluído"/>
    <m/>
    <m/>
    <s v="Package 3"/>
    <m/>
    <s v=""/>
    <s v=""/>
    <s v=""/>
    <m/>
    <m/>
    <m/>
    <m/>
    <m/>
    <x v="0"/>
    <s v="HF"/>
  </r>
  <r>
    <x v="0"/>
    <x v="2"/>
    <x v="0"/>
    <s v="modesg_out_empr_info_nfin"/>
    <s v="scp1_emss"/>
    <x v="2"/>
    <s v="1. Concluído"/>
    <m/>
    <m/>
    <s v="Package 3"/>
    <m/>
    <s v=""/>
    <s v=""/>
    <s v=""/>
    <m/>
    <m/>
    <m/>
    <m/>
    <m/>
    <x v="0"/>
    <s v="HF"/>
  </r>
  <r>
    <x v="0"/>
    <x v="2"/>
    <x v="0"/>
    <s v="modesg_out_empr_info_nfin"/>
    <s v="scp2_emss"/>
    <x v="2"/>
    <s v="1. Concluído"/>
    <m/>
    <m/>
    <s v="Package 3"/>
    <m/>
    <s v=""/>
    <s v=""/>
    <s v=""/>
    <m/>
    <m/>
    <m/>
    <m/>
    <m/>
    <x v="0"/>
    <s v="HF"/>
  </r>
  <r>
    <x v="0"/>
    <x v="2"/>
    <x v="0"/>
    <s v="modesg_out_empr_info_nfin"/>
    <s v="scp3_emss"/>
    <x v="2"/>
    <s v="1. Concluído"/>
    <m/>
    <m/>
    <s v="Package 3"/>
    <m/>
    <s v=""/>
    <s v=""/>
    <s v=""/>
    <m/>
    <m/>
    <m/>
    <m/>
    <m/>
    <x v="0"/>
    <s v="HF"/>
  </r>
  <r>
    <x v="0"/>
    <x v="2"/>
    <x v="0"/>
    <s v="modesg_out_empr_info_nfin"/>
    <s v="divida_total"/>
    <x v="2"/>
    <s v="1. Concluído"/>
    <m/>
    <m/>
    <s v="Package 3"/>
    <m/>
    <s v=""/>
    <s v=""/>
    <s v=""/>
    <m/>
    <m/>
    <m/>
    <m/>
    <m/>
    <x v="0"/>
    <s v="HF"/>
  </r>
  <r>
    <x v="0"/>
    <x v="2"/>
    <x v="0"/>
    <s v="modesg_out_empr_info_nfin"/>
    <s v="capital_proprio"/>
    <x v="2"/>
    <s v="1. Concluído"/>
    <m/>
    <m/>
    <s v="Package 3"/>
    <m/>
    <s v=""/>
    <s v=""/>
    <s v=""/>
    <m/>
    <m/>
    <m/>
    <m/>
    <m/>
    <x v="0"/>
    <s v="HF"/>
  </r>
  <r>
    <x v="0"/>
    <x v="1"/>
    <x v="0"/>
    <s v="lt004_protection"/>
    <s v="flg_act_physcl_rsk"/>
    <x v="2"/>
    <s v="1. Concluído"/>
    <m/>
    <m/>
    <s v="Package 3"/>
    <m/>
    <s v=""/>
    <s v=""/>
    <s v=""/>
    <m/>
    <m/>
    <m/>
    <m/>
    <m/>
    <x v="0"/>
    <m/>
  </r>
  <r>
    <x v="0"/>
    <x v="1"/>
    <x v="0"/>
    <s v="lt004_protection"/>
    <s v="flg_chrnc_physcl_rsk"/>
    <x v="2"/>
    <s v="1. Concluído"/>
    <m/>
    <m/>
    <s v="Package 3"/>
    <m/>
    <s v=""/>
    <s v=""/>
    <s v=""/>
    <m/>
    <m/>
    <m/>
    <m/>
    <m/>
    <x v="0"/>
    <m/>
  </r>
  <r>
    <x v="0"/>
    <x v="2"/>
    <x v="0"/>
    <s v="modesg_out_empr_info_nfin"/>
    <s v="cod_nace_esg"/>
    <x v="4"/>
    <s v="2.1 Em Teste"/>
    <m/>
    <s v="Package 1"/>
    <s v="Package 4"/>
    <m/>
    <s v=""/>
    <s v=""/>
    <s v=""/>
    <m/>
    <m/>
    <m/>
    <m/>
    <m/>
    <x v="0"/>
    <s v="JB"/>
  </r>
  <r>
    <x v="0"/>
    <x v="2"/>
    <x v="0"/>
    <s v="modesg_out_empr_info_nfin"/>
    <s v="flg_rsc_fsc_agd"/>
    <x v="2"/>
    <s v="1. Concluído"/>
    <m/>
    <s v="Package 2"/>
    <s v="Package 4"/>
    <m/>
    <s v=""/>
    <s v=""/>
    <s v=""/>
    <m/>
    <m/>
    <s v="Novo Projeto - Em especificação"/>
    <m/>
    <m/>
    <x v="4"/>
    <s v="HF"/>
  </r>
  <r>
    <x v="0"/>
    <x v="2"/>
    <x v="0"/>
    <s v="modesg_out_empr_info_nfin"/>
    <s v="flg_rsc_fsc_crnc"/>
    <x v="2"/>
    <s v="1. Concluído"/>
    <m/>
    <s v="Package 2"/>
    <s v="Package 4"/>
    <m/>
    <s v=""/>
    <s v=""/>
    <s v=""/>
    <m/>
    <m/>
    <s v="Novo Projeto - Em especificação"/>
    <m/>
    <m/>
    <x v="4"/>
    <s v="HF"/>
  </r>
  <r>
    <x v="0"/>
    <x v="2"/>
    <x v="0"/>
    <s v="modesg_out_empr_info_nfin"/>
    <s v="origem_flg_rsc_fsc_agd"/>
    <x v="2"/>
    <s v="1. Concluído"/>
    <m/>
    <s v="Package 2"/>
    <s v="Package 4"/>
    <m/>
    <s v=""/>
    <s v=""/>
    <s v=""/>
    <m/>
    <m/>
    <s v="Novo Projeto - Em especificação"/>
    <m/>
    <m/>
    <x v="4"/>
    <s v="HF"/>
  </r>
  <r>
    <x v="0"/>
    <x v="2"/>
    <x v="0"/>
    <s v="modesg_out_empr_info_nfin"/>
    <s v="origem_flg_rsc_fsc_crnc"/>
    <x v="2"/>
    <s v="1. Concluído"/>
    <m/>
    <s v="Package 2"/>
    <s v="Package 4"/>
    <m/>
    <s v=""/>
    <s v=""/>
    <s v=""/>
    <m/>
    <m/>
    <s v="Novo Projeto - Em especificação"/>
    <m/>
    <m/>
    <x v="4"/>
    <s v="HF"/>
  </r>
  <r>
    <x v="0"/>
    <x v="0"/>
    <x v="0"/>
    <s v="PROPERTY_ENERGY_CERTIFICATE"/>
    <s v="EP_SCORE"/>
    <x v="0"/>
    <s v="6. Em implementação "/>
    <m/>
    <s v="Package 6"/>
    <s v="Package 6"/>
    <m/>
    <s v=""/>
    <s v=""/>
    <s v=""/>
    <m/>
    <m/>
    <m/>
    <m/>
    <m/>
    <x v="0"/>
    <m/>
  </r>
  <r>
    <x v="0"/>
    <x v="0"/>
    <x v="0"/>
    <s v="PROPERTY_ENERGY_CERTIFICATE"/>
    <s v="ENERGY_CONSUMPTION_VALUE_YEAR"/>
    <x v="0"/>
    <s v="6. Em implementação "/>
    <m/>
    <s v="Package 6"/>
    <s v="Package 6"/>
    <m/>
    <s v=""/>
    <s v=""/>
    <s v=""/>
    <m/>
    <m/>
    <m/>
    <m/>
    <m/>
    <x v="0"/>
    <m/>
  </r>
  <r>
    <x v="0"/>
    <x v="4"/>
    <x v="0"/>
    <s v="modesg_param_sfics_taxon_europeia"/>
    <s v="cod_regra"/>
    <x v="0"/>
    <s v="6. Em implementação "/>
    <m/>
    <m/>
    <s v="Package 6"/>
    <m/>
    <s v=""/>
    <s v=""/>
    <s v=""/>
    <m/>
    <m/>
    <m/>
    <m/>
    <m/>
    <x v="0"/>
    <s v="RC"/>
  </r>
  <r>
    <x v="0"/>
    <x v="4"/>
    <x v="0"/>
    <s v="modesg_param_sfics_taxon_europeia"/>
    <s v="nivel"/>
    <x v="5"/>
    <s v="0. Cancelado"/>
    <m/>
    <m/>
    <s v="Package 6"/>
    <m/>
    <s v=""/>
    <s v=""/>
    <s v=""/>
    <m/>
    <m/>
    <m/>
    <m/>
    <m/>
    <x v="0"/>
    <s v="RC"/>
  </r>
  <r>
    <x v="0"/>
    <x v="4"/>
    <x v="0"/>
    <s v="modesg_param_sfics_taxon_europeia"/>
    <s v="grupo_regra"/>
    <x v="0"/>
    <s v="6. Em implementação "/>
    <m/>
    <m/>
    <s v="Package 6"/>
    <m/>
    <s v=""/>
    <s v=""/>
    <s v=""/>
    <m/>
    <m/>
    <m/>
    <m/>
    <m/>
    <x v="5"/>
    <m/>
  </r>
  <r>
    <x v="0"/>
    <x v="4"/>
    <x v="0"/>
    <s v="modesg_param_sfics_taxon_europeia"/>
    <s v="dscrc"/>
    <x v="0"/>
    <s v="6. Em implementação "/>
    <m/>
    <m/>
    <s v="Package 6"/>
    <m/>
    <s v=""/>
    <s v=""/>
    <s v=""/>
    <m/>
    <m/>
    <m/>
    <m/>
    <m/>
    <x v="0"/>
    <s v="RC"/>
  </r>
  <r>
    <x v="0"/>
    <x v="4"/>
    <x v="0"/>
    <s v="modesg_param_sfics_taxon_europeia"/>
    <s v="comite"/>
    <x v="0"/>
    <s v="6. Em implementação "/>
    <m/>
    <m/>
    <s v="Package 6"/>
    <m/>
    <s v=""/>
    <s v=""/>
    <s v=""/>
    <m/>
    <m/>
    <m/>
    <m/>
    <m/>
    <x v="0"/>
    <s v="RC"/>
  </r>
  <r>
    <x v="0"/>
    <x v="4"/>
    <x v="0"/>
    <s v="modesg_param_sfics_taxon_europeia"/>
    <s v="data_aprvc"/>
    <x v="0"/>
    <s v="6. Em implementação "/>
    <m/>
    <m/>
    <s v="Package 6"/>
    <m/>
    <s v=""/>
    <s v=""/>
    <s v=""/>
    <m/>
    <m/>
    <m/>
    <m/>
    <m/>
    <x v="0"/>
    <s v="RC"/>
  </r>
  <r>
    <x v="0"/>
    <x v="4"/>
    <x v="0"/>
    <s v="modesg_param_sfics_taxon_europeia"/>
    <s v="data_inicial"/>
    <x v="0"/>
    <s v="6. Em implementação "/>
    <m/>
    <m/>
    <s v="Package 6"/>
    <m/>
    <s v=""/>
    <s v=""/>
    <s v=""/>
    <m/>
    <m/>
    <m/>
    <m/>
    <m/>
    <x v="0"/>
    <s v="RC"/>
  </r>
  <r>
    <x v="0"/>
    <x v="4"/>
    <x v="0"/>
    <s v="modesg_param_sfics_taxon_europeia"/>
    <s v="data_final"/>
    <x v="0"/>
    <s v="6. Em implementação "/>
    <m/>
    <m/>
    <s v="Package 6"/>
    <m/>
    <s v=""/>
    <s v=""/>
    <s v=""/>
    <m/>
    <m/>
    <m/>
    <m/>
    <m/>
    <x v="0"/>
    <s v="RC"/>
  </r>
  <r>
    <x v="0"/>
    <x v="4"/>
    <x v="0"/>
    <s v="modesg_param_sfics_taxon_europeia"/>
    <s v="zcliente"/>
    <x v="0"/>
    <s v="6. Em implementação "/>
    <m/>
    <m/>
    <s v="Package 6"/>
    <m/>
    <s v=""/>
    <s v=""/>
    <s v=""/>
    <m/>
    <m/>
    <m/>
    <m/>
    <m/>
    <x v="0"/>
    <s v="RC"/>
  </r>
  <r>
    <x v="0"/>
    <x v="4"/>
    <x v="0"/>
    <s v="modesg_param_sfics_taxon_europeia"/>
    <s v="cempcta"/>
    <x v="0"/>
    <s v="6. Em implementação "/>
    <m/>
    <m/>
    <s v="Package 6"/>
    <m/>
    <s v=""/>
    <s v=""/>
    <s v=""/>
    <m/>
    <m/>
    <m/>
    <m/>
    <m/>
    <x v="3"/>
    <s v="RC"/>
  </r>
  <r>
    <x v="0"/>
    <x v="4"/>
    <x v="0"/>
    <s v="modesg_param_sfics_taxon_europeia"/>
    <s v="ckbalcao"/>
    <x v="0"/>
    <s v="6. Em implementação "/>
    <m/>
    <m/>
    <s v="Package 6"/>
    <m/>
    <s v=""/>
    <s v=""/>
    <s v=""/>
    <m/>
    <m/>
    <m/>
    <m/>
    <m/>
    <x v="0"/>
    <s v="RC"/>
  </r>
  <r>
    <x v="0"/>
    <x v="4"/>
    <x v="0"/>
    <s v="modesg_param_sfics_taxon_europeia"/>
    <s v="cknumcta"/>
    <x v="0"/>
    <s v="6. Em implementação "/>
    <m/>
    <m/>
    <s v="Package 6"/>
    <m/>
    <s v=""/>
    <s v=""/>
    <s v=""/>
    <m/>
    <m/>
    <m/>
    <m/>
    <m/>
    <x v="0"/>
    <s v="RC"/>
  </r>
  <r>
    <x v="0"/>
    <x v="4"/>
    <x v="0"/>
    <s v="modesg_param_sfics_taxon_europeia"/>
    <s v="zdeposit"/>
    <x v="0"/>
    <s v="6. Em implementação "/>
    <m/>
    <m/>
    <s v="Package 6"/>
    <m/>
    <s v=""/>
    <s v=""/>
    <s v=""/>
    <m/>
    <m/>
    <m/>
    <m/>
    <m/>
    <x v="0"/>
    <s v="RC"/>
  </r>
  <r>
    <x v="0"/>
    <x v="4"/>
    <x v="0"/>
    <s v="modesg_param_sfics_taxon_europeia"/>
    <s v="ckmetamis"/>
    <x v="0"/>
    <s v="6. Em implementação "/>
    <m/>
    <m/>
    <s v="Package 6"/>
    <m/>
    <s v=""/>
    <s v=""/>
    <s v=""/>
    <m/>
    <m/>
    <m/>
    <m/>
    <m/>
    <x v="0"/>
    <s v="RC"/>
  </r>
  <r>
    <x v="0"/>
    <x v="4"/>
    <x v="0"/>
    <s v="modesg_param_sfics_taxon_europeia"/>
    <s v="ckprodmi"/>
    <x v="0"/>
    <s v="6. Em implementação "/>
    <m/>
    <m/>
    <s v="Package 6"/>
    <m/>
    <s v=""/>
    <s v=""/>
    <s v=""/>
    <m/>
    <m/>
    <m/>
    <m/>
    <m/>
    <x v="0"/>
    <s v="RC"/>
  </r>
  <r>
    <x v="0"/>
    <x v="4"/>
    <x v="0"/>
    <s v="modesg_param_sfics_taxon_europeia"/>
    <s v="cmetanseg"/>
    <x v="0"/>
    <s v="6. Em implementação "/>
    <m/>
    <m/>
    <s v="Package 6"/>
    <m/>
    <s v=""/>
    <s v=""/>
    <s v=""/>
    <m/>
    <m/>
    <m/>
    <m/>
    <m/>
    <x v="0"/>
    <s v="RC"/>
  </r>
  <r>
    <x v="0"/>
    <x v="4"/>
    <x v="0"/>
    <s v="modesg_param_sfics_taxon_europeia"/>
    <s v="epc"/>
    <x v="0"/>
    <s v="6. Em implementação "/>
    <m/>
    <m/>
    <s v="Package 6"/>
    <m/>
    <s v=""/>
    <s v=""/>
    <s v=""/>
    <m/>
    <m/>
    <m/>
    <m/>
    <m/>
    <x v="3"/>
    <s v="RC"/>
  </r>
  <r>
    <x v="0"/>
    <x v="4"/>
    <x v="0"/>
    <s v="modesg_param_sfics_taxon_europeia"/>
    <s v="ambito"/>
    <x v="5"/>
    <s v="0. Cancelado"/>
    <m/>
    <m/>
    <s v="Package 6"/>
    <m/>
    <s v=""/>
    <s v=""/>
    <s v=""/>
    <m/>
    <m/>
    <m/>
    <m/>
    <m/>
    <x v="0"/>
    <s v="RC"/>
  </r>
  <r>
    <x v="0"/>
    <x v="4"/>
    <x v="0"/>
    <s v="modesg_param_sfics_taxon_europeia"/>
    <s v="nome_ctgr_sfics"/>
    <x v="0"/>
    <s v="6. Em implementação "/>
    <m/>
    <m/>
    <s v="Package 6"/>
    <m/>
    <s v=""/>
    <s v=""/>
    <s v=""/>
    <m/>
    <m/>
    <m/>
    <m/>
    <m/>
    <x v="0"/>
    <s v="RC"/>
  </r>
  <r>
    <x v="0"/>
    <x v="4"/>
    <x v="0"/>
    <s v="modesg_param_sfics_taxon_europeia"/>
    <s v="montante_pndrc"/>
    <x v="0"/>
    <s v="6. Em implementação "/>
    <m/>
    <m/>
    <s v="Package 6"/>
    <m/>
    <s v=""/>
    <s v=""/>
    <s v=""/>
    <m/>
    <m/>
    <m/>
    <m/>
    <m/>
    <x v="3"/>
    <s v="RC"/>
  </r>
  <r>
    <x v="0"/>
    <x v="4"/>
    <x v="0"/>
    <s v="modesg_param_sfics_taxon_europeia"/>
    <s v="contraparte"/>
    <x v="0"/>
    <s v="6. Em implementação "/>
    <m/>
    <m/>
    <s v="Package 6"/>
    <m/>
    <s v=""/>
    <s v=""/>
    <s v=""/>
    <m/>
    <m/>
    <m/>
    <m/>
    <m/>
    <x v="3"/>
    <s v="RC"/>
  </r>
  <r>
    <x v="0"/>
    <x v="4"/>
    <x v="0"/>
    <s v="modesg_param_sfics_taxon_europeia"/>
    <s v="flag_project_finance"/>
    <x v="0"/>
    <s v="6. Em implementação "/>
    <m/>
    <m/>
    <s v="Package 6"/>
    <m/>
    <s v=""/>
    <s v=""/>
    <s v=""/>
    <m/>
    <m/>
    <m/>
    <m/>
    <m/>
    <x v="3"/>
    <s v="RC"/>
  </r>
  <r>
    <x v="0"/>
    <x v="4"/>
    <x v="0"/>
    <s v="modesg_param_sfics_taxon_europeia"/>
    <s v="cgarante_bem"/>
    <x v="0"/>
    <s v="6. Em implementação "/>
    <m/>
    <m/>
    <s v="Package 6"/>
    <m/>
    <s v=""/>
    <s v=""/>
    <s v=""/>
    <m/>
    <m/>
    <m/>
    <m/>
    <m/>
    <x v="3"/>
    <s v="RC"/>
  </r>
  <r>
    <x v="0"/>
    <x v="4"/>
    <x v="0"/>
    <s v="modesg_param_sfics_taxon_europeia"/>
    <s v="prdt_sprdt"/>
    <x v="0"/>
    <s v="6. Em implementação "/>
    <m/>
    <m/>
    <s v="Package 6"/>
    <m/>
    <s v=""/>
    <s v=""/>
    <s v=""/>
    <m/>
    <m/>
    <m/>
    <m/>
    <m/>
    <x v="3"/>
    <s v="RC"/>
  </r>
  <r>
    <x v="0"/>
    <x v="4"/>
    <x v="0"/>
    <s v="modesg_param_sfics_taxon_europeia"/>
    <s v="flg_csrd"/>
    <x v="0"/>
    <s v="6. Em implementação "/>
    <m/>
    <m/>
    <s v="Package 6"/>
    <m/>
    <s v=""/>
    <s v=""/>
    <s v=""/>
    <m/>
    <m/>
    <m/>
    <m/>
    <m/>
    <x v="3"/>
    <s v="RC"/>
  </r>
  <r>
    <x v="0"/>
    <x v="4"/>
    <x v="0"/>
    <s v="modesg_param_sfics_taxon_europeia"/>
    <s v="combustivel"/>
    <x v="0"/>
    <s v="6. Em implementação "/>
    <m/>
    <m/>
    <s v="Package 6"/>
    <m/>
    <s v=""/>
    <s v=""/>
    <s v=""/>
    <m/>
    <m/>
    <m/>
    <m/>
    <m/>
    <x v="3"/>
    <s v="RC"/>
  </r>
  <r>
    <x v="0"/>
    <x v="4"/>
    <x v="0"/>
    <s v="modesg_param_sfics_taxon_europeia"/>
    <s v="co2"/>
    <x v="0"/>
    <s v="6. Em implementação "/>
    <m/>
    <m/>
    <s v="Package 6"/>
    <m/>
    <s v=""/>
    <s v=""/>
    <s v=""/>
    <m/>
    <m/>
    <m/>
    <m/>
    <m/>
    <x v="3"/>
    <s v="RC"/>
  </r>
  <r>
    <x v="0"/>
    <x v="4"/>
    <x v="0"/>
    <s v="modesg_param_sfics_taxon_europeia"/>
    <s v="cfamilia"/>
    <x v="0"/>
    <s v="6. Em implementação "/>
    <m/>
    <m/>
    <s v="Package 6"/>
    <m/>
    <s v=""/>
    <s v=""/>
    <s v=""/>
    <m/>
    <m/>
    <m/>
    <m/>
    <m/>
    <x v="3"/>
    <s v="RC"/>
  </r>
  <r>
    <x v="0"/>
    <x v="4"/>
    <x v="0"/>
    <s v="modesg_param_sfics_taxon_europeia"/>
    <s v="flg_rsc_fsc_crnc"/>
    <x v="0"/>
    <s v="6. Em implementação "/>
    <m/>
    <m/>
    <s v="Package 6"/>
    <m/>
    <s v=""/>
    <s v=""/>
    <s v=""/>
    <m/>
    <m/>
    <m/>
    <m/>
    <m/>
    <x v="0"/>
    <s v="RC"/>
  </r>
  <r>
    <x v="0"/>
    <x v="4"/>
    <x v="0"/>
    <s v="modesg_param_sfics_taxon_europeia"/>
    <s v="flg_rsc_fsc_agd"/>
    <x v="0"/>
    <s v="6. Em implementação "/>
    <m/>
    <m/>
    <s v="Package 6"/>
    <m/>
    <s v=""/>
    <s v=""/>
    <s v=""/>
    <m/>
    <m/>
    <m/>
    <m/>
    <m/>
    <x v="0"/>
    <s v="RC"/>
  </r>
  <r>
    <x v="0"/>
    <x v="4"/>
    <x v="0"/>
    <s v="modesg_param_sfics_taxon_europeia"/>
    <s v="property_purpose_code"/>
    <x v="0"/>
    <s v="6. Em implementação "/>
    <m/>
    <m/>
    <s v="Package 6"/>
    <m/>
    <s v=""/>
    <s v=""/>
    <s v=""/>
    <m/>
    <m/>
    <m/>
    <m/>
    <m/>
    <x v="3"/>
    <s v="RC"/>
  </r>
  <r>
    <x v="0"/>
    <x v="4"/>
    <x v="0"/>
    <s v="modesg_param_sfics_taxon_europeia"/>
    <s v="dabertur"/>
    <x v="0"/>
    <s v="6. Em implementação "/>
    <m/>
    <m/>
    <s v="Package 6"/>
    <m/>
    <s v=""/>
    <s v=""/>
    <s v=""/>
    <m/>
    <m/>
    <m/>
    <m/>
    <m/>
    <x v="2"/>
    <s v="RC"/>
  </r>
  <r>
    <x v="0"/>
    <x v="4"/>
    <x v="0"/>
    <s v="modesg_param_sfics_taxon_europeia"/>
    <s v="tipo_eqp"/>
    <x v="0"/>
    <s v="6. Em implementação "/>
    <m/>
    <m/>
    <s v="Package 6"/>
    <m/>
    <s v=""/>
    <s v=""/>
    <s v=""/>
    <m/>
    <m/>
    <m/>
    <m/>
    <m/>
    <x v="2"/>
    <s v="RC"/>
  </r>
  <r>
    <x v="0"/>
    <x v="4"/>
    <x v="0"/>
    <s v="modesg_param_sfics_taxon_europeia"/>
    <s v="construction_year"/>
    <x v="0"/>
    <s v="6. Em implementação "/>
    <m/>
    <m/>
    <s v="Package 6"/>
    <m/>
    <s v=""/>
    <s v=""/>
    <s v=""/>
    <m/>
    <m/>
    <m/>
    <m/>
    <m/>
    <x v="0"/>
    <s v="RC"/>
  </r>
  <r>
    <x v="0"/>
    <x v="4"/>
    <x v="0"/>
    <s v="modesg_param_sfics_taxon_europeia"/>
    <s v="ref_date"/>
    <x v="0"/>
    <s v="6. Em implementação "/>
    <m/>
    <m/>
    <s v="Package 6"/>
    <m/>
    <s v=""/>
    <s v=""/>
    <s v=""/>
    <m/>
    <m/>
    <m/>
    <m/>
    <m/>
    <x v="3"/>
    <s v="RC"/>
  </r>
  <r>
    <x v="0"/>
    <x v="4"/>
    <x v="0"/>
    <s v="modesg_param_sfics_taxon_europeia"/>
    <s v="cfinalidad"/>
    <x v="0"/>
    <s v="6. Em implementação "/>
    <m/>
    <m/>
    <s v="Package 6"/>
    <m/>
    <m/>
    <m/>
    <m/>
    <m/>
    <m/>
    <m/>
    <m/>
    <m/>
    <x v="0"/>
    <m/>
  </r>
  <r>
    <x v="0"/>
    <x v="4"/>
    <x v="0"/>
    <s v="modesg_param_sfics_taxon_europeia"/>
    <s v="sst_indctr_aux"/>
    <x v="0"/>
    <s v="6. Em implementação "/>
    <m/>
    <m/>
    <s v="Package 6"/>
    <m/>
    <s v=""/>
    <s v=""/>
    <s v=""/>
    <m/>
    <m/>
    <m/>
    <m/>
    <m/>
    <x v="5"/>
    <m/>
  </r>
  <r>
    <x v="0"/>
    <x v="4"/>
    <x v="0"/>
    <s v="modesg_param_sfics_taxon_europeia"/>
    <s v="quality_score"/>
    <x v="0"/>
    <s v="6. Em implementação "/>
    <m/>
    <m/>
    <s v="Package 6"/>
    <m/>
    <s v=""/>
    <s v=""/>
    <s v=""/>
    <m/>
    <m/>
    <m/>
    <m/>
    <m/>
    <x v="3"/>
    <s v="RC"/>
  </r>
  <r>
    <x v="0"/>
    <x v="4"/>
    <x v="0"/>
    <s v="modesg_param_sfics_taxon_europeia"/>
    <s v="primary_energy_req_value"/>
    <x v="0"/>
    <s v="6. Em implementação "/>
    <m/>
    <m/>
    <s v="Package 6"/>
    <m/>
    <s v=""/>
    <s v=""/>
    <s v=""/>
    <m/>
    <m/>
    <m/>
    <m/>
    <m/>
    <x v="0"/>
    <s v="RC"/>
  </r>
  <r>
    <x v="0"/>
    <x v="4"/>
    <x v="0"/>
    <s v="modesg_param_sfics_taxon_europeia"/>
    <s v="net_floor_area"/>
    <x v="0"/>
    <s v="6. Em implementação "/>
    <m/>
    <m/>
    <s v="Package 6"/>
    <m/>
    <s v=""/>
    <s v=""/>
    <s v=""/>
    <m/>
    <m/>
    <m/>
    <m/>
    <m/>
    <x v="0"/>
    <s v="RC"/>
  </r>
  <r>
    <x v="0"/>
    <x v="4"/>
    <x v="0"/>
    <s v="modesg_param_sfics_taxon_europeia"/>
    <s v="nome_purpose_esg_nalinh_tax"/>
    <x v="0"/>
    <s v="6. Em implementação "/>
    <m/>
    <m/>
    <s v="Package 6"/>
    <m/>
    <s v=""/>
    <s v=""/>
    <s v=""/>
    <m/>
    <m/>
    <m/>
    <m/>
    <m/>
    <x v="2"/>
    <s v="RC"/>
  </r>
  <r>
    <x v="0"/>
    <x v="4"/>
    <x v="0"/>
    <s v="modesg_param_sfics_taxon_europeia"/>
    <s v="nome_purpose_esg_alinh_tax"/>
    <x v="0"/>
    <s v="6. Em implementação "/>
    <m/>
    <m/>
    <s v="Package 6"/>
    <m/>
    <s v=""/>
    <s v=""/>
    <s v=""/>
    <m/>
    <m/>
    <m/>
    <m/>
    <m/>
    <x v="3"/>
    <s v="RC"/>
  </r>
  <r>
    <x v="0"/>
    <x v="4"/>
    <x v="0"/>
    <s v="modesg_param_sfics_taxon_europeia"/>
    <s v="nome_general_specific_purpose"/>
    <x v="0"/>
    <s v="6. Em implementação "/>
    <m/>
    <m/>
    <s v="Package 6"/>
    <m/>
    <s v=""/>
    <s v=""/>
    <s v=""/>
    <m/>
    <m/>
    <m/>
    <m/>
    <m/>
    <x v="0"/>
    <s v="RC"/>
  </r>
  <r>
    <x v="0"/>
    <x v="4"/>
    <x v="0"/>
    <s v="modesg_param_sfics_taxon_europeia"/>
    <s v="nome_specific_eligible"/>
    <x v="0"/>
    <s v="6. Em implementação "/>
    <m/>
    <m/>
    <s v="Package 6"/>
    <m/>
    <s v=""/>
    <s v=""/>
    <s v=""/>
    <m/>
    <m/>
    <m/>
    <m/>
    <m/>
    <x v="0"/>
    <s v="RC"/>
  </r>
  <r>
    <x v="0"/>
    <x v="4"/>
    <x v="0"/>
    <s v="modesg_param_sfics_taxon_europeia"/>
    <s v="nome_specific_sustainable"/>
    <x v="0"/>
    <s v="6. Em implementação "/>
    <m/>
    <m/>
    <s v="Package 6"/>
    <m/>
    <s v=""/>
    <s v=""/>
    <s v=""/>
    <m/>
    <m/>
    <m/>
    <m/>
    <m/>
    <x v="0"/>
    <s v="RC"/>
  </r>
  <r>
    <x v="0"/>
    <x v="1"/>
    <x v="0"/>
    <s v="lt006_instr_prot"/>
    <s v="prtctn_allctd_vl"/>
    <x v="4"/>
    <s v="2.1 Em Teste"/>
    <m/>
    <s v="Package 2"/>
    <s v="Package x"/>
    <m/>
    <s v=""/>
    <s v=""/>
    <s v=""/>
    <m/>
    <m/>
    <s v="Novo Projeto - Em especificação"/>
    <m/>
    <m/>
    <x v="0"/>
    <s v="JB - Falar com SB"/>
  </r>
  <r>
    <x v="0"/>
    <x v="1"/>
    <x v="0"/>
    <s v="lt003_entity"/>
    <s v="esg_sbsctr"/>
    <x v="0"/>
    <s v="6. Em implementação "/>
    <m/>
    <s v="Package 2"/>
    <s v="Package 9"/>
    <m/>
    <s v=""/>
    <s v=""/>
    <s v=""/>
    <m/>
    <m/>
    <m/>
    <s v="ESTR &amp; P3"/>
    <m/>
    <x v="0"/>
    <s v="JB/RC"/>
  </r>
  <r>
    <x v="0"/>
    <x v="1"/>
    <x v="0"/>
    <s v="lt004_protection"/>
    <s v="typ_ep_scr"/>
    <x v="0"/>
    <s v="6. Em implementação "/>
    <m/>
    <s v="Package 6"/>
    <s v="Package 9"/>
    <m/>
    <s v=""/>
    <s v=""/>
    <s v=""/>
    <m/>
    <m/>
    <m/>
    <m/>
    <m/>
    <x v="0"/>
    <m/>
  </r>
  <r>
    <x v="0"/>
    <x v="1"/>
    <x v="0"/>
    <s v="lt004_protection"/>
    <s v="ep_scr"/>
    <x v="0"/>
    <s v="6. Em implementação "/>
    <m/>
    <s v="Package 6"/>
    <s v="Package 9"/>
    <m/>
    <s v=""/>
    <s v=""/>
    <s v=""/>
    <m/>
    <m/>
    <m/>
    <m/>
    <m/>
    <x v="0"/>
    <m/>
  </r>
  <r>
    <x v="0"/>
    <x v="1"/>
    <x v="0"/>
    <s v="lt002_instrument"/>
    <s v="mthd_usd_instrmnt_scp_1"/>
    <x v="0"/>
    <s v="6. Em implementação "/>
    <m/>
    <s v="Package 6"/>
    <s v="Package 9"/>
    <m/>
    <s v=""/>
    <s v=""/>
    <s v=""/>
    <d v="2024-10-28T00:00:00"/>
    <m/>
    <s v="Novo projeto - Para testar"/>
    <m/>
    <m/>
    <x v="0"/>
    <s v="HF"/>
  </r>
  <r>
    <x v="0"/>
    <x v="1"/>
    <x v="0"/>
    <s v="lt002_instrument"/>
    <s v="mthd_usd_instrmnt_scp_2"/>
    <x v="0"/>
    <s v="6. Em implementação "/>
    <m/>
    <s v="Package 6"/>
    <s v="Package 9"/>
    <m/>
    <s v=""/>
    <s v=""/>
    <s v=""/>
    <d v="2024-10-28T00:00:00"/>
    <m/>
    <s v="Novo projeto - Para testar"/>
    <m/>
    <m/>
    <x v="0"/>
    <s v="HF"/>
  </r>
  <r>
    <x v="0"/>
    <x v="1"/>
    <x v="0"/>
    <s v="lt002_instrument"/>
    <s v="mthd_usd_instrmnt_scp_3"/>
    <x v="0"/>
    <s v="6. Em implementação "/>
    <m/>
    <s v="Package 6"/>
    <s v="Package 9"/>
    <m/>
    <s v=""/>
    <s v=""/>
    <s v=""/>
    <d v="2024-10-28T00:00:00"/>
    <m/>
    <s v="Novo projeto - Para testar"/>
    <m/>
    <m/>
    <x v="0"/>
    <s v="HF"/>
  </r>
  <r>
    <x v="0"/>
    <x v="1"/>
    <x v="0"/>
    <s v="lt007_instr_activity"/>
    <s v="sstnbl_indctr"/>
    <x v="3"/>
    <s v="2.2 Em especificação"/>
    <m/>
    <s v="Package 6"/>
    <s v="Package 9"/>
    <m/>
    <s v=""/>
    <s v=""/>
    <s v=""/>
    <d v="2024-10-28T00:00:00"/>
    <m/>
    <s v="Projeto Anterior - Especificação"/>
    <m/>
    <m/>
    <x v="0"/>
    <s v="RC"/>
  </r>
  <r>
    <x v="0"/>
    <x v="1"/>
    <x v="0"/>
    <s v="lt007_instr_activity"/>
    <s v="sstnbl_ctgry"/>
    <x v="0"/>
    <s v="6. Em implementação "/>
    <m/>
    <s v="Package 5"/>
    <s v="Package 9"/>
    <m/>
    <s v=""/>
    <s v=""/>
    <s v=""/>
    <d v="2024-10-28T00:00:00"/>
    <m/>
    <s v="Projeto Anterior - Especificação"/>
    <m/>
    <m/>
    <x v="0"/>
    <s v="RC"/>
  </r>
  <r>
    <x v="0"/>
    <x v="4"/>
    <x v="1"/>
    <s v="modesg_param_sfics_taxon_europeia"/>
    <s v="n.a."/>
    <x v="0"/>
    <s v="6. Em implementação "/>
    <m/>
    <m/>
    <s v="Package 6"/>
    <m/>
    <s v=""/>
    <s v=""/>
    <s v=""/>
    <m/>
    <m/>
    <m/>
    <m/>
    <m/>
    <x v="0"/>
    <s v="RC"/>
  </r>
  <r>
    <x v="0"/>
    <x v="2"/>
    <x v="1"/>
    <s v="modesg_out_sfics_taxon_europeia"/>
    <s v="n.a."/>
    <x v="0"/>
    <s v="6. Em implementação "/>
    <m/>
    <m/>
    <s v="Package x"/>
    <m/>
    <s v=""/>
    <s v=""/>
    <s v=""/>
    <m/>
    <m/>
    <m/>
    <m/>
    <m/>
    <x v="0"/>
    <s v="RC"/>
  </r>
  <r>
    <x v="0"/>
    <x v="2"/>
    <x v="0"/>
    <s v="modesg_out_sfics_taxon_europeia"/>
    <s v="origem"/>
    <x v="5"/>
    <s v="0. Cancelado"/>
    <m/>
    <m/>
    <s v="Package x"/>
    <m/>
    <s v=""/>
    <s v=""/>
    <s v=""/>
    <m/>
    <m/>
    <m/>
    <m/>
    <m/>
    <x v="0"/>
    <m/>
  </r>
  <r>
    <x v="0"/>
    <x v="1"/>
    <x v="0"/>
    <s v="lt003_entity"/>
    <s v="nace_esg"/>
    <x v="0"/>
    <s v="6. Em implementação "/>
    <m/>
    <m/>
    <s v="Package x"/>
    <m/>
    <s v=""/>
    <s v=""/>
    <s v=""/>
    <m/>
    <m/>
    <m/>
    <m/>
    <m/>
    <x v="0"/>
    <s v="JB"/>
  </r>
  <r>
    <x v="0"/>
    <x v="1"/>
    <x v="0"/>
    <s v="lt003_entity"/>
    <s v="flg_act_physcl_rsk"/>
    <x v="0"/>
    <s v="6. Em implementação "/>
    <m/>
    <m/>
    <s v="Package x"/>
    <m/>
    <s v=""/>
    <s v=""/>
    <s v=""/>
    <m/>
    <m/>
    <m/>
    <m/>
    <m/>
    <x v="0"/>
    <s v="HF"/>
  </r>
  <r>
    <x v="0"/>
    <x v="1"/>
    <x v="0"/>
    <s v="lt003_entity"/>
    <s v="flg_chrnc_physcl_rsk"/>
    <x v="0"/>
    <s v="6. Em implementação "/>
    <m/>
    <m/>
    <s v="Package x"/>
    <m/>
    <s v=""/>
    <s v=""/>
    <s v=""/>
    <m/>
    <m/>
    <m/>
    <m/>
    <m/>
    <x v="0"/>
    <s v="HF"/>
  </r>
  <r>
    <x v="0"/>
    <x v="1"/>
    <x v="0"/>
    <s v="lt002_instrument"/>
    <s v="rsk_mtgtd_ccp"/>
    <x v="0"/>
    <s v="6. Em implementação "/>
    <m/>
    <m/>
    <s v="Package x"/>
    <m/>
    <s v=""/>
    <s v=""/>
    <s v=""/>
    <d v="2024-10-30T00:00:00"/>
    <m/>
    <s v="Novo projeto - Para testar"/>
    <m/>
    <m/>
    <x v="0"/>
    <s v="JB"/>
  </r>
  <r>
    <x v="0"/>
    <x v="1"/>
    <x v="0"/>
    <s v="lt007_instr_activity"/>
    <s v="COD_SOC"/>
    <x v="4"/>
    <s v="2.1 Em Teste"/>
    <m/>
    <s v="Package 4"/>
    <s v="Package 6"/>
    <m/>
    <s v=""/>
    <s v=""/>
    <s v=""/>
    <m/>
    <m/>
    <s v="Novo Projeto - Em especificação"/>
    <s v="GD, P3 e GF"/>
    <s v="Novos Requisitos FY25 - Outros"/>
    <x v="1"/>
    <s v="RC"/>
  </r>
  <r>
    <x v="0"/>
    <x v="1"/>
    <x v="0"/>
    <s v="lt007_instr_activity"/>
    <s v="DT_RFRNC"/>
    <x v="4"/>
    <s v="2.1 Em Teste"/>
    <m/>
    <s v="Package 3"/>
    <s v="Package 6"/>
    <m/>
    <s v=""/>
    <s v=""/>
    <s v=""/>
    <m/>
    <m/>
    <s v="Novo Projeto - Em especificação"/>
    <s v="GD, P3 e GF"/>
    <s v="Novos Requisitos FY25 - Outros"/>
    <x v="1"/>
    <s v="RC"/>
  </r>
  <r>
    <x v="0"/>
    <x v="1"/>
    <x v="0"/>
    <s v="lt007_instr_activity"/>
    <s v="INSTRMNT_ID"/>
    <x v="4"/>
    <s v="2.1 Em Teste"/>
    <m/>
    <s v="Package 4"/>
    <s v="Package 6"/>
    <m/>
    <s v=""/>
    <s v=""/>
    <s v=""/>
    <m/>
    <m/>
    <s v="Novo Projeto - Em especificação"/>
    <s v="GD, P3 e GF"/>
    <s v="Novos Requisitos FY25 - Outros"/>
    <x v="1"/>
    <s v="RC"/>
  </r>
  <r>
    <x v="0"/>
    <x v="1"/>
    <x v="0"/>
    <s v="lt007_instr_activity"/>
    <s v="FLG_DNSH_CMPLNC"/>
    <x v="4"/>
    <s v="2.1 Em Teste"/>
    <m/>
    <s v="Package 2"/>
    <s v="Package 6"/>
    <m/>
    <s v=""/>
    <s v=""/>
    <s v=""/>
    <m/>
    <m/>
    <s v="Novo Projeto - Em especificação"/>
    <s v="P3"/>
    <s v="Novos Requisitos FY25 - Outros"/>
    <x v="1"/>
    <s v="JB/RC"/>
  </r>
  <r>
    <x v="0"/>
    <x v="1"/>
    <x v="0"/>
    <s v="lt007_instr_activity"/>
    <s v="DNSH_DTL"/>
    <x v="4"/>
    <s v="2.1 Em Teste"/>
    <m/>
    <s v="Package 2"/>
    <s v="Package 6"/>
    <m/>
    <s v=""/>
    <s v=""/>
    <s v=""/>
    <m/>
    <m/>
    <s v="Novo Projeto - Em especificação"/>
    <s v="P3"/>
    <s v="Novos Requisitos FY25 - Outros"/>
    <x v="1"/>
    <s v="JB/RC"/>
  </r>
  <r>
    <x v="0"/>
    <x v="1"/>
    <x v="0"/>
    <s v="lt002_instrument"/>
    <s v="FLG_MNMM_SFGRDS"/>
    <x v="4"/>
    <s v="2.1 Em Teste"/>
    <m/>
    <s v="Package 2"/>
    <s v="Package 6"/>
    <m/>
    <s v=""/>
    <s v=""/>
    <s v=""/>
    <m/>
    <m/>
    <s v="Novo Projeto - Em especificação"/>
    <s v="P3 e ESG"/>
    <s v="Novos Requisitos FY25 - Outros"/>
    <x v="1"/>
    <s v="JB"/>
  </r>
  <r>
    <x v="0"/>
    <x v="1"/>
    <x v="0"/>
    <s v="lt003_entity"/>
    <s v="txnmy_elgbl_capex_w"/>
    <x v="4"/>
    <s v="2.1 Em Teste"/>
    <m/>
    <s v="Package 1"/>
    <s v="Package 5"/>
    <m/>
    <s v=""/>
    <s v=""/>
    <s v=""/>
    <m/>
    <m/>
    <s v="Novo Projeto - Em especificação"/>
    <s v="P3"/>
    <s v="Novos Requisitos FY25 - Outros"/>
    <x v="1"/>
    <s v="JB"/>
  </r>
  <r>
    <x v="0"/>
    <x v="1"/>
    <x v="0"/>
    <s v="lt003_entity"/>
    <s v="txnmy_elgbl_trnvr_w"/>
    <x v="4"/>
    <s v="2.1 Em Teste"/>
    <m/>
    <s v="Package 1"/>
    <s v="Package 5"/>
    <m/>
    <s v=""/>
    <s v=""/>
    <s v=""/>
    <m/>
    <m/>
    <s v="Novo Projeto - Em especificação"/>
    <s v="P3"/>
    <s v="Novos Requisitos FY25 - Outros"/>
    <x v="1"/>
    <s v="JB"/>
  </r>
  <r>
    <x v="0"/>
    <x v="1"/>
    <x v="0"/>
    <s v="lt003_entity"/>
    <s v="txnmy_elgbl_capex_p"/>
    <x v="4"/>
    <s v="2.1 Em Teste"/>
    <m/>
    <s v="Package 1"/>
    <s v="Package 5"/>
    <m/>
    <s v=""/>
    <s v=""/>
    <s v=""/>
    <m/>
    <m/>
    <s v="Novo Projeto - Em especificação"/>
    <s v="P3"/>
    <s v="Novos Requisitos FY25 - Outros"/>
    <x v="1"/>
    <s v="JB"/>
  </r>
  <r>
    <x v="0"/>
    <x v="1"/>
    <x v="0"/>
    <s v="lt003_entity"/>
    <s v="txnmy_elgbl_trnvr_p"/>
    <x v="4"/>
    <s v="2.1 Em Teste"/>
    <m/>
    <s v="Package 1"/>
    <s v="Package 5"/>
    <m/>
    <s v=""/>
    <s v=""/>
    <s v=""/>
    <m/>
    <m/>
    <s v="Novo Projeto - Em especificação"/>
    <s v="P3"/>
    <s v="Novos Requisitos FY25 - Outros"/>
    <x v="1"/>
    <s v="JB"/>
  </r>
  <r>
    <x v="0"/>
    <x v="1"/>
    <x v="0"/>
    <s v="lt003_entity"/>
    <s v="txnmy_elgbl_capex_b"/>
    <x v="4"/>
    <s v="2.1 Em Teste"/>
    <m/>
    <s v="Package 1"/>
    <s v="Package 5"/>
    <m/>
    <s v=""/>
    <s v=""/>
    <s v=""/>
    <m/>
    <m/>
    <s v="Novo Projeto - Em especificação"/>
    <s v="P3"/>
    <s v="Novos Requisitos FY25 - Outros"/>
    <x v="1"/>
    <s v="JB"/>
  </r>
  <r>
    <x v="0"/>
    <x v="1"/>
    <x v="0"/>
    <s v="lt003_entity"/>
    <s v="txnmy_elgbl_trnvr_b"/>
    <x v="4"/>
    <s v="2.1 Em Teste"/>
    <m/>
    <s v="Package 1"/>
    <s v="Package 5"/>
    <m/>
    <s v=""/>
    <s v=""/>
    <s v=""/>
    <m/>
    <m/>
    <s v="Novo Projeto - Em especificação"/>
    <s v="P3"/>
    <s v="Novos Requisitos FY25 - Outros"/>
    <x v="1"/>
    <s v="JB"/>
  </r>
  <r>
    <x v="0"/>
    <x v="1"/>
    <x v="0"/>
    <s v="lt003_entity"/>
    <s v="txnmy_elgbl_capex_ce"/>
    <x v="4"/>
    <s v="2.1 Em Teste"/>
    <m/>
    <s v="Package 1"/>
    <s v="Package 5"/>
    <m/>
    <s v=""/>
    <s v=""/>
    <s v=""/>
    <m/>
    <m/>
    <s v="Novo Projeto - Em especificação"/>
    <s v="P3"/>
    <s v="Novos Requisitos FY25 - Outros"/>
    <x v="1"/>
    <s v="JB"/>
  </r>
  <r>
    <x v="0"/>
    <x v="1"/>
    <x v="0"/>
    <s v="lt003_entity"/>
    <s v="txnmy_elgbl_trnvr_ce"/>
    <x v="4"/>
    <s v="2.1 Em Teste"/>
    <m/>
    <s v="Package 1"/>
    <s v="Package 5"/>
    <m/>
    <s v=""/>
    <s v=""/>
    <s v=""/>
    <m/>
    <m/>
    <s v="Novo Projeto - Em especificação"/>
    <s v="P3"/>
    <s v="Novos Requisitos FY25 - Outros"/>
    <x v="1"/>
    <s v="JB"/>
  </r>
  <r>
    <x v="0"/>
    <x v="1"/>
    <x v="0"/>
    <s v="lt003_entity"/>
    <s v="pure_capex_p"/>
    <x v="4"/>
    <s v="2.1 Em Teste"/>
    <m/>
    <s v="Package 1"/>
    <s v="Package 5"/>
    <m/>
    <s v=""/>
    <s v=""/>
    <s v=""/>
    <m/>
    <m/>
    <s v="Novo Projeto - Em especificação"/>
    <s v="P3"/>
    <s v="Novos Requisitos FY25 - Outros"/>
    <x v="1"/>
    <s v="JB"/>
  </r>
  <r>
    <x v="0"/>
    <x v="1"/>
    <x v="0"/>
    <s v="lt003_entity"/>
    <s v="pure_trnvr_p"/>
    <x v="4"/>
    <s v="2.1 Em Teste"/>
    <m/>
    <s v="Package 1"/>
    <s v="Package 5"/>
    <m/>
    <s v=""/>
    <s v=""/>
    <s v=""/>
    <m/>
    <m/>
    <s v="Novo Projeto - Em especificação"/>
    <s v="P3"/>
    <s v="Novos Requisitos FY25 - Outros"/>
    <x v="1"/>
    <s v="JB"/>
  </r>
  <r>
    <x v="0"/>
    <x v="1"/>
    <x v="0"/>
    <s v="lt003_entity"/>
    <s v="pure_capex_b"/>
    <x v="4"/>
    <s v="2.1 Em Teste"/>
    <m/>
    <s v="Package 1"/>
    <s v="Package 5"/>
    <m/>
    <s v=""/>
    <s v=""/>
    <s v=""/>
    <m/>
    <m/>
    <s v="Novo Projeto - Em especificação"/>
    <s v="P3"/>
    <s v="Novos Requisitos FY25 - Outros"/>
    <x v="1"/>
    <s v="JB"/>
  </r>
  <r>
    <x v="0"/>
    <x v="1"/>
    <x v="0"/>
    <s v="lt003_entity"/>
    <s v="pure_trnvr_b"/>
    <x v="4"/>
    <s v="2.1 Em Teste"/>
    <m/>
    <s v="Package 1"/>
    <s v="Package 5"/>
    <m/>
    <s v=""/>
    <s v=""/>
    <s v=""/>
    <m/>
    <m/>
    <s v="Novo Projeto - Em especificação"/>
    <s v="P3"/>
    <s v="Novos Requisitos FY25 - Outros"/>
    <x v="1"/>
    <s v="JB"/>
  </r>
  <r>
    <x v="0"/>
    <x v="1"/>
    <x v="0"/>
    <s v="lt003_entity"/>
    <s v="pure_capex_w"/>
    <x v="4"/>
    <s v="2.1 Em Teste"/>
    <m/>
    <s v="Package 1"/>
    <s v="Package 5"/>
    <m/>
    <s v=""/>
    <s v=""/>
    <s v=""/>
    <m/>
    <m/>
    <s v="Novo Projeto - Em especificação"/>
    <s v="P3"/>
    <s v="Novos Requisitos FY25 - Outros"/>
    <x v="1"/>
    <s v="JB"/>
  </r>
  <r>
    <x v="0"/>
    <x v="1"/>
    <x v="0"/>
    <s v="lt003_entity"/>
    <s v="pure_trnvr_w"/>
    <x v="4"/>
    <s v="2.1 Em Teste"/>
    <m/>
    <s v="Package 1"/>
    <s v="Package 5"/>
    <m/>
    <s v=""/>
    <s v=""/>
    <s v=""/>
    <m/>
    <m/>
    <s v="Novo Projeto - Em especificação"/>
    <s v="P3"/>
    <s v="Novos Requisitos FY25 - Outros"/>
    <x v="1"/>
    <s v="JB"/>
  </r>
  <r>
    <x v="0"/>
    <x v="1"/>
    <x v="0"/>
    <s v="lt003_entity"/>
    <s v="pure_capex_ce"/>
    <x v="4"/>
    <s v="2.1 Em Teste"/>
    <m/>
    <s v="Package 1"/>
    <s v="Package 5"/>
    <m/>
    <s v=""/>
    <s v=""/>
    <s v=""/>
    <m/>
    <m/>
    <s v="Novo Projeto - Em especificação"/>
    <s v="P3"/>
    <s v="Novos Requisitos FY25 - Outros"/>
    <x v="1"/>
    <s v="JB"/>
  </r>
  <r>
    <x v="0"/>
    <x v="1"/>
    <x v="0"/>
    <s v="lt003_entity"/>
    <s v="pure_trnvr_ce"/>
    <x v="4"/>
    <s v="2.1 Em Teste"/>
    <m/>
    <s v="Package 1"/>
    <s v="Package 5"/>
    <m/>
    <s v=""/>
    <s v=""/>
    <s v=""/>
    <m/>
    <m/>
    <s v="Novo Projeto - Em especificação"/>
    <s v="P3"/>
    <s v="Novos Requisitos FY25 - Outros"/>
    <x v="1"/>
    <s v="JB"/>
  </r>
  <r>
    <x v="0"/>
    <x v="1"/>
    <x v="0"/>
    <s v="lt003_entity"/>
    <s v="enblng_capex_w"/>
    <x v="4"/>
    <s v="2.1 Em Teste"/>
    <m/>
    <s v="Package 1"/>
    <s v="Package 5"/>
    <m/>
    <s v=""/>
    <s v=""/>
    <s v=""/>
    <m/>
    <m/>
    <s v="Novo Projeto - Em especificação"/>
    <s v="P3"/>
    <s v="Novos Requisitos FY25 - Outros"/>
    <x v="1"/>
    <s v="JB"/>
  </r>
  <r>
    <x v="0"/>
    <x v="1"/>
    <x v="0"/>
    <s v="lt003_entity"/>
    <s v="enblng_trnvr_w"/>
    <x v="4"/>
    <s v="2.1 Em Teste"/>
    <m/>
    <s v="Package 1"/>
    <s v="Package 5"/>
    <m/>
    <s v=""/>
    <s v=""/>
    <s v=""/>
    <m/>
    <m/>
    <s v="Novo Projeto - Em especificação"/>
    <s v="P3"/>
    <s v="Novos Requisitos FY25 - Outros"/>
    <x v="1"/>
    <s v="JB"/>
  </r>
  <r>
    <x v="0"/>
    <x v="1"/>
    <x v="0"/>
    <s v="lt003_entity"/>
    <s v="enblng_capex_ce"/>
    <x v="4"/>
    <s v="2.1 Em Teste"/>
    <m/>
    <s v="Package 1"/>
    <s v="Package 5"/>
    <m/>
    <s v=""/>
    <s v=""/>
    <s v=""/>
    <m/>
    <m/>
    <s v="Novo Projeto - Em especificação"/>
    <s v="P3"/>
    <s v="Novos Requisitos FY25 - Outros"/>
    <x v="1"/>
    <s v="JB"/>
  </r>
  <r>
    <x v="0"/>
    <x v="1"/>
    <x v="0"/>
    <s v="lt003_entity"/>
    <s v="enblng_trnvr_ce"/>
    <x v="4"/>
    <s v="2.1 Em Teste"/>
    <m/>
    <s v="Package 1"/>
    <s v="Package 5"/>
    <m/>
    <s v=""/>
    <s v=""/>
    <s v=""/>
    <m/>
    <m/>
    <s v="Novo Projeto - Em especificação"/>
    <s v="P3"/>
    <s v="Novos Requisitos FY25 - Outros"/>
    <x v="1"/>
    <s v="JB"/>
  </r>
  <r>
    <x v="0"/>
    <x v="1"/>
    <x v="0"/>
    <s v="lt004_protection"/>
    <s v="TYP_EMSSNS_LBL"/>
    <x v="4"/>
    <s v="2.1 Em Teste"/>
    <m/>
    <s v="Package 2"/>
    <s v="Package 5"/>
    <m/>
    <s v=""/>
    <s v=""/>
    <s v=""/>
    <m/>
    <m/>
    <s v="Novo Projeto - Em especificação"/>
    <s v="ESG"/>
    <s v="Novos Requisitos FY25 - Outros"/>
    <x v="1"/>
    <s v="JB"/>
  </r>
  <r>
    <x v="0"/>
    <x v="1"/>
    <x v="0"/>
    <s v="lt004_protection"/>
    <s v="VHCL_EMSSNS_LBL"/>
    <x v="4"/>
    <s v="2.1 Em Teste"/>
    <m/>
    <s v="Package 2"/>
    <s v="Package 5"/>
    <m/>
    <s v=""/>
    <s v=""/>
    <s v=""/>
    <m/>
    <m/>
    <s v="Novo Projeto - Em especificação"/>
    <s v="ESG"/>
    <s v="Novos Requisitos FY25 - Outros"/>
    <x v="1"/>
    <s v="JB"/>
  </r>
  <r>
    <x v="0"/>
    <x v="1"/>
    <x v="0"/>
    <s v="lt004_protection"/>
    <s v="VHCL_EMSSNS_SCR"/>
    <x v="4"/>
    <s v="2.1 Em Teste"/>
    <m/>
    <s v="Package 2"/>
    <s v="Package 5"/>
    <m/>
    <s v=""/>
    <s v=""/>
    <s v=""/>
    <m/>
    <m/>
    <s v="Novo Projeto - Em especificação"/>
    <s v="ESG"/>
    <s v="Novos Requisitos FY25 - Outros"/>
    <x v="1"/>
    <s v="JB"/>
  </r>
  <r>
    <x v="0"/>
    <x v="1"/>
    <x v="0"/>
    <s v="lt004_protection"/>
    <s v="INSRNC_ID"/>
    <x v="4"/>
    <s v="2.1 Em Teste"/>
    <m/>
    <s v="Package 2"/>
    <s v="Package 5"/>
    <m/>
    <s v=""/>
    <s v=""/>
    <s v=""/>
    <m/>
    <m/>
    <s v="Novo Projeto - Em especificação"/>
    <s v="ESG"/>
    <s v="Novos Requisitos FY25 - Outros"/>
    <x v="1"/>
    <s v="JB"/>
  </r>
  <r>
    <x v="0"/>
    <x v="1"/>
    <x v="0"/>
    <s v="lt004_protection"/>
    <s v="TYP_HZRDS_INSRD"/>
    <x v="4"/>
    <s v="2.1 Em Teste"/>
    <m/>
    <s v="Package 2"/>
    <s v="Package 5"/>
    <m/>
    <s v=""/>
    <s v=""/>
    <s v=""/>
    <m/>
    <m/>
    <s v="Novo Projeto - Em especificação"/>
    <s v="ESG"/>
    <s v="Novos Requisitos FY25 - Outros"/>
    <x v="1"/>
    <s v="JB"/>
  </r>
  <r>
    <x v="0"/>
    <x v="1"/>
    <x v="0"/>
    <s v="lt004_protection"/>
    <s v="AMNT_CVRD_INSRNC"/>
    <x v="4"/>
    <s v="2.1 Em Teste"/>
    <m/>
    <s v="Package 2"/>
    <s v="Package 5"/>
    <m/>
    <s v=""/>
    <s v=""/>
    <s v=""/>
    <m/>
    <m/>
    <s v="Novo Projeto - Em especificação"/>
    <s v="ESG"/>
    <s v="Novos Requisitos FY25 - Outros"/>
    <x v="1"/>
    <s v="JB"/>
  </r>
  <r>
    <x v="0"/>
    <x v="1"/>
    <x v="0"/>
    <s v="lt004_protection"/>
    <s v="DT_MTRTY_INSRNC"/>
    <x v="4"/>
    <s v="2.1 Em Teste"/>
    <m/>
    <s v="Package 2"/>
    <s v="Package 5"/>
    <m/>
    <s v=""/>
    <s v=""/>
    <s v=""/>
    <m/>
    <m/>
    <s v="Novo Projeto - Em especificação"/>
    <s v="ESG"/>
    <s v="Novos Requisitos FY25 - Outros"/>
    <x v="1"/>
    <s v="JB"/>
  </r>
  <r>
    <x v="0"/>
    <x v="1"/>
    <x v="0"/>
    <s v="lt004_protection"/>
    <s v="FLG_FRST_HM"/>
    <x v="4"/>
    <s v="2.1 Em Teste"/>
    <m/>
    <s v="Package 2"/>
    <s v="Package 5"/>
    <m/>
    <s v=""/>
    <s v=""/>
    <s v=""/>
    <m/>
    <m/>
    <s v="Novo Projeto - Em especificação"/>
    <s v="ESG"/>
    <s v="Novos Requisitos FY25 - Outros"/>
    <x v="1"/>
    <s v="JB"/>
  </r>
  <r>
    <x v="0"/>
    <x v="1"/>
    <x v="0"/>
    <s v="lt004_protection"/>
    <s v="RL_ESTT_CRTFCTN"/>
    <x v="4"/>
    <s v="2.1 Em Teste"/>
    <m/>
    <s v="Package 2"/>
    <s v="Package 5"/>
    <m/>
    <s v=""/>
    <s v=""/>
    <s v=""/>
    <m/>
    <m/>
    <s v="Novo Projeto - Em especificação"/>
    <s v="P3 e ESG"/>
    <s v="Novos Requisitos FY25 - Outros"/>
    <x v="1"/>
    <s v="JB"/>
  </r>
  <r>
    <x v="0"/>
    <x v="1"/>
    <x v="0"/>
    <s v="lt004_protection"/>
    <s v="DT_RGSTRTN"/>
    <x v="4"/>
    <s v="2.1 Em Teste"/>
    <m/>
    <s v="Package 2"/>
    <s v="Package 5"/>
    <m/>
    <s v=""/>
    <s v=""/>
    <s v=""/>
    <m/>
    <m/>
    <s v="Novo Projeto - Em especificação"/>
    <s v="P3 e ESG"/>
    <s v="Novos Requisitos FY25 - Outros"/>
    <x v="1"/>
    <s v="JB"/>
  </r>
  <r>
    <x v="0"/>
    <x v="1"/>
    <x v="0"/>
    <s v="lt004_protection"/>
    <s v="PRMRY_ENRGY_DMND_NN_RNWBL"/>
    <x v="4"/>
    <s v="2.1 Em Teste"/>
    <m/>
    <s v="Package 3"/>
    <s v="Package 5"/>
    <m/>
    <s v=""/>
    <s v=""/>
    <s v=""/>
    <m/>
    <m/>
    <s v="Novo Projeto - Em especificação"/>
    <s v="P3 e ESG"/>
    <s v="Novos Requisitos FY25 - Outros"/>
    <x v="1"/>
    <s v="HF"/>
  </r>
  <r>
    <x v="0"/>
    <x v="1"/>
    <x v="0"/>
    <s v="lt002_instrument"/>
    <s v="grss_intrst_incm"/>
    <x v="0"/>
    <s v="6. Em implementação "/>
    <m/>
    <s v="Package 6"/>
    <s v="Sem teste"/>
    <m/>
    <s v=""/>
    <s v=""/>
    <s v=""/>
    <d v="2024-10-30T00:00:00"/>
    <m/>
    <m/>
    <m/>
    <m/>
    <x v="0"/>
    <s v="HF"/>
  </r>
  <r>
    <x v="0"/>
    <x v="1"/>
    <x v="0"/>
    <s v="lt002_instrument"/>
    <s v="grss_cmmssn_incm"/>
    <x v="0"/>
    <s v="6. Em implementação "/>
    <m/>
    <s v="Package 6"/>
    <s v="Sem teste"/>
    <m/>
    <s v=""/>
    <s v=""/>
    <s v=""/>
    <d v="2024-10-30T00:00:00"/>
    <m/>
    <m/>
    <m/>
    <m/>
    <x v="0"/>
    <s v="HF"/>
  </r>
  <r>
    <x v="0"/>
    <x v="1"/>
    <x v="0"/>
    <s v="lt002_instrument"/>
    <s v="grss_cmmssn_incm_off_blnc"/>
    <x v="0"/>
    <s v="6. Em implementação "/>
    <m/>
    <s v="Package 6"/>
    <s v="Sem teste"/>
    <m/>
    <s v=""/>
    <s v=""/>
    <s v=""/>
    <d v="2024-10-30T00:00:00"/>
    <m/>
    <m/>
    <m/>
    <m/>
    <x v="0"/>
    <s v="HF"/>
  </r>
  <r>
    <x v="0"/>
    <x v="1"/>
    <x v="0"/>
    <s v="lt002_instrument"/>
    <s v="FRBRNC_STTS_INSTRMNT"/>
    <x v="4"/>
    <s v="2.1 Em Teste"/>
    <m/>
    <s v="Package 2"/>
    <s v="Package 6"/>
    <m/>
    <s v=""/>
    <s v=""/>
    <s v=""/>
    <m/>
    <m/>
    <s v="Novo Projeto - Em especificação"/>
    <s v="ESTR, P3 e LF"/>
    <s v="Novos Requisitos FY25 - Âmbito ESTR e (ou) LF"/>
    <x v="1"/>
    <s v="JB"/>
  </r>
  <r>
    <x v="0"/>
    <x v="1"/>
    <x v="0"/>
    <s v="lt002_instrument"/>
    <s v="INTRNL_SGMNT"/>
    <x v="4"/>
    <s v="2.1 Em Teste"/>
    <m/>
    <s v="Package 3"/>
    <s v="Package 6"/>
    <m/>
    <s v=""/>
    <s v=""/>
    <s v=""/>
    <m/>
    <m/>
    <s v="Novo Projeto - Em especificação"/>
    <s v="ESTR, ESG e LF"/>
    <s v="Novos Requisitos FY25 - Âmbito ESTR e (ou) LF"/>
    <x v="1"/>
    <s v="HF"/>
  </r>
  <r>
    <x v="0"/>
    <x v="1"/>
    <x v="0"/>
    <s v="lt002_instrument"/>
    <s v="DT_ORGNL_MTRTY"/>
    <x v="4"/>
    <s v="2.1 Em Teste"/>
    <m/>
    <s v="Package 3"/>
    <s v="Package 6"/>
    <m/>
    <s v=""/>
    <s v=""/>
    <s v=""/>
    <m/>
    <m/>
    <s v="Novo Projeto - Em especificação"/>
    <s v="ESTR, P3, GF e LF"/>
    <s v="Novos Requisitos FY25 - Âmbito ESTR e (ou) LF"/>
    <x v="1"/>
    <s v="HF"/>
  </r>
  <r>
    <x v="0"/>
    <x v="1"/>
    <x v="0"/>
    <s v="lt002_instrument"/>
    <s v="EAD"/>
    <x v="4"/>
    <s v="2.1 Em Teste"/>
    <m/>
    <s v="Package 3"/>
    <s v="Package 6"/>
    <m/>
    <s v=""/>
    <s v=""/>
    <s v=""/>
    <m/>
    <m/>
    <s v="Novo Projeto - Em especificação"/>
    <s v="ESTR, GD, ESG e LF"/>
    <s v="Novos Requisitos FY25 - Âmbito ESTR e (ou) LF"/>
    <x v="1"/>
    <s v="HF"/>
  </r>
  <r>
    <x v="0"/>
    <x v="1"/>
    <x v="0"/>
    <s v="lt002_instrument"/>
    <s v="RWA"/>
    <x v="4"/>
    <s v="2.1 Em Teste"/>
    <m/>
    <s v="Package 3"/>
    <s v="Package 6"/>
    <m/>
    <s v=""/>
    <s v=""/>
    <s v=""/>
    <m/>
    <m/>
    <s v="Novo Projeto - Em especificação"/>
    <s v="ESTR, GD, P3, GF e LF"/>
    <s v="Novos Requisitos FY25 - Âmbito ESTR e (ou) LF"/>
    <x v="1"/>
    <s v="HF"/>
  </r>
  <r>
    <x v="0"/>
    <x v="1"/>
    <x v="0"/>
    <s v="lt002_instrument"/>
    <s v="LTV"/>
    <x v="4"/>
    <s v="2.1 Em Teste"/>
    <m/>
    <s v="Package 3"/>
    <s v="Package 6"/>
    <m/>
    <s v=""/>
    <s v=""/>
    <s v=""/>
    <m/>
    <m/>
    <s v="Novo Projeto - Em especificação"/>
    <s v="ESTR e P3"/>
    <s v="Novos Requisitos FY25 - Âmbito ESTR e (ou) LF"/>
    <x v="1"/>
    <s v="HF"/>
  </r>
  <r>
    <x v="0"/>
    <x v="1"/>
    <x v="0"/>
    <s v="lt002_instrument"/>
    <s v="LTV_INCPTN"/>
    <x v="4"/>
    <s v="2.1 Em Teste"/>
    <m/>
    <s v="Package 3"/>
    <s v="Package 6"/>
    <m/>
    <s v=""/>
    <s v=""/>
    <s v=""/>
    <m/>
    <m/>
    <s v="Novo Projeto - Em especificação"/>
    <s v="ESTR e P3"/>
    <s v="Novos Requisitos FY25 - Âmbito ESTR e (ou) LF"/>
    <x v="1"/>
    <s v="JB"/>
  </r>
  <r>
    <x v="0"/>
    <x v="1"/>
    <x v="0"/>
    <s v="lt002_instrument"/>
    <s v="EIR"/>
    <x v="4"/>
    <s v="2.1 Em Teste"/>
    <m/>
    <s v="Package 3"/>
    <s v="Package 6"/>
    <m/>
    <s v=""/>
    <s v=""/>
    <s v=""/>
    <m/>
    <m/>
    <s v="Novo Projeto - Em especificação"/>
    <s v="ESTR, P3 e LF"/>
    <s v="Novos Requisitos FY25 - Âmbito ESTR e (ou) LF"/>
    <x v="1"/>
    <s v="JB"/>
  </r>
  <r>
    <x v="0"/>
    <x v="1"/>
    <x v="0"/>
    <s v="lt002_instrument"/>
    <s v="EIR_INCPTN"/>
    <x v="4"/>
    <s v="2.1 Em Teste"/>
    <m/>
    <s v="Package 3"/>
    <s v="Package 6"/>
    <m/>
    <s v=""/>
    <s v=""/>
    <s v=""/>
    <m/>
    <m/>
    <s v="Novo Projeto - Em especificação"/>
    <s v="ESTR e P3"/>
    <s v="Novos Requisitos FY25 - Âmbito ESTR e (ou) LF"/>
    <x v="1"/>
    <s v="JB"/>
  </r>
  <r>
    <x v="0"/>
    <x v="1"/>
    <x v="0"/>
    <s v="lt002_instrument"/>
    <s v="INTRNL_SGMNT_CAT_MSTA"/>
    <x v="4"/>
    <s v="2.1 Em Teste"/>
    <m/>
    <s v="Package 3"/>
    <s v="Package 6"/>
    <m/>
    <s v=""/>
    <s v=""/>
    <s v=""/>
    <m/>
    <m/>
    <s v="Novo Projeto - Em especificação"/>
    <s v="ESTR e ESG"/>
    <s v="Novos Requisitos FY25 - Âmbito ESTR e (ou) LF"/>
    <x v="1"/>
    <s v="JB"/>
  </r>
  <r>
    <x v="0"/>
    <x v="1"/>
    <x v="0"/>
    <s v="lt002_instrument"/>
    <s v="INTRNL_SGMNT_CATGSUB"/>
    <x v="4"/>
    <s v="2.1 Em Teste"/>
    <m/>
    <s v="Package 3"/>
    <s v="Package 6"/>
    <m/>
    <s v=""/>
    <s v=""/>
    <s v=""/>
    <m/>
    <m/>
    <s v="Novo Projeto - Em especificação"/>
    <s v="ESTR e ESG"/>
    <s v="Novos Requisitos FY25 - Âmbito ESTR e (ou) LF"/>
    <x v="1"/>
    <s v="JB"/>
  </r>
  <r>
    <x v="0"/>
    <x v="1"/>
    <x v="0"/>
    <s v="lt003_entity"/>
    <s v="entty_nm"/>
    <x v="4"/>
    <s v="2.1 Em Teste"/>
    <m/>
    <s v="Package 3"/>
    <s v="Package 5"/>
    <m/>
    <s v=""/>
    <s v=""/>
    <s v=""/>
    <m/>
    <m/>
    <s v="Novo Projeto - Em especificação"/>
    <s v="ESTR, P3, GF e LF"/>
    <s v="Novos Requisitos FY25 - Âmbito ESTR e (ou) LF"/>
    <x v="1"/>
    <s v="JB"/>
  </r>
  <r>
    <x v="0"/>
    <x v="2"/>
    <x v="0"/>
    <s v="modesg_out_sfics_taxon_europeia"/>
    <s v="cbalcao"/>
    <x v="0"/>
    <s v="6. Em implementação "/>
    <m/>
    <s v="Package 5"/>
    <s v="package x (31 de março)"/>
    <m/>
    <s v=""/>
    <s v=""/>
    <s v=""/>
    <m/>
    <m/>
    <m/>
    <m/>
    <m/>
    <x v="0"/>
    <s v="RC"/>
  </r>
  <r>
    <x v="0"/>
    <x v="2"/>
    <x v="0"/>
    <s v="modesg_out_sfics_taxon_europeia"/>
    <s v="cempresa"/>
    <x v="0"/>
    <s v="6. Em implementação "/>
    <m/>
    <s v="Package 5"/>
    <s v="package x (31 de março)"/>
    <m/>
    <s v=""/>
    <s v=""/>
    <s v=""/>
    <m/>
    <m/>
    <m/>
    <m/>
    <m/>
    <x v="0"/>
    <s v="RC"/>
  </r>
  <r>
    <x v="0"/>
    <x v="2"/>
    <x v="0"/>
    <s v="modesg_out_sfics_taxon_europeia"/>
    <s v="cnumecta"/>
    <x v="0"/>
    <s v="6. Em implementação "/>
    <m/>
    <s v="Package 5"/>
    <s v="package x (31 de março)"/>
    <m/>
    <s v=""/>
    <s v=""/>
    <s v=""/>
    <m/>
    <m/>
    <m/>
    <m/>
    <m/>
    <x v="0"/>
    <s v="RC"/>
  </r>
  <r>
    <x v="0"/>
    <x v="2"/>
    <x v="0"/>
    <s v="modesg_out_sfics_taxon_europeia"/>
    <s v="cod_regra"/>
    <x v="0"/>
    <s v="6. Em implementação "/>
    <m/>
    <s v="Package 5"/>
    <s v="package x (31 de março)"/>
    <m/>
    <s v=""/>
    <s v=""/>
    <s v=""/>
    <m/>
    <m/>
    <m/>
    <m/>
    <m/>
    <x v="0"/>
    <s v="RC"/>
  </r>
  <r>
    <x v="0"/>
    <x v="2"/>
    <x v="0"/>
    <s v="modesg_out_sfics_taxon_europeia"/>
    <s v="nivel"/>
    <x v="5"/>
    <s v="0. Cancelado"/>
    <m/>
    <s v="Package 5"/>
    <s v="package x (31 de março)"/>
    <m/>
    <s v=""/>
    <s v=""/>
    <s v=""/>
    <m/>
    <m/>
    <m/>
    <m/>
    <m/>
    <x v="5"/>
    <m/>
  </r>
  <r>
    <x v="0"/>
    <x v="2"/>
    <x v="0"/>
    <s v="modesg_out_sfics_taxon_europeia"/>
    <s v="montante_pndrc"/>
    <x v="0"/>
    <s v="6. Em implementação "/>
    <m/>
    <s v="Package 5"/>
    <s v="package x (31 de março)"/>
    <m/>
    <s v=""/>
    <s v=""/>
    <s v=""/>
    <m/>
    <m/>
    <m/>
    <m/>
    <m/>
    <x v="0"/>
    <s v="RC"/>
  </r>
  <r>
    <x v="0"/>
    <x v="2"/>
    <x v="0"/>
    <s v="modesg_out_sfics_taxon_europeia"/>
    <s v="nome_ctgr_sfics"/>
    <x v="0"/>
    <s v="6. Em implementação "/>
    <m/>
    <s v="Package 5"/>
    <s v="package x (31 de março)"/>
    <m/>
    <s v=""/>
    <s v=""/>
    <s v=""/>
    <m/>
    <m/>
    <m/>
    <m/>
    <m/>
    <x v="0"/>
    <s v="RC"/>
  </r>
  <r>
    <x v="0"/>
    <x v="2"/>
    <x v="0"/>
    <s v="modesg_out_sfics_taxon_europeia"/>
    <s v="nome_general_specific_purpose"/>
    <x v="0"/>
    <s v="6. Em implementação "/>
    <m/>
    <s v="Package 5"/>
    <s v="package x (31 de março)"/>
    <m/>
    <s v=""/>
    <s v=""/>
    <s v=""/>
    <m/>
    <m/>
    <m/>
    <m/>
    <m/>
    <x v="0"/>
    <s v="RC"/>
  </r>
  <r>
    <x v="0"/>
    <x v="2"/>
    <x v="0"/>
    <s v="modesg_out_sfics_taxon_europeia"/>
    <s v="nome_purpose_esg_alinh_tax"/>
    <x v="0"/>
    <s v="6. Em implementação "/>
    <m/>
    <s v="Package 5"/>
    <s v="package x (31 de março)"/>
    <m/>
    <s v=""/>
    <s v=""/>
    <s v=""/>
    <m/>
    <m/>
    <m/>
    <m/>
    <m/>
    <x v="0"/>
    <s v="RC"/>
  </r>
  <r>
    <x v="0"/>
    <x v="2"/>
    <x v="0"/>
    <s v="modesg_out_sfics_taxon_europeia"/>
    <s v="nome_purpose_esg_nalinh_tax"/>
    <x v="0"/>
    <s v="6. Em implementação "/>
    <m/>
    <s v="Package 5"/>
    <s v="package x (31 de março)"/>
    <m/>
    <s v=""/>
    <s v=""/>
    <s v=""/>
    <m/>
    <m/>
    <m/>
    <m/>
    <m/>
    <x v="3"/>
    <s v="RC"/>
  </r>
  <r>
    <x v="0"/>
    <x v="2"/>
    <x v="0"/>
    <s v="modesg_out_sfics_taxon_europeia"/>
    <s v="nome_specific_eligible"/>
    <x v="0"/>
    <s v="6. Em implementação "/>
    <m/>
    <s v="Package 5"/>
    <s v="package x (31 de março)"/>
    <m/>
    <s v=""/>
    <s v=""/>
    <s v=""/>
    <m/>
    <m/>
    <m/>
    <m/>
    <m/>
    <x v="0"/>
    <s v="RC"/>
  </r>
  <r>
    <x v="0"/>
    <x v="2"/>
    <x v="0"/>
    <s v="modesg_out_sfics_taxon_europeia"/>
    <s v="nome_specific_sustainable"/>
    <x v="0"/>
    <s v="6. Em implementação "/>
    <m/>
    <s v="Package 5"/>
    <s v="package x (31 de março)"/>
    <m/>
    <s v=""/>
    <s v=""/>
    <s v=""/>
    <m/>
    <m/>
    <m/>
    <m/>
    <m/>
    <x v="0"/>
    <s v="RC"/>
  </r>
  <r>
    <x v="0"/>
    <x v="2"/>
    <x v="0"/>
    <s v="modesg_out_sfics_taxon_europeia"/>
    <s v="sstnbl_indctr"/>
    <x v="0"/>
    <s v="6. Em implementação "/>
    <m/>
    <s v="Package 6"/>
    <s v="package x (31 de março)"/>
    <m/>
    <s v=""/>
    <s v=""/>
    <s v=""/>
    <m/>
    <m/>
    <m/>
    <m/>
    <m/>
    <x v="5"/>
    <m/>
  </r>
  <r>
    <x v="0"/>
    <x v="2"/>
    <x v="0"/>
    <s v="modesg_out_sfics_taxon_europeia"/>
    <s v="ref_date"/>
    <x v="0"/>
    <s v="6. Em implementação "/>
    <m/>
    <s v="Package 5"/>
    <s v="package x (31 de março)"/>
    <m/>
    <s v=""/>
    <s v=""/>
    <s v=""/>
    <m/>
    <m/>
    <m/>
    <m/>
    <m/>
    <x v="0"/>
    <s v="RC"/>
  </r>
  <r>
    <x v="0"/>
    <x v="2"/>
    <x v="0"/>
    <s v="modesg_out_sfics_taxon_europeia"/>
    <s v="zdeposit"/>
    <x v="0"/>
    <s v="6. Em implementação "/>
    <m/>
    <s v="Package 5"/>
    <s v="package x (31 de março)"/>
    <m/>
    <s v=""/>
    <s v=""/>
    <s v=""/>
    <m/>
    <m/>
    <m/>
    <m/>
    <m/>
    <x v="0"/>
    <s v="RC"/>
  </r>
  <r>
    <x v="0"/>
    <x v="3"/>
    <x v="1"/>
    <s v="ENERGY_CERTIFICATE_EST_INPUT"/>
    <s v="n.a."/>
    <x v="2"/>
    <s v="1. Concluído"/>
    <s v="Fase I"/>
    <m/>
    <m/>
    <m/>
    <s v=""/>
    <s v=""/>
    <s v=""/>
    <m/>
    <m/>
    <m/>
    <m/>
    <m/>
    <x v="0"/>
    <m/>
  </r>
  <r>
    <x v="0"/>
    <x v="3"/>
    <x v="0"/>
    <s v="ENERGY_CERTIFICATE_EST_INPUT"/>
    <s v="DATA_PROVIDER"/>
    <x v="5"/>
    <s v="0. Cancelado"/>
    <s v="Fase I"/>
    <m/>
    <m/>
    <m/>
    <s v=""/>
    <s v=""/>
    <s v=""/>
    <m/>
    <m/>
    <m/>
    <m/>
    <m/>
    <x v="0"/>
    <m/>
  </r>
  <r>
    <x v="0"/>
    <x v="3"/>
    <x v="0"/>
    <s v="ENERGY_CERTIFICATE_EST_INPUT"/>
    <s v="ACTUAL_VALUE_IND"/>
    <x v="5"/>
    <s v="0. Cancelado"/>
    <s v="Fase I"/>
    <m/>
    <m/>
    <m/>
    <s v=""/>
    <s v=""/>
    <s v=""/>
    <m/>
    <m/>
    <m/>
    <m/>
    <m/>
    <x v="0"/>
    <m/>
  </r>
  <r>
    <x v="0"/>
    <x v="0"/>
    <x v="1"/>
    <s v="PROCESS"/>
    <s v="n.a."/>
    <x v="2"/>
    <s v="1. Concluído"/>
    <m/>
    <m/>
    <m/>
    <m/>
    <s v=""/>
    <s v=""/>
    <s v=""/>
    <m/>
    <m/>
    <m/>
    <m/>
    <m/>
    <x v="0"/>
    <m/>
  </r>
  <r>
    <x v="0"/>
    <x v="0"/>
    <x v="0"/>
    <s v="PROCESS"/>
    <s v="PROCESS_BANK_ID"/>
    <x v="2"/>
    <s v="1. Concluído"/>
    <m/>
    <m/>
    <m/>
    <m/>
    <s v=""/>
    <s v=""/>
    <s v=""/>
    <m/>
    <m/>
    <m/>
    <m/>
    <m/>
    <x v="0"/>
    <m/>
  </r>
  <r>
    <x v="0"/>
    <x v="0"/>
    <x v="0"/>
    <s v="PROCESS"/>
    <s v="PROCESS_BRANCH_CODE"/>
    <x v="2"/>
    <s v="1. Concluído"/>
    <m/>
    <m/>
    <m/>
    <m/>
    <s v=""/>
    <s v=""/>
    <s v=""/>
    <m/>
    <m/>
    <m/>
    <m/>
    <m/>
    <x v="0"/>
    <m/>
  </r>
  <r>
    <x v="0"/>
    <x v="0"/>
    <x v="0"/>
    <s v="PROCESS"/>
    <s v="PROCESS_ACCOUNT_ID"/>
    <x v="2"/>
    <s v="1. Concluído"/>
    <m/>
    <m/>
    <m/>
    <m/>
    <s v=""/>
    <s v=""/>
    <s v=""/>
    <m/>
    <m/>
    <m/>
    <m/>
    <m/>
    <x v="0"/>
    <m/>
  </r>
  <r>
    <x v="0"/>
    <x v="0"/>
    <x v="0"/>
    <s v="PROCESS"/>
    <s v="cod_estd_prcs"/>
    <x v="5"/>
    <s v="0. Cancelado"/>
    <m/>
    <m/>
    <m/>
    <m/>
    <s v=""/>
    <s v=""/>
    <s v=""/>
    <m/>
    <m/>
    <m/>
    <m/>
    <m/>
    <x v="0"/>
    <m/>
  </r>
  <r>
    <x v="0"/>
    <x v="0"/>
    <x v="0"/>
    <s v="PROCESS"/>
    <s v="GUARANTEE_CODE"/>
    <x v="2"/>
    <s v="1. Concluído"/>
    <m/>
    <m/>
    <m/>
    <m/>
    <s v=""/>
    <s v=""/>
    <s v=""/>
    <m/>
    <m/>
    <m/>
    <m/>
    <m/>
    <x v="0"/>
    <m/>
  </r>
  <r>
    <x v="0"/>
    <x v="0"/>
    <x v="0"/>
    <s v="PROCESS"/>
    <s v="CURRENCY_CODE"/>
    <x v="2"/>
    <s v="1. Concluído"/>
    <m/>
    <m/>
    <m/>
    <m/>
    <s v=""/>
    <s v=""/>
    <s v=""/>
    <m/>
    <m/>
    <m/>
    <m/>
    <m/>
    <x v="0"/>
    <m/>
  </r>
  <r>
    <x v="0"/>
    <x v="0"/>
    <x v="0"/>
    <s v="PROCESS"/>
    <s v="PROCESS_CAMPAIGN_CODE"/>
    <x v="2"/>
    <s v="1. Concluído"/>
    <m/>
    <m/>
    <m/>
    <m/>
    <s v=""/>
    <s v=""/>
    <s v=""/>
    <m/>
    <m/>
    <m/>
    <m/>
    <m/>
    <x v="0"/>
    <m/>
  </r>
  <r>
    <x v="0"/>
    <x v="0"/>
    <x v="0"/>
    <s v="PROCESS"/>
    <s v="PROCESS_PRODUCT_ID"/>
    <x v="2"/>
    <s v="1. Concluído"/>
    <m/>
    <m/>
    <m/>
    <m/>
    <s v=""/>
    <s v=""/>
    <s v=""/>
    <m/>
    <m/>
    <m/>
    <m/>
    <m/>
    <x v="0"/>
    <m/>
  </r>
  <r>
    <x v="0"/>
    <x v="0"/>
    <x v="0"/>
    <s v="PROCESS"/>
    <s v="PROCESS_SUBPRODUCT_ID"/>
    <x v="2"/>
    <s v="1. Concluído"/>
    <m/>
    <m/>
    <m/>
    <m/>
    <s v=""/>
    <s v=""/>
    <s v=""/>
    <m/>
    <m/>
    <m/>
    <m/>
    <m/>
    <x v="0"/>
    <m/>
  </r>
  <r>
    <x v="0"/>
    <x v="0"/>
    <x v="0"/>
    <s v="PROCESS"/>
    <s v="GUARANTEE_TYPE_CODE"/>
    <x v="2"/>
    <s v="1. Concluído"/>
    <m/>
    <m/>
    <m/>
    <m/>
    <s v=""/>
    <s v=""/>
    <s v=""/>
    <m/>
    <m/>
    <m/>
    <m/>
    <m/>
    <x v="0"/>
    <m/>
  </r>
  <r>
    <x v="0"/>
    <x v="0"/>
    <x v="0"/>
    <s v="PROCESS"/>
    <s v="PROCESS_REFERENCE_CODE"/>
    <x v="2"/>
    <s v="1. Concluído"/>
    <m/>
    <m/>
    <m/>
    <m/>
    <s v=""/>
    <s v=""/>
    <s v=""/>
    <m/>
    <m/>
    <m/>
    <m/>
    <m/>
    <x v="0"/>
    <m/>
  </r>
  <r>
    <x v="0"/>
    <x v="0"/>
    <x v="0"/>
    <s v="PROCESS"/>
    <s v="PROCESS_START_DATE"/>
    <x v="2"/>
    <s v="1. Concluído"/>
    <m/>
    <m/>
    <m/>
    <m/>
    <s v=""/>
    <s v=""/>
    <s v=""/>
    <m/>
    <m/>
    <m/>
    <m/>
    <m/>
    <x v="0"/>
    <m/>
  </r>
  <r>
    <x v="0"/>
    <x v="0"/>
    <x v="0"/>
    <s v="PROCESS"/>
    <s v="PROCESS_DUE_DATE"/>
    <x v="2"/>
    <s v="1. Concluído"/>
    <m/>
    <m/>
    <m/>
    <m/>
    <s v=""/>
    <s v=""/>
    <s v=""/>
    <m/>
    <m/>
    <m/>
    <m/>
    <m/>
    <x v="0"/>
    <m/>
  </r>
  <r>
    <x v="0"/>
    <x v="0"/>
    <x v="0"/>
    <s v="PROCESS"/>
    <s v="montante_eur"/>
    <x v="5"/>
    <s v="0. Cancelado"/>
    <m/>
    <m/>
    <m/>
    <m/>
    <s v=""/>
    <s v=""/>
    <s v=""/>
    <m/>
    <m/>
    <m/>
    <m/>
    <m/>
    <x v="0"/>
    <m/>
  </r>
  <r>
    <x v="0"/>
    <x v="0"/>
    <x v="0"/>
    <s v="PROCESS"/>
    <s v="montante_org"/>
    <x v="5"/>
    <s v="0. Cancelado"/>
    <m/>
    <m/>
    <m/>
    <m/>
    <s v=""/>
    <s v=""/>
    <s v=""/>
    <m/>
    <m/>
    <m/>
    <m/>
    <m/>
    <x v="0"/>
    <m/>
  </r>
  <r>
    <x v="0"/>
    <x v="0"/>
    <x v="0"/>
    <s v="PROCESS"/>
    <s v="origem"/>
    <x v="5"/>
    <s v="0. Cancelado"/>
    <m/>
    <m/>
    <m/>
    <m/>
    <s v=""/>
    <s v=""/>
    <s v=""/>
    <m/>
    <m/>
    <m/>
    <m/>
    <m/>
    <x v="0"/>
    <m/>
  </r>
  <r>
    <x v="0"/>
    <x v="0"/>
    <x v="0"/>
    <s v="PROCESS"/>
    <s v="DATA_DATE_PART"/>
    <x v="2"/>
    <s v="1. Concluído"/>
    <m/>
    <m/>
    <m/>
    <m/>
    <s v=""/>
    <s v=""/>
    <s v=""/>
    <m/>
    <m/>
    <m/>
    <m/>
    <m/>
    <x v="0"/>
    <m/>
  </r>
  <r>
    <x v="0"/>
    <x v="0"/>
    <x v="0"/>
    <s v="PROCESS"/>
    <s v="SOURCE_CODE"/>
    <x v="2"/>
    <s v="1. Concluído"/>
    <m/>
    <m/>
    <m/>
    <m/>
    <s v=""/>
    <s v=""/>
    <s v=""/>
    <m/>
    <m/>
    <m/>
    <m/>
    <m/>
    <x v="0"/>
    <m/>
  </r>
  <r>
    <x v="0"/>
    <x v="0"/>
    <x v="1"/>
    <s v="RESPONSIBILITY_PROCESS_REL"/>
    <s v="n.a."/>
    <x v="2"/>
    <s v="1. Concluído"/>
    <m/>
    <m/>
    <m/>
    <m/>
    <s v=""/>
    <s v=""/>
    <s v=""/>
    <m/>
    <m/>
    <m/>
    <m/>
    <m/>
    <x v="0"/>
    <m/>
  </r>
  <r>
    <x v="0"/>
    <x v="0"/>
    <x v="0"/>
    <s v="RESPONSIBILITY_PROCESS_REL"/>
    <s v="PROCESS_BANK_ID"/>
    <x v="2"/>
    <s v="1. Concluído"/>
    <m/>
    <m/>
    <m/>
    <m/>
    <s v=""/>
    <s v=""/>
    <s v=""/>
    <m/>
    <m/>
    <m/>
    <m/>
    <m/>
    <x v="0"/>
    <m/>
  </r>
  <r>
    <x v="0"/>
    <x v="0"/>
    <x v="0"/>
    <s v="RESPONSIBILITY_PROCESS_REL"/>
    <s v="BANK_ID"/>
    <x v="2"/>
    <s v="1. Concluído"/>
    <m/>
    <m/>
    <m/>
    <m/>
    <s v=""/>
    <s v=""/>
    <s v=""/>
    <m/>
    <m/>
    <m/>
    <m/>
    <m/>
    <x v="0"/>
    <m/>
  </r>
  <r>
    <x v="0"/>
    <x v="0"/>
    <x v="0"/>
    <s v="RESPONSIBILITY_PROCESS_REL"/>
    <s v="PROCESS_BRANCH_CODE"/>
    <x v="2"/>
    <s v="1. Concluído"/>
    <m/>
    <m/>
    <m/>
    <m/>
    <s v=""/>
    <s v=""/>
    <s v=""/>
    <m/>
    <m/>
    <m/>
    <m/>
    <m/>
    <x v="0"/>
    <m/>
  </r>
  <r>
    <x v="0"/>
    <x v="0"/>
    <x v="0"/>
    <s v="RESPONSIBILITY_PROCESS_REL"/>
    <s v="BRANCH_CODE"/>
    <x v="2"/>
    <s v="1. Concluído"/>
    <m/>
    <m/>
    <m/>
    <m/>
    <s v=""/>
    <s v=""/>
    <s v=""/>
    <m/>
    <m/>
    <m/>
    <m/>
    <m/>
    <x v="0"/>
    <m/>
  </r>
  <r>
    <x v="0"/>
    <x v="0"/>
    <x v="0"/>
    <s v="RESPONSIBILITY_PROCESS_REL"/>
    <s v="CONTRACT_ID"/>
    <x v="2"/>
    <s v="1. Concluído"/>
    <m/>
    <m/>
    <m/>
    <m/>
    <s v=""/>
    <s v=""/>
    <s v=""/>
    <m/>
    <m/>
    <m/>
    <m/>
    <m/>
    <x v="0"/>
    <m/>
  </r>
  <r>
    <x v="0"/>
    <x v="0"/>
    <x v="0"/>
    <s v="RESPONSIBILITY_PROCESS_REL"/>
    <s v="PROCESS_ACCOUNT_ID"/>
    <x v="2"/>
    <s v="1. Concluído"/>
    <m/>
    <m/>
    <m/>
    <m/>
    <s v=""/>
    <s v=""/>
    <s v=""/>
    <m/>
    <m/>
    <m/>
    <m/>
    <m/>
    <x v="0"/>
    <m/>
  </r>
  <r>
    <x v="0"/>
    <x v="0"/>
    <x v="0"/>
    <s v="RESPONSIBILITY_PROCESS_REL"/>
    <s v="REFERENCE_CODE"/>
    <x v="2"/>
    <s v="1. Concluído"/>
    <m/>
    <m/>
    <m/>
    <m/>
    <s v=""/>
    <s v=""/>
    <s v=""/>
    <m/>
    <m/>
    <m/>
    <m/>
    <m/>
    <x v="0"/>
    <m/>
  </r>
  <r>
    <x v="0"/>
    <x v="0"/>
    <x v="0"/>
    <s v="RESPONSIBILITY_PROCESS_REL"/>
    <s v="PURPOSE_CODE"/>
    <x v="2"/>
    <s v="1. Concluído"/>
    <m/>
    <m/>
    <m/>
    <m/>
    <s v=""/>
    <s v=""/>
    <s v=""/>
    <m/>
    <m/>
    <m/>
    <m/>
    <m/>
    <x v="0"/>
    <m/>
  </r>
  <r>
    <x v="0"/>
    <x v="0"/>
    <x v="0"/>
    <s v="RESPONSIBILITY_PROCESS_REL"/>
    <s v="INDIVIDUAL_OCCUPATION_CODE"/>
    <x v="2"/>
    <s v="1. Concluído"/>
    <m/>
    <m/>
    <m/>
    <m/>
    <s v=""/>
    <s v=""/>
    <s v=""/>
    <m/>
    <m/>
    <m/>
    <m/>
    <m/>
    <x v="0"/>
    <m/>
  </r>
  <r>
    <x v="0"/>
    <x v="0"/>
    <x v="0"/>
    <s v="RESPONSIBILITY_PROCESS_REL"/>
    <s v="PRODUCT_ID"/>
    <x v="2"/>
    <s v="1. Concluído"/>
    <m/>
    <m/>
    <m/>
    <m/>
    <s v=""/>
    <s v=""/>
    <s v=""/>
    <m/>
    <m/>
    <m/>
    <m/>
    <m/>
    <x v="0"/>
    <m/>
  </r>
  <r>
    <x v="0"/>
    <x v="0"/>
    <x v="0"/>
    <s v="RESPONSIBILITY_PROCESS_REL"/>
    <s v="cod_sit"/>
    <x v="5"/>
    <s v="0. Cancelado"/>
    <m/>
    <m/>
    <m/>
    <m/>
    <s v=""/>
    <s v=""/>
    <s v=""/>
    <m/>
    <m/>
    <m/>
    <m/>
    <m/>
    <x v="0"/>
    <m/>
  </r>
  <r>
    <x v="0"/>
    <x v="0"/>
    <x v="0"/>
    <s v="RESPONSIBILITY_PROCESS_REL"/>
    <s v="SUBPRODUCT_ID"/>
    <x v="2"/>
    <s v="1. Concluído"/>
    <m/>
    <m/>
    <m/>
    <m/>
    <s v=""/>
    <s v=""/>
    <s v=""/>
    <m/>
    <m/>
    <m/>
    <m/>
    <m/>
    <x v="0"/>
    <m/>
  </r>
  <r>
    <x v="0"/>
    <x v="0"/>
    <x v="0"/>
    <s v="RESPONSIBILITY_PROCESS_REL"/>
    <s v="PROCESS_REFERENCE_CODE"/>
    <x v="2"/>
    <s v="1. Concluído"/>
    <m/>
    <m/>
    <m/>
    <m/>
    <s v=""/>
    <s v=""/>
    <s v=""/>
    <m/>
    <m/>
    <m/>
    <m/>
    <m/>
    <x v="0"/>
    <m/>
  </r>
  <r>
    <x v="0"/>
    <x v="0"/>
    <x v="0"/>
    <s v="RESPONSIBILITY_PROCESS_REL"/>
    <s v="EFFECTIVE_RELATION_END_DATE"/>
    <x v="2"/>
    <s v="1. Concluído"/>
    <m/>
    <m/>
    <m/>
    <m/>
    <s v=""/>
    <s v=""/>
    <s v=""/>
    <m/>
    <m/>
    <m/>
    <m/>
    <m/>
    <x v="0"/>
    <m/>
  </r>
  <r>
    <x v="0"/>
    <x v="0"/>
    <x v="0"/>
    <s v="RESPONSIBILITY_PROCESS_REL"/>
    <s v="RELATION_START_DATE"/>
    <x v="2"/>
    <s v="1. Concluído"/>
    <m/>
    <m/>
    <m/>
    <m/>
    <s v=""/>
    <s v=""/>
    <s v=""/>
    <m/>
    <m/>
    <m/>
    <m/>
    <m/>
    <x v="0"/>
    <m/>
  </r>
  <r>
    <x v="0"/>
    <x v="0"/>
    <x v="0"/>
    <s v="RESPONSIBILITY_PROCESS_REL"/>
    <s v="ESTABLISHED_RELATION_END_DATE"/>
    <x v="2"/>
    <s v="1. Concluído"/>
    <m/>
    <m/>
    <m/>
    <m/>
    <s v=""/>
    <s v=""/>
    <s v=""/>
    <m/>
    <m/>
    <m/>
    <m/>
    <m/>
    <x v="0"/>
    <m/>
  </r>
  <r>
    <x v="0"/>
    <x v="0"/>
    <x v="0"/>
    <s v="RESPONSIBILITY_PROCESS_REL"/>
    <s v="idetgar"/>
    <x v="5"/>
    <s v="0. Cancelado"/>
    <m/>
    <m/>
    <m/>
    <m/>
    <s v=""/>
    <s v=""/>
    <s v=""/>
    <m/>
    <m/>
    <m/>
    <m/>
    <m/>
    <x v="0"/>
    <m/>
  </r>
  <r>
    <x v="0"/>
    <x v="0"/>
    <x v="0"/>
    <s v="RESPONSIBILITY_PROCESS_REL"/>
    <s v="num_prop"/>
    <x v="5"/>
    <s v="0. Cancelado"/>
    <m/>
    <m/>
    <m/>
    <m/>
    <s v=""/>
    <s v=""/>
    <s v=""/>
    <m/>
    <m/>
    <m/>
    <m/>
    <m/>
    <x v="0"/>
    <m/>
  </r>
  <r>
    <x v="0"/>
    <x v="0"/>
    <x v="0"/>
    <s v="RESPONSIBILITY_PROCESS_REL"/>
    <s v="SOURCE_CODE"/>
    <x v="2"/>
    <s v="1. Concluído"/>
    <m/>
    <m/>
    <m/>
    <m/>
    <s v=""/>
    <s v=""/>
    <s v=""/>
    <m/>
    <m/>
    <m/>
    <m/>
    <m/>
    <x v="0"/>
    <m/>
  </r>
  <r>
    <x v="0"/>
    <x v="0"/>
    <x v="0"/>
    <s v="RESPONSIBILITY_PROCESS_REL"/>
    <s v="DATA_DATE_PART"/>
    <x v="2"/>
    <s v="1. Concluído"/>
    <m/>
    <m/>
    <m/>
    <m/>
    <s v=""/>
    <s v=""/>
    <s v=""/>
    <m/>
    <m/>
    <m/>
    <m/>
    <m/>
    <x v="0"/>
    <m/>
  </r>
  <r>
    <x v="0"/>
    <x v="0"/>
    <x v="1"/>
    <s v="PROCESS_PROPERTY_REL"/>
    <s v="n.a."/>
    <x v="2"/>
    <s v="1. Concluído"/>
    <m/>
    <m/>
    <m/>
    <m/>
    <s v=""/>
    <s v=""/>
    <s v=""/>
    <m/>
    <m/>
    <m/>
    <m/>
    <m/>
    <x v="0"/>
    <m/>
  </r>
  <r>
    <x v="0"/>
    <x v="0"/>
    <x v="0"/>
    <s v="PROCESS_PROPERTY_REL"/>
    <s v="PROPERTY_BANK_ID"/>
    <x v="2"/>
    <s v="1. Concluído"/>
    <m/>
    <m/>
    <m/>
    <m/>
    <s v=""/>
    <s v=""/>
    <s v=""/>
    <m/>
    <m/>
    <m/>
    <m/>
    <m/>
    <x v="0"/>
    <m/>
  </r>
  <r>
    <x v="0"/>
    <x v="0"/>
    <x v="0"/>
    <s v="PROCESS_PROPERTY_REL"/>
    <s v="PROCESS_BANK_ID"/>
    <x v="2"/>
    <s v="1. Concluído"/>
    <m/>
    <m/>
    <m/>
    <m/>
    <s v=""/>
    <s v=""/>
    <s v=""/>
    <m/>
    <m/>
    <m/>
    <m/>
    <m/>
    <x v="0"/>
    <m/>
  </r>
  <r>
    <x v="0"/>
    <x v="0"/>
    <x v="0"/>
    <s v="PROCESS_PROPERTY_REL"/>
    <s v="PROPERTY_BRANCH_CODE"/>
    <x v="2"/>
    <s v="1. Concluído"/>
    <m/>
    <m/>
    <m/>
    <m/>
    <s v=""/>
    <s v=""/>
    <s v=""/>
    <m/>
    <m/>
    <m/>
    <m/>
    <m/>
    <x v="0"/>
    <m/>
  </r>
  <r>
    <x v="0"/>
    <x v="0"/>
    <x v="0"/>
    <s v="PROCESS_PROPERTY_REL"/>
    <s v="PROCESS_BRANCH_CODE"/>
    <x v="2"/>
    <s v="1. Concluído"/>
    <m/>
    <m/>
    <m/>
    <m/>
    <s v=""/>
    <s v=""/>
    <s v=""/>
    <m/>
    <m/>
    <m/>
    <m/>
    <m/>
    <x v="0"/>
    <m/>
  </r>
  <r>
    <x v="0"/>
    <x v="0"/>
    <x v="0"/>
    <s v="PROCESS_PROPERTY_REL"/>
    <s v="PROPERTY_CONTRACT_ID"/>
    <x v="2"/>
    <s v="1. Concluído"/>
    <m/>
    <m/>
    <m/>
    <m/>
    <s v=""/>
    <s v=""/>
    <s v=""/>
    <m/>
    <m/>
    <m/>
    <m/>
    <m/>
    <x v="0"/>
    <m/>
  </r>
  <r>
    <x v="0"/>
    <x v="0"/>
    <x v="0"/>
    <s v="PROCESS_PROPERTY_REL"/>
    <s v="PROCESS_ACCOUNT_ID"/>
    <x v="2"/>
    <s v="1. Concluído"/>
    <m/>
    <m/>
    <m/>
    <m/>
    <s v=""/>
    <s v=""/>
    <s v=""/>
    <m/>
    <m/>
    <m/>
    <m/>
    <m/>
    <x v="0"/>
    <m/>
  </r>
  <r>
    <x v="0"/>
    <x v="0"/>
    <x v="0"/>
    <s v="PROCESS_PROPERTY_REL"/>
    <s v="PROPERTY_REFERENCE_CODE"/>
    <x v="2"/>
    <s v="1. Concluído"/>
    <m/>
    <m/>
    <m/>
    <m/>
    <s v=""/>
    <s v=""/>
    <s v=""/>
    <m/>
    <m/>
    <m/>
    <m/>
    <m/>
    <x v="0"/>
    <m/>
  </r>
  <r>
    <x v="0"/>
    <x v="0"/>
    <x v="0"/>
    <s v="PROCESS_PROPERTY_REL"/>
    <s v="PROCESS_REFERENCE_CODE"/>
    <x v="2"/>
    <s v="1. Concluído"/>
    <m/>
    <m/>
    <m/>
    <m/>
    <s v=""/>
    <s v=""/>
    <s v=""/>
    <m/>
    <m/>
    <m/>
    <m/>
    <m/>
    <x v="0"/>
    <m/>
  </r>
  <r>
    <x v="0"/>
    <x v="0"/>
    <x v="0"/>
    <s v="PROCESS_PROPERTY_REL"/>
    <s v="data_assc"/>
    <x v="5"/>
    <s v="0. Cancelado"/>
    <m/>
    <m/>
    <m/>
    <m/>
    <s v=""/>
    <s v=""/>
    <s v=""/>
    <m/>
    <m/>
    <m/>
    <m/>
    <m/>
    <x v="0"/>
    <m/>
  </r>
  <r>
    <x v="0"/>
    <x v="0"/>
    <x v="0"/>
    <s v="PROCESS_PROPERTY_REL"/>
    <s v="SEIZED_PROPERTY_IND"/>
    <x v="2"/>
    <s v="1. Concluído"/>
    <m/>
    <m/>
    <m/>
    <m/>
    <s v=""/>
    <s v=""/>
    <s v=""/>
    <m/>
    <m/>
    <m/>
    <m/>
    <m/>
    <x v="0"/>
    <m/>
  </r>
  <r>
    <x v="0"/>
    <x v="0"/>
    <x v="0"/>
    <s v="PROCESS_PROPERTY_REL"/>
    <s v="COLLATERAL_PROPERTY_IND"/>
    <x v="2"/>
    <s v="1. Concluído"/>
    <m/>
    <m/>
    <m/>
    <m/>
    <s v=""/>
    <s v=""/>
    <s v=""/>
    <m/>
    <m/>
    <m/>
    <m/>
    <m/>
    <x v="0"/>
    <m/>
  </r>
  <r>
    <x v="0"/>
    <x v="0"/>
    <x v="0"/>
    <s v="PROCESS_PROPERTY_REL"/>
    <s v="FINANCED_PROPERTY_IND"/>
    <x v="2"/>
    <s v="1. Concluído"/>
    <m/>
    <m/>
    <m/>
    <m/>
    <s v=""/>
    <s v=""/>
    <s v=""/>
    <m/>
    <m/>
    <m/>
    <m/>
    <m/>
    <x v="0"/>
    <m/>
  </r>
  <r>
    <x v="0"/>
    <x v="0"/>
    <x v="0"/>
    <s v="PROCESS_PROPERTY_REL"/>
    <s v="OWNED_PROPERTY_IND"/>
    <x v="2"/>
    <s v="1. Concluído"/>
    <m/>
    <m/>
    <m/>
    <m/>
    <s v=""/>
    <s v=""/>
    <s v=""/>
    <m/>
    <m/>
    <m/>
    <m/>
    <m/>
    <x v="0"/>
    <m/>
  </r>
  <r>
    <x v="0"/>
    <x v="0"/>
    <x v="0"/>
    <s v="PROCESS_PROPERTY_REL"/>
    <s v="SOURCE_CODE"/>
    <x v="2"/>
    <s v="1. Concluído"/>
    <m/>
    <m/>
    <m/>
    <m/>
    <s v=""/>
    <s v=""/>
    <s v=""/>
    <m/>
    <m/>
    <m/>
    <m/>
    <m/>
    <x v="0"/>
    <m/>
  </r>
  <r>
    <x v="0"/>
    <x v="0"/>
    <x v="0"/>
    <s v="PROCESS_PROPERTY_REL"/>
    <s v="DATA_DATE_PART"/>
    <x v="2"/>
    <s v="1. Concluído"/>
    <m/>
    <m/>
    <m/>
    <m/>
    <s v=""/>
    <s v=""/>
    <s v=""/>
    <m/>
    <m/>
    <m/>
    <m/>
    <m/>
    <x v="0"/>
    <m/>
  </r>
  <r>
    <x v="0"/>
    <x v="0"/>
    <x v="1"/>
    <s v="PROPERTY"/>
    <s v="n.a."/>
    <x v="2"/>
    <s v="1. Concluído"/>
    <m/>
    <m/>
    <m/>
    <m/>
    <s v=""/>
    <s v=""/>
    <s v=""/>
    <m/>
    <m/>
    <m/>
    <m/>
    <m/>
    <x v="0"/>
    <m/>
  </r>
  <r>
    <x v="0"/>
    <x v="0"/>
    <x v="0"/>
    <s v="PROPERTY"/>
    <s v="CONSTRUCTION_YEAR"/>
    <x v="2"/>
    <s v="1. Concluído"/>
    <m/>
    <m/>
    <m/>
    <m/>
    <s v=""/>
    <s v=""/>
    <s v=""/>
    <m/>
    <m/>
    <m/>
    <m/>
    <m/>
    <x v="0"/>
    <m/>
  </r>
  <r>
    <x v="0"/>
    <x v="0"/>
    <x v="0"/>
    <s v="PROPERTY"/>
    <s v="NET_FLOOR_AREA"/>
    <x v="2"/>
    <s v="1. Concluído"/>
    <m/>
    <m/>
    <m/>
    <m/>
    <s v=""/>
    <s v=""/>
    <s v=""/>
    <m/>
    <m/>
    <m/>
    <m/>
    <m/>
    <x v="0"/>
    <m/>
  </r>
  <r>
    <x v="0"/>
    <x v="0"/>
    <x v="0"/>
    <s v="PROPERTY"/>
    <s v="PROPERTY_BANK_ID"/>
    <x v="2"/>
    <s v="1. Concluído"/>
    <m/>
    <m/>
    <m/>
    <m/>
    <s v=""/>
    <s v=""/>
    <s v=""/>
    <m/>
    <m/>
    <m/>
    <m/>
    <m/>
    <x v="0"/>
    <m/>
  </r>
  <r>
    <x v="0"/>
    <x v="0"/>
    <x v="0"/>
    <s v="PROPERTY"/>
    <s v="PROPERTY_BRANCH_CODE"/>
    <x v="2"/>
    <s v="1. Concluído"/>
    <m/>
    <m/>
    <m/>
    <m/>
    <s v=""/>
    <s v=""/>
    <s v=""/>
    <m/>
    <m/>
    <m/>
    <m/>
    <m/>
    <x v="0"/>
    <m/>
  </r>
  <r>
    <x v="0"/>
    <x v="0"/>
    <x v="0"/>
    <s v="PROPERTY"/>
    <s v="PROPERTY_CONTRACT_ID"/>
    <x v="2"/>
    <s v="1. Concluído"/>
    <m/>
    <m/>
    <m/>
    <m/>
    <s v=""/>
    <s v=""/>
    <s v=""/>
    <m/>
    <m/>
    <m/>
    <m/>
    <m/>
    <x v="0"/>
    <m/>
  </r>
  <r>
    <x v="0"/>
    <x v="0"/>
    <x v="0"/>
    <s v="PROPERTY"/>
    <s v="PROPERTY_REFERENCE_CODE"/>
    <x v="2"/>
    <s v="1. Concluído"/>
    <m/>
    <m/>
    <m/>
    <m/>
    <s v=""/>
    <s v=""/>
    <s v=""/>
    <m/>
    <m/>
    <m/>
    <m/>
    <m/>
    <x v="0"/>
    <m/>
  </r>
  <r>
    <x v="0"/>
    <x v="0"/>
    <x v="0"/>
    <s v="PROPERTY"/>
    <s v="CADASTRAL_REGISTER_CODE"/>
    <x v="2"/>
    <s v="1. Concluído"/>
    <m/>
    <m/>
    <m/>
    <m/>
    <s v=""/>
    <s v=""/>
    <s v=""/>
    <m/>
    <m/>
    <m/>
    <m/>
    <m/>
    <x v="0"/>
    <m/>
  </r>
  <r>
    <x v="0"/>
    <x v="0"/>
    <x v="0"/>
    <s v="PROPERTY"/>
    <s v="APPRAISAL_CODE"/>
    <x v="2"/>
    <s v="1. Concluído"/>
    <m/>
    <m/>
    <m/>
    <m/>
    <s v=""/>
    <s v=""/>
    <s v=""/>
    <m/>
    <m/>
    <m/>
    <m/>
    <m/>
    <x v="0"/>
    <m/>
  </r>
  <r>
    <x v="0"/>
    <x v="0"/>
    <x v="0"/>
    <s v="PROPERTY"/>
    <s v="cod_bem"/>
    <x v="5"/>
    <s v="0. Cancelado"/>
    <m/>
    <m/>
    <m/>
    <m/>
    <s v=""/>
    <s v=""/>
    <s v=""/>
    <m/>
    <m/>
    <m/>
    <m/>
    <m/>
    <x v="0"/>
    <m/>
  </r>
  <r>
    <x v="0"/>
    <x v="0"/>
    <x v="0"/>
    <s v="PROPERTY"/>
    <s v="DISTRICT_MUNICIP_PARISH_CODE"/>
    <x v="2"/>
    <s v="1. Concluído"/>
    <m/>
    <m/>
    <m/>
    <m/>
    <s v=""/>
    <s v=""/>
    <s v=""/>
    <m/>
    <m/>
    <m/>
    <m/>
    <m/>
    <x v="0"/>
    <m/>
  </r>
  <r>
    <x v="0"/>
    <x v="0"/>
    <x v="0"/>
    <s v="PROPERTY"/>
    <s v="PROPERTY_PURPOSE_CODE"/>
    <x v="2"/>
    <s v="1. Concluído"/>
    <m/>
    <m/>
    <m/>
    <m/>
    <s v=""/>
    <s v=""/>
    <s v=""/>
    <m/>
    <m/>
    <m/>
    <m/>
    <m/>
    <x v="0"/>
    <m/>
  </r>
  <r>
    <x v="0"/>
    <x v="0"/>
    <x v="0"/>
    <s v="PROPERTY"/>
    <s v="PROPERTY_LIFETIME_CODE"/>
    <x v="2"/>
    <s v="1. Concluído"/>
    <m/>
    <m/>
    <m/>
    <m/>
    <s v=""/>
    <s v=""/>
    <s v=""/>
    <m/>
    <m/>
    <m/>
    <m/>
    <m/>
    <x v="0"/>
    <m/>
  </r>
  <r>
    <x v="0"/>
    <x v="0"/>
    <x v="0"/>
    <s v="PROPERTY"/>
    <s v="ADDRESS_CODE"/>
    <x v="2"/>
    <s v="1. Concluído"/>
    <m/>
    <m/>
    <m/>
    <m/>
    <s v=""/>
    <s v=""/>
    <s v=""/>
    <m/>
    <m/>
    <m/>
    <m/>
    <m/>
    <x v="0"/>
    <m/>
  </r>
  <r>
    <x v="0"/>
    <x v="0"/>
    <x v="0"/>
    <s v="PROPERTY"/>
    <s v="COUNTRY_CODE"/>
    <x v="2"/>
    <s v="1. Concluído"/>
    <m/>
    <m/>
    <m/>
    <m/>
    <s v=""/>
    <s v=""/>
    <s v=""/>
    <m/>
    <m/>
    <m/>
    <m/>
    <m/>
    <x v="0"/>
    <m/>
  </r>
  <r>
    <x v="0"/>
    <x v="0"/>
    <x v="0"/>
    <s v="PROPERTY"/>
    <s v="POSTAL_CODE"/>
    <x v="2"/>
    <s v="1. Concluído"/>
    <m/>
    <m/>
    <m/>
    <m/>
    <s v=""/>
    <s v=""/>
    <s v=""/>
    <m/>
    <m/>
    <m/>
    <m/>
    <m/>
    <x v="0"/>
    <m/>
  </r>
  <r>
    <x v="0"/>
    <x v="0"/>
    <x v="0"/>
    <s v="PROPERTY"/>
    <s v="PROPERTY_TYPE_CODE"/>
    <x v="2"/>
    <s v="1. Concluído"/>
    <m/>
    <m/>
    <m/>
    <m/>
    <s v=""/>
    <s v=""/>
    <s v=""/>
    <m/>
    <m/>
    <m/>
    <m/>
    <m/>
    <x v="0"/>
    <m/>
  </r>
  <r>
    <x v="0"/>
    <x v="0"/>
    <x v="0"/>
    <s v="PROPERTY"/>
    <s v="LAST_APPRAISAL_DATE"/>
    <x v="2"/>
    <s v="1. Concluído"/>
    <m/>
    <m/>
    <m/>
    <m/>
    <s v=""/>
    <s v=""/>
    <s v=""/>
    <m/>
    <m/>
    <m/>
    <m/>
    <m/>
    <x v="0"/>
    <m/>
  </r>
  <r>
    <x v="0"/>
    <x v="0"/>
    <x v="0"/>
    <s v="PROPERTY"/>
    <s v="USAGE_PERMIT_START_DATE"/>
    <x v="2"/>
    <s v="1. Concluído"/>
    <m/>
    <m/>
    <m/>
    <m/>
    <s v=""/>
    <s v=""/>
    <s v=""/>
    <m/>
    <m/>
    <m/>
    <m/>
    <m/>
    <x v="0"/>
    <m/>
  </r>
  <r>
    <x v="0"/>
    <x v="0"/>
    <x v="0"/>
    <s v="PROPERTY"/>
    <s v="CONSERVATORY_REG_FILE_ID"/>
    <x v="2"/>
    <s v="1. Concluído"/>
    <m/>
    <m/>
    <m/>
    <m/>
    <s v=""/>
    <s v=""/>
    <s v=""/>
    <m/>
    <m/>
    <m/>
    <m/>
    <m/>
    <x v="0"/>
    <m/>
  </r>
  <r>
    <x v="0"/>
    <x v="0"/>
    <x v="0"/>
    <s v="PROPERTY"/>
    <s v="FLOOR_NUMBER"/>
    <x v="2"/>
    <s v="1. Concluído"/>
    <m/>
    <m/>
    <m/>
    <m/>
    <s v=""/>
    <s v=""/>
    <s v=""/>
    <m/>
    <m/>
    <m/>
    <m/>
    <m/>
    <x v="0"/>
    <m/>
  </r>
  <r>
    <x v="0"/>
    <x v="0"/>
    <x v="0"/>
    <s v="PROPERTY"/>
    <s v="LOCALITY"/>
    <x v="2"/>
    <s v="1. Concluído"/>
    <m/>
    <m/>
    <m/>
    <m/>
    <s v=""/>
    <s v=""/>
    <s v=""/>
    <m/>
    <m/>
    <m/>
    <m/>
    <m/>
    <x v="0"/>
    <m/>
  </r>
  <r>
    <x v="0"/>
    <x v="0"/>
    <x v="0"/>
    <s v="PROPERTY"/>
    <s v="PROPERTY_LOT"/>
    <x v="2"/>
    <s v="1. Concluído"/>
    <m/>
    <m/>
    <m/>
    <m/>
    <s v=""/>
    <s v=""/>
    <s v=""/>
    <m/>
    <m/>
    <m/>
    <m/>
    <m/>
    <x v="0"/>
    <m/>
  </r>
  <r>
    <x v="0"/>
    <x v="0"/>
    <x v="0"/>
    <s v="PROPERTY"/>
    <s v="LAST_APPRAISAL_AMOUNT"/>
    <x v="2"/>
    <s v="1. Concluído"/>
    <m/>
    <m/>
    <m/>
    <m/>
    <s v=""/>
    <s v=""/>
    <s v=""/>
    <m/>
    <m/>
    <m/>
    <m/>
    <m/>
    <x v="0"/>
    <m/>
  </r>
  <r>
    <x v="0"/>
    <x v="0"/>
    <x v="0"/>
    <s v="PROPERTY"/>
    <s v="NET_APPRAISAL_AMOUNT"/>
    <x v="2"/>
    <s v="1. Concluído"/>
    <m/>
    <m/>
    <m/>
    <m/>
    <s v=""/>
    <s v=""/>
    <s v=""/>
    <m/>
    <m/>
    <m/>
    <m/>
    <m/>
    <x v="0"/>
    <m/>
  </r>
  <r>
    <x v="0"/>
    <x v="0"/>
    <x v="0"/>
    <s v="PROPERTY"/>
    <s v="COLLATERAL_FAST_SALE_AMOUNT"/>
    <x v="2"/>
    <s v="1. Concluído"/>
    <m/>
    <m/>
    <m/>
    <m/>
    <s v=""/>
    <s v=""/>
    <s v=""/>
    <m/>
    <m/>
    <m/>
    <m/>
    <m/>
    <x v="0"/>
    <m/>
  </r>
  <r>
    <x v="0"/>
    <x v="0"/>
    <x v="0"/>
    <s v="PROPERTY"/>
    <s v="ADDRESS"/>
    <x v="2"/>
    <s v="1. Concluído"/>
    <m/>
    <m/>
    <m/>
    <m/>
    <s v=""/>
    <s v=""/>
    <s v=""/>
    <m/>
    <m/>
    <m/>
    <m/>
    <m/>
    <x v="0"/>
    <m/>
  </r>
  <r>
    <x v="0"/>
    <x v="0"/>
    <x v="0"/>
    <s v="PROPERTY"/>
    <s v="PROPERTY_NUMBER"/>
    <x v="2"/>
    <s v="1. Concluído"/>
    <m/>
    <m/>
    <m/>
    <m/>
    <s v=""/>
    <s v=""/>
    <s v=""/>
    <m/>
    <m/>
    <m/>
    <m/>
    <m/>
    <x v="0"/>
    <m/>
  </r>
  <r>
    <x v="0"/>
    <x v="0"/>
    <x v="0"/>
    <s v="PROPERTY"/>
    <s v="Origem"/>
    <x v="5"/>
    <s v="0. Cancelado"/>
    <m/>
    <m/>
    <m/>
    <m/>
    <s v=""/>
    <s v=""/>
    <s v=""/>
    <m/>
    <m/>
    <m/>
    <m/>
    <m/>
    <x v="0"/>
    <m/>
  </r>
  <r>
    <x v="0"/>
    <x v="0"/>
    <x v="0"/>
    <s v="PROPERTY"/>
    <s v="CURRENT_CONSTRUCTION_PCT"/>
    <x v="2"/>
    <s v="1. Concluído"/>
    <m/>
    <m/>
    <m/>
    <m/>
    <s v=""/>
    <s v=""/>
    <s v=""/>
    <m/>
    <m/>
    <m/>
    <m/>
    <m/>
    <x v="0"/>
    <m/>
  </r>
  <r>
    <x v="0"/>
    <x v="0"/>
    <x v="0"/>
    <s v="PROPERTY"/>
    <s v="CONSTRUCTION_COMPLETED_PCT"/>
    <x v="2"/>
    <s v="1. Concluído"/>
    <m/>
    <m/>
    <m/>
    <m/>
    <s v=""/>
    <s v=""/>
    <s v=""/>
    <m/>
    <m/>
    <m/>
    <m/>
    <m/>
    <x v="0"/>
    <m/>
  </r>
  <r>
    <x v="0"/>
    <x v="0"/>
    <x v="0"/>
    <s v="PROPERTY"/>
    <s v="DATA_DATE_PART"/>
    <x v="2"/>
    <s v="1. Concluído"/>
    <m/>
    <m/>
    <m/>
    <m/>
    <s v=""/>
    <s v=""/>
    <s v=""/>
    <m/>
    <m/>
    <m/>
    <m/>
    <m/>
    <x v="0"/>
    <m/>
  </r>
  <r>
    <x v="0"/>
    <x v="0"/>
    <x v="0"/>
    <s v="PROPERTY"/>
    <s v="PROPERTY_CODE"/>
    <x v="2"/>
    <s v="1. Concluído"/>
    <m/>
    <m/>
    <m/>
    <m/>
    <s v=""/>
    <s v=""/>
    <s v=""/>
    <m/>
    <m/>
    <m/>
    <m/>
    <m/>
    <x v="0"/>
    <m/>
  </r>
  <r>
    <x v="0"/>
    <x v="0"/>
    <x v="0"/>
    <s v="PROPERTY"/>
    <s v="URBANIZATION"/>
    <x v="2"/>
    <s v="1. Concluído"/>
    <m/>
    <m/>
    <m/>
    <m/>
    <s v=""/>
    <s v=""/>
    <s v=""/>
    <m/>
    <m/>
    <m/>
    <m/>
    <m/>
    <x v="0"/>
    <m/>
  </r>
  <r>
    <x v="0"/>
    <x v="0"/>
    <x v="1"/>
    <s v="PROPERTY_ENERGY_CERTIFICATE"/>
    <s v="n.a."/>
    <x v="2"/>
    <s v="1. Concluído"/>
    <m/>
    <m/>
    <m/>
    <m/>
    <s v=""/>
    <s v=""/>
    <s v=""/>
    <m/>
    <m/>
    <m/>
    <m/>
    <m/>
    <x v="0"/>
    <m/>
  </r>
  <r>
    <x v="0"/>
    <x v="0"/>
    <x v="0"/>
    <s v="PROPERTY_ENERGY_CERTIFICATE"/>
    <s v="PROPERTY_BANK_ID"/>
    <x v="2"/>
    <s v="1. Concluído"/>
    <m/>
    <m/>
    <m/>
    <m/>
    <s v=""/>
    <s v=""/>
    <s v=""/>
    <m/>
    <m/>
    <m/>
    <m/>
    <m/>
    <x v="0"/>
    <m/>
  </r>
  <r>
    <x v="0"/>
    <x v="0"/>
    <x v="0"/>
    <s v="PROPERTY_ENERGY_CERTIFICATE"/>
    <s v="PROPERTY_BRANCH_CODE"/>
    <x v="2"/>
    <s v="1. Concluído"/>
    <m/>
    <m/>
    <m/>
    <m/>
    <s v=""/>
    <s v=""/>
    <s v=""/>
    <m/>
    <m/>
    <m/>
    <m/>
    <m/>
    <x v="0"/>
    <m/>
  </r>
  <r>
    <x v="0"/>
    <x v="0"/>
    <x v="0"/>
    <s v="PROPERTY_ENERGY_CERTIFICATE"/>
    <s v="PROPERTY_CONTRACT_ID"/>
    <x v="2"/>
    <s v="1. Concluído"/>
    <m/>
    <m/>
    <m/>
    <m/>
    <s v=""/>
    <s v=""/>
    <s v=""/>
    <m/>
    <m/>
    <m/>
    <m/>
    <m/>
    <x v="0"/>
    <m/>
  </r>
  <r>
    <x v="0"/>
    <x v="0"/>
    <x v="0"/>
    <s v="PROPERTY_ENERGY_CERTIFICATE"/>
    <s v="PROPERTY_REFERENCE_CODE"/>
    <x v="2"/>
    <s v="1. Concluído"/>
    <m/>
    <m/>
    <m/>
    <m/>
    <s v=""/>
    <s v=""/>
    <s v=""/>
    <m/>
    <m/>
    <m/>
    <m/>
    <m/>
    <x v="0"/>
    <m/>
  </r>
  <r>
    <x v="0"/>
    <x v="0"/>
    <x v="0"/>
    <s v="PROPERTY_ENERGY_CERTIFICATE"/>
    <s v="LAND_REGISTRY_OFFICE_CODE"/>
    <x v="2"/>
    <s v="1. Concluído"/>
    <m/>
    <m/>
    <m/>
    <m/>
    <s v=""/>
    <s v=""/>
    <s v=""/>
    <m/>
    <m/>
    <m/>
    <m/>
    <m/>
    <x v="0"/>
    <m/>
  </r>
  <r>
    <x v="0"/>
    <x v="0"/>
    <x v="0"/>
    <s v="PROPERTY_ENERGY_CERTIFICATE"/>
    <s v="PROPERTY_IDENTIFICATION_CODE"/>
    <x v="2"/>
    <s v="1. Concluído"/>
    <m/>
    <m/>
    <m/>
    <m/>
    <s v=""/>
    <s v=""/>
    <s v=""/>
    <m/>
    <m/>
    <m/>
    <m/>
    <m/>
    <x v="0"/>
    <m/>
  </r>
  <r>
    <x v="0"/>
    <x v="0"/>
    <x v="0"/>
    <s v="PROPERTY_ENERGY_CERTIFICATE"/>
    <s v="ENERGY_CERTIFICATION_SYSTEM_CODE"/>
    <x v="2"/>
    <s v="1. Concluído"/>
    <m/>
    <m/>
    <m/>
    <m/>
    <s v=""/>
    <s v=""/>
    <s v=""/>
    <m/>
    <m/>
    <m/>
    <m/>
    <m/>
    <x v="0"/>
    <m/>
  </r>
  <r>
    <x v="0"/>
    <x v="0"/>
    <x v="0"/>
    <s v="PROPERTY_ENERGY_CERTIFICATE"/>
    <s v="EPC_ISSUING_DATE"/>
    <x v="2"/>
    <s v="1. Concluído"/>
    <m/>
    <m/>
    <m/>
    <m/>
    <s v=""/>
    <s v=""/>
    <s v=""/>
    <m/>
    <m/>
    <m/>
    <m/>
    <m/>
    <x v="0"/>
    <m/>
  </r>
  <r>
    <x v="0"/>
    <x v="0"/>
    <x v="0"/>
    <s v="PROPERTY_ENERGY_CERTIFICATE"/>
    <s v="EPC_EXPIRATION_DATE"/>
    <x v="2"/>
    <s v="1. Concluído"/>
    <m/>
    <m/>
    <m/>
    <m/>
    <s v=""/>
    <s v=""/>
    <s v=""/>
    <m/>
    <m/>
    <m/>
    <m/>
    <m/>
    <x v="0"/>
    <m/>
  </r>
  <r>
    <x v="0"/>
    <x v="0"/>
    <x v="0"/>
    <s v="PROPERTY_ENERGY_CERTIFICATE"/>
    <s v="ENERGY_CONSUMPTION_TYPE_S_IND"/>
    <x v="2"/>
    <s v="1. Concluído"/>
    <m/>
    <m/>
    <m/>
    <m/>
    <s v=""/>
    <s v=""/>
    <s v=""/>
    <m/>
    <m/>
    <m/>
    <m/>
    <m/>
    <x v="0"/>
    <m/>
  </r>
  <r>
    <x v="0"/>
    <x v="0"/>
    <x v="0"/>
    <s v="PROPERTY_ENERGY_CERTIFICATE"/>
    <s v="ENERGY_CONSUMPTION_TYPE_T_IND"/>
    <x v="2"/>
    <s v="1. Concluído"/>
    <m/>
    <m/>
    <m/>
    <m/>
    <s v=""/>
    <s v=""/>
    <s v=""/>
    <m/>
    <m/>
    <m/>
    <m/>
    <m/>
    <x v="0"/>
    <m/>
  </r>
  <r>
    <x v="0"/>
    <x v="0"/>
    <x v="0"/>
    <s v="PROPERTY_ENERGY_CERTIFICATE"/>
    <s v="ENERGY_EFFICIENCY_IND"/>
    <x v="2"/>
    <s v="1. Concluído"/>
    <m/>
    <m/>
    <m/>
    <m/>
    <s v=""/>
    <s v=""/>
    <s v=""/>
    <m/>
    <m/>
    <m/>
    <m/>
    <m/>
    <x v="0"/>
    <m/>
  </r>
  <r>
    <x v="0"/>
    <x v="0"/>
    <x v="0"/>
    <s v="PROPERTY_ENERGY_CERTIFICATE"/>
    <s v="REN_ENERGY_EFFICIENCY_IND"/>
    <x v="2"/>
    <s v="1. Concluído"/>
    <m/>
    <m/>
    <m/>
    <m/>
    <s v=""/>
    <s v=""/>
    <s v=""/>
    <m/>
    <m/>
    <m/>
    <m/>
    <m/>
    <x v="0"/>
    <m/>
  </r>
  <r>
    <x v="0"/>
    <x v="0"/>
    <x v="0"/>
    <s v="PROPERTY_ENERGY_CERTIFICATE"/>
    <s v="NZEB_IND"/>
    <x v="2"/>
    <s v="1. Concluído"/>
    <m/>
    <m/>
    <m/>
    <m/>
    <s v=""/>
    <s v=""/>
    <s v=""/>
    <m/>
    <m/>
    <m/>
    <m/>
    <m/>
    <x v="0"/>
    <m/>
  </r>
  <r>
    <x v="0"/>
    <x v="0"/>
    <x v="0"/>
    <s v="PROPERTY_ENERGY_CERTIFICATE"/>
    <s v="QUALITY_SCORE"/>
    <x v="2"/>
    <s v="1. Concluído"/>
    <m/>
    <m/>
    <m/>
    <m/>
    <s v=""/>
    <s v=""/>
    <s v=""/>
    <m/>
    <m/>
    <m/>
    <m/>
    <m/>
    <x v="0"/>
    <m/>
  </r>
  <r>
    <x v="0"/>
    <x v="0"/>
    <x v="0"/>
    <s v="PROPERTY_ENERGY_CERTIFICATE"/>
    <s v="SOURCE_CODE"/>
    <x v="2"/>
    <s v="1. Concluído"/>
    <m/>
    <m/>
    <m/>
    <m/>
    <s v=""/>
    <s v=""/>
    <s v=""/>
    <m/>
    <m/>
    <m/>
    <m/>
    <m/>
    <x v="0"/>
    <m/>
  </r>
  <r>
    <x v="0"/>
    <x v="0"/>
    <x v="0"/>
    <s v="PROPERTY_ENERGY_CERTIFICATE"/>
    <s v="DATA_DATE_PART"/>
    <x v="2"/>
    <s v="1. Concluído"/>
    <m/>
    <m/>
    <m/>
    <m/>
    <s v=""/>
    <s v=""/>
    <s v=""/>
    <m/>
    <m/>
    <m/>
    <m/>
    <m/>
    <x v="0"/>
    <m/>
  </r>
  <r>
    <x v="0"/>
    <x v="0"/>
    <x v="0"/>
    <s v="PROPERTY_ENERGY_CERTIFICATE"/>
    <s v="CERTIFICATE_TYPE"/>
    <x v="2"/>
    <s v="1. Concluído"/>
    <m/>
    <m/>
    <m/>
    <m/>
    <s v=""/>
    <s v=""/>
    <s v=""/>
    <m/>
    <m/>
    <m/>
    <m/>
    <m/>
    <x v="0"/>
    <m/>
  </r>
  <r>
    <x v="0"/>
    <x v="0"/>
    <x v="0"/>
    <s v="PROPERTY_ENERGY_CERTIFICATE"/>
    <s v="BUILDING_DOMEST_HOTWATER_VALUE"/>
    <x v="2"/>
    <s v="1. Concluído"/>
    <m/>
    <m/>
    <m/>
    <m/>
    <s v=""/>
    <s v=""/>
    <s v=""/>
    <m/>
    <m/>
    <m/>
    <m/>
    <m/>
    <x v="0"/>
    <m/>
  </r>
  <r>
    <x v="0"/>
    <x v="0"/>
    <x v="0"/>
    <s v="PROPERTY_ENERGY_CERTIFICATE"/>
    <s v="RENEWABLE_DOMEST_HOTWATER_VALUE"/>
    <x v="2"/>
    <s v="1. Concluído"/>
    <m/>
    <m/>
    <m/>
    <m/>
    <s v=""/>
    <s v=""/>
    <s v=""/>
    <m/>
    <m/>
    <m/>
    <m/>
    <m/>
    <x v="0"/>
    <m/>
  </r>
  <r>
    <x v="0"/>
    <x v="0"/>
    <x v="0"/>
    <s v="PROPERTY_ENERGY_CERTIFICATE"/>
    <s v="DOMEST_HOTWATER_REF_VALUE"/>
    <x v="2"/>
    <s v="1. Concluído"/>
    <m/>
    <m/>
    <m/>
    <m/>
    <s v=""/>
    <s v=""/>
    <s v=""/>
    <m/>
    <m/>
    <m/>
    <m/>
    <m/>
    <x v="0"/>
    <m/>
  </r>
  <r>
    <x v="0"/>
    <x v="0"/>
    <x v="0"/>
    <s v="PROPERTY_ENERGY_CERTIFICATE"/>
    <s v="HEIGHT"/>
    <x v="2"/>
    <s v="1. Concluído"/>
    <m/>
    <m/>
    <m/>
    <m/>
    <s v=""/>
    <s v=""/>
    <s v=""/>
    <m/>
    <m/>
    <m/>
    <m/>
    <m/>
    <x v="0"/>
    <m/>
  </r>
  <r>
    <x v="0"/>
    <x v="0"/>
    <x v="0"/>
    <s v="PROPERTY_ENERGY_CERTIFICATE"/>
    <s v="BUILDING_SPACE_HEATING_VALUE"/>
    <x v="2"/>
    <s v="1. Concluído"/>
    <m/>
    <m/>
    <m/>
    <m/>
    <s v=""/>
    <s v=""/>
    <s v=""/>
    <m/>
    <m/>
    <m/>
    <m/>
    <m/>
    <x v="0"/>
    <m/>
  </r>
  <r>
    <x v="0"/>
    <x v="0"/>
    <x v="0"/>
    <s v="PROPERTY_ENERGY_CERTIFICATE"/>
    <s v="SPACE_HEATING_REF_VALUE"/>
    <x v="2"/>
    <s v="1. Concluído"/>
    <m/>
    <m/>
    <m/>
    <m/>
    <s v=""/>
    <s v=""/>
    <s v=""/>
    <m/>
    <m/>
    <m/>
    <m/>
    <m/>
    <x v="0"/>
    <m/>
  </r>
  <r>
    <x v="0"/>
    <x v="0"/>
    <x v="0"/>
    <s v="PROPERTY_ENERGY_CERTIFICATE"/>
    <s v="RENEWABLE_SPACE_HEATING_VALUE"/>
    <x v="2"/>
    <s v="1. Concluído"/>
    <m/>
    <m/>
    <m/>
    <m/>
    <s v=""/>
    <s v=""/>
    <s v=""/>
    <m/>
    <m/>
    <m/>
    <m/>
    <m/>
    <x v="0"/>
    <m/>
  </r>
  <r>
    <x v="0"/>
    <x v="0"/>
    <x v="0"/>
    <s v="PROPERTY_ENERGY_CERTIFICATE"/>
    <s v="BUILDING_SPACE_COOLING_VALUE"/>
    <x v="2"/>
    <s v="1. Concluído"/>
    <m/>
    <m/>
    <m/>
    <m/>
    <s v=""/>
    <s v=""/>
    <s v=""/>
    <m/>
    <m/>
    <m/>
    <m/>
    <m/>
    <x v="0"/>
    <m/>
  </r>
  <r>
    <x v="0"/>
    <x v="0"/>
    <x v="0"/>
    <s v="PROPERTY_ENERGY_CERTIFICATE"/>
    <s v="RENEWABLE_SPACE_COOLING_VALUE"/>
    <x v="2"/>
    <s v="1. Concluído"/>
    <m/>
    <m/>
    <m/>
    <m/>
    <s v=""/>
    <s v=""/>
    <s v=""/>
    <m/>
    <m/>
    <m/>
    <m/>
    <m/>
    <x v="0"/>
    <m/>
  </r>
  <r>
    <x v="0"/>
    <x v="0"/>
    <x v="0"/>
    <s v="PROPERTY_ENERGY_CERTIFICATE"/>
    <s v="SPACE_COOLING_REF_VALUE"/>
    <x v="2"/>
    <s v="1. Concluído"/>
    <m/>
    <m/>
    <m/>
    <m/>
    <s v=""/>
    <s v=""/>
    <s v=""/>
    <m/>
    <m/>
    <m/>
    <m/>
    <m/>
    <x v="0"/>
    <m/>
  </r>
  <r>
    <x v="0"/>
    <x v="0"/>
    <x v="0"/>
    <s v="PROPERTY_ENERGY_CERTIFICATE"/>
    <s v="ENERGY_CLASS_AFTER_MEASUREMENT"/>
    <x v="2"/>
    <s v="1. Concluído"/>
    <m/>
    <m/>
    <m/>
    <m/>
    <s v=""/>
    <s v=""/>
    <s v=""/>
    <m/>
    <m/>
    <m/>
    <m/>
    <m/>
    <x v="0"/>
    <m/>
  </r>
  <r>
    <x v="0"/>
    <x v="0"/>
    <x v="0"/>
    <s v="PROPERTY_ENERGY_CERTIFICATE"/>
    <s v="THERMAL_BEHAVIOUR_ROOF"/>
    <x v="2"/>
    <s v="1. Concluído"/>
    <m/>
    <m/>
    <m/>
    <m/>
    <s v=""/>
    <s v=""/>
    <s v=""/>
    <m/>
    <m/>
    <m/>
    <m/>
    <m/>
    <x v="0"/>
    <m/>
  </r>
  <r>
    <x v="0"/>
    <x v="0"/>
    <x v="0"/>
    <s v="PROPERTY_ENERGY_CERTIFICATE"/>
    <s v="THERMAL_BEHAVIOUR_WINDOWS"/>
    <x v="2"/>
    <s v="1. Concluído"/>
    <m/>
    <m/>
    <m/>
    <m/>
    <s v=""/>
    <s v=""/>
    <s v=""/>
    <m/>
    <m/>
    <m/>
    <m/>
    <m/>
    <x v="0"/>
    <m/>
  </r>
  <r>
    <x v="0"/>
    <x v="0"/>
    <x v="0"/>
    <s v="PROPERTY_ENERGY_CERTIFICATE"/>
    <s v="THERMAL_BEHAVIOUR_WALL"/>
    <x v="2"/>
    <s v="1. Concluído"/>
    <m/>
    <m/>
    <m/>
    <m/>
    <s v=""/>
    <s v=""/>
    <s v=""/>
    <m/>
    <m/>
    <m/>
    <m/>
    <m/>
    <x v="0"/>
    <m/>
  </r>
  <r>
    <x v="0"/>
    <x v="0"/>
    <x v="0"/>
    <s v="PROPERTY_ENERGY_CERTIFICATE"/>
    <s v="THERMAL_BEHAVIOUR_FLOORS"/>
    <x v="2"/>
    <s v="1. Concluído"/>
    <m/>
    <m/>
    <m/>
    <m/>
    <s v=""/>
    <s v=""/>
    <s v=""/>
    <m/>
    <m/>
    <m/>
    <m/>
    <m/>
    <x v="0"/>
    <m/>
  </r>
  <r>
    <x v="0"/>
    <x v="0"/>
    <x v="0"/>
    <s v="PROPERTY_ENERGY_CERTIFICATE"/>
    <s v="THERMAL_BEHAVIOUR_TECH_SYS_VENT"/>
    <x v="2"/>
    <s v="1. Concluído"/>
    <m/>
    <m/>
    <m/>
    <m/>
    <s v=""/>
    <s v=""/>
    <s v=""/>
    <m/>
    <m/>
    <m/>
    <m/>
    <m/>
    <x v="0"/>
    <m/>
  </r>
  <r>
    <x v="0"/>
    <x v="0"/>
    <x v="0"/>
    <s v="PROPERTY_ENERGY_CERTIFICATE"/>
    <s v="TOTAL_INVSTMNT_ESTMTD_VALUE"/>
    <x v="2"/>
    <s v="1. Concluído"/>
    <m/>
    <m/>
    <m/>
    <m/>
    <s v=""/>
    <s v=""/>
    <s v=""/>
    <m/>
    <m/>
    <m/>
    <m/>
    <m/>
    <x v="0"/>
    <m/>
  </r>
  <r>
    <x v="0"/>
    <x v="0"/>
    <x v="0"/>
    <s v="PROPERTY_ENERGY_CERTIFICATE"/>
    <s v="DURATION_SUMMER"/>
    <x v="2"/>
    <s v="1. Concluído"/>
    <m/>
    <m/>
    <m/>
    <m/>
    <s v=""/>
    <s v=""/>
    <s v=""/>
    <m/>
    <m/>
    <m/>
    <m/>
    <m/>
    <x v="0"/>
    <m/>
  </r>
  <r>
    <x v="0"/>
    <x v="0"/>
    <x v="0"/>
    <s v="PROPERTY_ENERGY_CERTIFICATE"/>
    <s v="DURATION_WINTER"/>
    <x v="2"/>
    <s v="1. Concluído"/>
    <m/>
    <m/>
    <m/>
    <m/>
    <s v=""/>
    <s v=""/>
    <s v=""/>
    <m/>
    <m/>
    <m/>
    <m/>
    <m/>
    <x v="0"/>
    <m/>
  </r>
  <r>
    <x v="0"/>
    <x v="0"/>
    <x v="0"/>
    <s v="PROPERTY_ENERGY_CERTIFICATE"/>
    <s v="CARBON_EMISSION_VALUE"/>
    <x v="2"/>
    <s v="1. Concluído"/>
    <m/>
    <m/>
    <m/>
    <m/>
    <s v=""/>
    <s v=""/>
    <s v=""/>
    <m/>
    <m/>
    <m/>
    <m/>
    <m/>
    <x v="0"/>
    <m/>
  </r>
  <r>
    <x v="0"/>
    <x v="0"/>
    <x v="0"/>
    <s v="PROPERTY_ENERGY_CERTIFICATE"/>
    <s v="USEFUL_ENERGY_FANS_REQ_VALUE"/>
    <x v="2"/>
    <s v="1. Concluído"/>
    <m/>
    <m/>
    <m/>
    <m/>
    <s v=""/>
    <s v=""/>
    <s v=""/>
    <m/>
    <m/>
    <m/>
    <m/>
    <m/>
    <x v="0"/>
    <m/>
  </r>
  <r>
    <x v="0"/>
    <x v="0"/>
    <x v="0"/>
    <s v="PROPERTY_ENERGY_CERTIFICATE"/>
    <s v="REN_ENERGY_PRODUCED_OTHER_VALUE"/>
    <x v="2"/>
    <s v="1. Concluído"/>
    <m/>
    <m/>
    <m/>
    <m/>
    <s v=""/>
    <s v=""/>
    <s v=""/>
    <m/>
    <m/>
    <m/>
    <m/>
    <m/>
    <x v="0"/>
    <m/>
  </r>
  <r>
    <x v="0"/>
    <x v="0"/>
    <x v="0"/>
    <s v="PROPERTY_ENERGY_CERTIFICATE"/>
    <s v="REN_ENERGY_PRODUCED_REG_VALUE"/>
    <x v="2"/>
    <s v="1. Concluído"/>
    <m/>
    <m/>
    <m/>
    <m/>
    <s v=""/>
    <s v=""/>
    <s v=""/>
    <m/>
    <m/>
    <m/>
    <m/>
    <m/>
    <x v="0"/>
    <m/>
  </r>
  <r>
    <x v="0"/>
    <x v="0"/>
    <x v="0"/>
    <s v="PROPERTY_ENERGY_CERTIFICATE"/>
    <s v="REN_ENERGY_PRODUCED_VALUE"/>
    <x v="2"/>
    <s v="1. Concluído"/>
    <m/>
    <m/>
    <m/>
    <m/>
    <s v=""/>
    <s v=""/>
    <s v=""/>
    <m/>
    <m/>
    <m/>
    <m/>
    <m/>
    <x v="0"/>
    <m/>
  </r>
  <r>
    <x v="0"/>
    <x v="0"/>
    <x v="0"/>
    <s v="PROPERTY_ENERGY_CERTIFICATE"/>
    <s v="USEFUL_ENERGY_DOM_HOTWATER_VALUE"/>
    <x v="2"/>
    <s v="1. Concluído"/>
    <m/>
    <m/>
    <m/>
    <m/>
    <s v=""/>
    <s v=""/>
    <s v=""/>
    <m/>
    <m/>
    <m/>
    <m/>
    <m/>
    <x v="0"/>
    <m/>
  </r>
  <r>
    <x v="0"/>
    <x v="0"/>
    <x v="0"/>
    <s v="PROPERTY_ENERGY_CERTIFICATE"/>
    <s v="USEFUL_ENERGY_COOLING_VALUE"/>
    <x v="2"/>
    <s v="1. Concluído"/>
    <m/>
    <m/>
    <m/>
    <m/>
    <s v=""/>
    <s v=""/>
    <s v=""/>
    <m/>
    <m/>
    <m/>
    <m/>
    <m/>
    <x v="0"/>
    <m/>
  </r>
  <r>
    <x v="0"/>
    <x v="0"/>
    <x v="0"/>
    <s v="PROPERTY_ENERGY_CERTIFICATE"/>
    <s v="TEMPERATURE_DAY_VALUE"/>
    <x v="2"/>
    <s v="1. Concluído"/>
    <m/>
    <m/>
    <m/>
    <m/>
    <s v=""/>
    <s v=""/>
    <s v=""/>
    <m/>
    <m/>
    <m/>
    <m/>
    <m/>
    <x v="0"/>
    <m/>
  </r>
  <r>
    <x v="0"/>
    <x v="0"/>
    <x v="0"/>
    <s v="PROPERTY_ENERGY_CERTIFICATE"/>
    <s v="PRIMARY_ENERGY_REQ_VALUE"/>
    <x v="2"/>
    <s v="1. Concluído"/>
    <m/>
    <m/>
    <m/>
    <m/>
    <s v=""/>
    <s v=""/>
    <s v=""/>
    <m/>
    <m/>
    <m/>
    <m/>
    <m/>
    <x v="0"/>
    <m/>
  </r>
  <r>
    <x v="0"/>
    <x v="0"/>
    <x v="0"/>
    <s v="PROPERTY_ENERGY_CERTIFICATE"/>
    <s v="USEFUL_ENERGY_HEATING_REQ_VALUE"/>
    <x v="2"/>
    <s v="1. Concluído"/>
    <m/>
    <m/>
    <m/>
    <m/>
    <s v=""/>
    <s v=""/>
    <s v=""/>
    <m/>
    <m/>
    <m/>
    <m/>
    <m/>
    <x v="0"/>
    <m/>
  </r>
  <r>
    <x v="0"/>
    <x v="0"/>
    <x v="0"/>
    <s v="PROPERTY_ENERGY_CERTIFICATE"/>
    <s v="PNL_WINTER_WALLS_DOORS_VALUE"/>
    <x v="2"/>
    <s v="1. Concluído"/>
    <m/>
    <m/>
    <m/>
    <m/>
    <s v=""/>
    <s v=""/>
    <s v=""/>
    <m/>
    <m/>
    <m/>
    <m/>
    <m/>
    <x v="0"/>
    <m/>
  </r>
  <r>
    <x v="0"/>
    <x v="0"/>
    <x v="0"/>
    <s v="PROPERTY_ENERGY_CERTIFICATE"/>
    <s v="PNL_WINTER_FLOORS_VALUE"/>
    <x v="2"/>
    <s v="1. Concluído"/>
    <m/>
    <m/>
    <m/>
    <m/>
    <s v=""/>
    <s v=""/>
    <s v=""/>
    <m/>
    <m/>
    <m/>
    <m/>
    <m/>
    <x v="0"/>
    <m/>
  </r>
  <r>
    <x v="0"/>
    <x v="0"/>
    <x v="0"/>
    <s v="PROPERTY_ENERGY_CERTIFICATE"/>
    <s v="PNL_WINTER_ROOF_VALUE"/>
    <x v="2"/>
    <s v="1. Concluído"/>
    <m/>
    <m/>
    <m/>
    <m/>
    <s v=""/>
    <s v=""/>
    <s v=""/>
    <m/>
    <m/>
    <m/>
    <m/>
    <m/>
    <x v="0"/>
    <m/>
  </r>
  <r>
    <x v="0"/>
    <x v="0"/>
    <x v="0"/>
    <s v="PROPERTY_ENERGY_CERTIFICATE"/>
    <s v="PNL_WINTER_WINDOWS_VALUE"/>
    <x v="2"/>
    <s v="1. Concluído"/>
    <m/>
    <m/>
    <m/>
    <m/>
    <s v=""/>
    <s v=""/>
    <s v=""/>
    <m/>
    <m/>
    <m/>
    <m/>
    <m/>
    <x v="0"/>
    <m/>
  </r>
  <r>
    <x v="0"/>
    <x v="0"/>
    <x v="0"/>
    <s v="PROPERTY_ENERGY_CERTIFICATE"/>
    <s v="PNL_WINTER_REF_VALUE"/>
    <x v="2"/>
    <s v="1. Concluído"/>
    <m/>
    <m/>
    <m/>
    <m/>
    <s v=""/>
    <s v=""/>
    <s v=""/>
    <m/>
    <m/>
    <m/>
    <m/>
    <m/>
    <x v="0"/>
    <m/>
  </r>
  <r>
    <x v="0"/>
    <x v="0"/>
    <x v="0"/>
    <s v="PROPERTY_ENERGY_CERTIFICATE"/>
    <s v="PNL_WINTER_FANS_VALUE"/>
    <x v="2"/>
    <s v="1. Concluído"/>
    <m/>
    <m/>
    <m/>
    <m/>
    <s v=""/>
    <s v=""/>
    <s v=""/>
    <m/>
    <m/>
    <m/>
    <m/>
    <m/>
    <x v="0"/>
    <m/>
  </r>
  <r>
    <x v="0"/>
    <x v="0"/>
    <x v="0"/>
    <s v="PROPERTY_ENERGY_CERTIFICATE"/>
    <s v="PNL_SUMMER_ROOF_VALUE"/>
    <x v="2"/>
    <s v="1. Concluído"/>
    <m/>
    <m/>
    <m/>
    <m/>
    <s v=""/>
    <s v=""/>
    <s v=""/>
    <m/>
    <m/>
    <m/>
    <m/>
    <m/>
    <x v="0"/>
    <m/>
  </r>
  <r>
    <x v="0"/>
    <x v="0"/>
    <x v="0"/>
    <s v="PROPERTY_ENERGY_CERTIFICATE"/>
    <s v="PNL_SUMMER_WINDOWS_VALUE"/>
    <x v="2"/>
    <s v="1. Concluído"/>
    <m/>
    <m/>
    <m/>
    <m/>
    <s v=""/>
    <s v=""/>
    <s v=""/>
    <m/>
    <m/>
    <m/>
    <m/>
    <m/>
    <x v="0"/>
    <m/>
  </r>
  <r>
    <x v="0"/>
    <x v="0"/>
    <x v="0"/>
    <s v="PROPERTY_ENERGY_CERTIFICATE"/>
    <s v="PNL_SUMMER_WALLS_DOORS_VALUE"/>
    <x v="2"/>
    <s v="1. Concluído"/>
    <m/>
    <m/>
    <m/>
    <m/>
    <s v=""/>
    <s v=""/>
    <s v=""/>
    <m/>
    <m/>
    <m/>
    <m/>
    <m/>
    <x v="0"/>
    <m/>
  </r>
  <r>
    <x v="0"/>
    <x v="0"/>
    <x v="0"/>
    <s v="PROPERTY_ENERGY_CERTIFICATE"/>
    <s v="PNL_SUMMER_REF_VALUE"/>
    <x v="2"/>
    <s v="1. Concluído"/>
    <m/>
    <m/>
    <m/>
    <m/>
    <s v=""/>
    <s v=""/>
    <s v=""/>
    <m/>
    <m/>
    <m/>
    <m/>
    <m/>
    <x v="0"/>
    <m/>
  </r>
  <r>
    <x v="0"/>
    <x v="0"/>
    <x v="0"/>
    <s v="PROPERTY_ENERGY_CERTIFICATE"/>
    <s v="INVOICE_RED_ANNUAL_ESTMTD_VALUE"/>
    <x v="2"/>
    <s v="1. Concluído"/>
    <m/>
    <m/>
    <m/>
    <m/>
    <s v=""/>
    <s v=""/>
    <s v=""/>
    <m/>
    <m/>
    <m/>
    <m/>
    <m/>
    <x v="0"/>
    <m/>
  </r>
  <r>
    <x v="0"/>
    <x v="0"/>
    <x v="0"/>
    <s v="PROPERTY_ENERGY_CERTIFICATE"/>
    <s v="TEMPERATURE_OUTDOOR_AVG_VALUE"/>
    <x v="2"/>
    <s v="1. Concluído"/>
    <m/>
    <m/>
    <m/>
    <m/>
    <s v=""/>
    <s v=""/>
    <s v=""/>
    <m/>
    <m/>
    <m/>
    <m/>
    <m/>
    <x v="0"/>
    <m/>
  </r>
  <r>
    <x v="0"/>
    <x v="0"/>
    <x v="0"/>
    <s v="PROPERTY_ENERGY_CERTIFICATE"/>
    <s v="CLIMATE_ZONE_WINTER"/>
    <x v="2"/>
    <s v="1. Concluído"/>
    <m/>
    <m/>
    <m/>
    <m/>
    <s v=""/>
    <s v=""/>
    <s v=""/>
    <m/>
    <m/>
    <m/>
    <m/>
    <m/>
    <x v="0"/>
    <m/>
  </r>
  <r>
    <x v="0"/>
    <x v="0"/>
    <x v="0"/>
    <s v="PROPERTY_ENERGY_CERTIFICATE"/>
    <s v="NET_FLOOR_AREA"/>
    <x v="2"/>
    <s v="1. Concluído"/>
    <m/>
    <m/>
    <m/>
    <m/>
    <s v=""/>
    <s v=""/>
    <s v=""/>
    <m/>
    <m/>
    <m/>
    <m/>
    <m/>
    <x v="0"/>
    <m/>
  </r>
  <r>
    <x v="0"/>
    <x v="0"/>
    <x v="0"/>
    <s v="PROPERTY_ENERGY_CERTIFICATE"/>
    <s v="CADASTRAL_REGISTER_CODE"/>
    <x v="2"/>
    <s v="1. Concluído"/>
    <m/>
    <m/>
    <m/>
    <m/>
    <s v=""/>
    <s v=""/>
    <s v=""/>
    <m/>
    <m/>
    <m/>
    <m/>
    <m/>
    <x v="0"/>
    <m/>
  </r>
  <r>
    <x v="0"/>
    <x v="0"/>
    <x v="0"/>
    <s v="PROPERTY_ENERGY_CERTIFICATE"/>
    <s v="DISTRICT_MUNICIP_PARISH_CODE"/>
    <x v="2"/>
    <s v="1. Concluído"/>
    <m/>
    <m/>
    <m/>
    <m/>
    <s v=""/>
    <s v=""/>
    <s v=""/>
    <m/>
    <m/>
    <m/>
    <m/>
    <m/>
    <x v="0"/>
    <m/>
  </r>
  <r>
    <x v="0"/>
    <x v="0"/>
    <x v="0"/>
    <s v="PROPERTY_ENERGY_CERTIFICATE"/>
    <s v="PROPERTY_PURPOSE_CODE"/>
    <x v="2"/>
    <s v="1. Concluído"/>
    <m/>
    <m/>
    <m/>
    <m/>
    <s v=""/>
    <s v=""/>
    <s v=""/>
    <m/>
    <m/>
    <m/>
    <m/>
    <m/>
    <x v="0"/>
    <m/>
  </r>
  <r>
    <x v="0"/>
    <x v="0"/>
    <x v="0"/>
    <s v="PROPERTY_ENERGY_CERTIFICATE"/>
    <s v="ADDRESS_CODE"/>
    <x v="2"/>
    <s v="1. Concluído"/>
    <m/>
    <m/>
    <m/>
    <m/>
    <s v=""/>
    <s v=""/>
    <s v=""/>
    <m/>
    <m/>
    <m/>
    <m/>
    <m/>
    <x v="0"/>
    <m/>
  </r>
  <r>
    <x v="0"/>
    <x v="0"/>
    <x v="0"/>
    <s v="PROPERTY_ENERGY_CERTIFICATE"/>
    <s v="FLOOR_NUMBER"/>
    <x v="2"/>
    <s v="1. Concluído"/>
    <m/>
    <m/>
    <m/>
    <m/>
    <s v=""/>
    <s v=""/>
    <s v=""/>
    <m/>
    <m/>
    <m/>
    <m/>
    <m/>
    <x v="0"/>
    <m/>
  </r>
  <r>
    <x v="0"/>
    <x v="0"/>
    <x v="0"/>
    <s v="PROPERTY_ENERGY_CERTIFICATE"/>
    <s v="LOCALITY"/>
    <x v="2"/>
    <s v="1. Concluído"/>
    <m/>
    <m/>
    <m/>
    <m/>
    <s v=""/>
    <s v=""/>
    <s v=""/>
    <m/>
    <m/>
    <m/>
    <m/>
    <m/>
    <x v="0"/>
    <m/>
  </r>
  <r>
    <x v="0"/>
    <x v="0"/>
    <x v="0"/>
    <s v="PROPERTY_ENERGY_CERTIFICATE"/>
    <s v="CLIMATE_ZONE_SUMMER"/>
    <x v="2"/>
    <s v="1. Concluído"/>
    <m/>
    <m/>
    <m/>
    <m/>
    <s v=""/>
    <s v=""/>
    <s v=""/>
    <m/>
    <m/>
    <m/>
    <m/>
    <m/>
    <x v="0"/>
    <m/>
  </r>
  <r>
    <x v="0"/>
    <x v="0"/>
    <x v="0"/>
    <s v="PROPERTY_ENERGY_CERTIFICATE"/>
    <s v="GPS_LATITUDE"/>
    <x v="2"/>
    <s v="1. Concluído"/>
    <m/>
    <m/>
    <m/>
    <m/>
    <s v=""/>
    <s v=""/>
    <s v=""/>
    <m/>
    <m/>
    <m/>
    <m/>
    <m/>
    <x v="0"/>
    <m/>
  </r>
  <r>
    <x v="0"/>
    <x v="0"/>
    <x v="0"/>
    <s v="PROPERTY_ENERGY_CERTIFICATE"/>
    <s v="GPS_LONGITUDE"/>
    <x v="2"/>
    <s v="1. Concluído"/>
    <m/>
    <m/>
    <m/>
    <m/>
    <s v=""/>
    <s v=""/>
    <s v=""/>
    <m/>
    <m/>
    <m/>
    <m/>
    <m/>
    <x v="0"/>
    <m/>
  </r>
  <r>
    <x v="0"/>
    <x v="4"/>
    <x v="0"/>
    <s v="modesg_param_sfics_taxon_europeia"/>
    <s v="ordem"/>
    <x v="0"/>
    <s v="6. Em implementação "/>
    <m/>
    <m/>
    <m/>
    <m/>
    <m/>
    <m/>
    <m/>
    <m/>
    <m/>
    <m/>
    <m/>
    <m/>
    <x v="0"/>
    <m/>
  </r>
  <r>
    <x v="0"/>
    <x v="4"/>
    <x v="0"/>
    <s v="modesg_param_sfics_taxon_europeia"/>
    <s v="nome_purpose_esg"/>
    <x v="5"/>
    <s v="0. Cancelado"/>
    <m/>
    <m/>
    <m/>
    <m/>
    <m/>
    <m/>
    <m/>
    <m/>
    <m/>
    <m/>
    <m/>
    <m/>
    <x v="0"/>
    <m/>
  </r>
  <r>
    <x v="0"/>
    <x v="4"/>
    <x v="0"/>
    <s v="modesg_param_sfics_taxon_europeia"/>
    <s v="dominio"/>
    <x v="0"/>
    <s v="6. Em implementação "/>
    <m/>
    <m/>
    <m/>
    <m/>
    <m/>
    <m/>
    <m/>
    <m/>
    <m/>
    <m/>
    <m/>
    <m/>
    <x v="0"/>
    <m/>
  </r>
  <r>
    <x v="0"/>
    <x v="4"/>
    <x v="1"/>
    <s v="modesg_inp_emss_vcls"/>
    <s v="n.a."/>
    <x v="2"/>
    <s v="1. Concluído"/>
    <m/>
    <m/>
    <m/>
    <m/>
    <s v=""/>
    <s v=""/>
    <s v=""/>
    <m/>
    <m/>
    <m/>
    <m/>
    <m/>
    <x v="0"/>
    <m/>
  </r>
  <r>
    <x v="0"/>
    <x v="4"/>
    <x v="1"/>
    <s v="modesg_inp_km_medios_emss_vcls"/>
    <s v="n.a."/>
    <x v="2"/>
    <s v="1. Concluído"/>
    <m/>
    <m/>
    <m/>
    <m/>
    <s v=""/>
    <s v=""/>
    <s v=""/>
    <m/>
    <m/>
    <m/>
    <m/>
    <m/>
    <x v="0"/>
    <m/>
  </r>
  <r>
    <x v="0"/>
    <x v="4"/>
    <x v="1"/>
    <s v="modesg_inp_empr_excl_paris"/>
    <s v="n.a."/>
    <x v="2"/>
    <s v="1. Concluído"/>
    <m/>
    <m/>
    <m/>
    <m/>
    <s v=""/>
    <s v=""/>
    <s v=""/>
    <m/>
    <m/>
    <m/>
    <m/>
    <m/>
    <x v="0"/>
    <m/>
  </r>
  <r>
    <x v="0"/>
    <x v="4"/>
    <x v="1"/>
    <s v="modesg_inp_nfrd_alinhamento_tax"/>
    <s v="n.a."/>
    <x v="2"/>
    <s v="1. Concluído"/>
    <m/>
    <m/>
    <m/>
    <m/>
    <s v=""/>
    <s v=""/>
    <s v=""/>
    <m/>
    <m/>
    <m/>
    <m/>
    <m/>
    <x v="0"/>
    <m/>
  </r>
  <r>
    <x v="0"/>
    <x v="4"/>
    <x v="1"/>
    <s v="modesg_inp_risco_fisico"/>
    <s v="n.a."/>
    <x v="2"/>
    <s v="1. Concluído"/>
    <m/>
    <m/>
    <m/>
    <m/>
    <s v=""/>
    <s v=""/>
    <s v=""/>
    <m/>
    <m/>
    <m/>
    <m/>
    <m/>
    <x v="0"/>
    <m/>
  </r>
  <r>
    <x v="0"/>
    <x v="4"/>
    <x v="1"/>
    <s v="modesg_inp_emss_scib"/>
    <s v="n.a."/>
    <x v="2"/>
    <s v="1. Concluído"/>
    <m/>
    <m/>
    <m/>
    <m/>
    <s v=""/>
    <s v=""/>
    <s v=""/>
    <m/>
    <m/>
    <m/>
    <m/>
    <m/>
    <x v="0"/>
    <m/>
  </r>
  <r>
    <x v="0"/>
    <x v="4"/>
    <x v="1"/>
    <s v="modesg_inp_emss_nace"/>
    <s v="n.a."/>
    <x v="2"/>
    <s v="1. Concluído"/>
    <m/>
    <m/>
    <m/>
    <s v="Package X"/>
    <s v=""/>
    <s v=""/>
    <s v=""/>
    <m/>
    <m/>
    <m/>
    <m/>
    <m/>
    <x v="0"/>
    <m/>
  </r>
  <r>
    <x v="0"/>
    <x v="4"/>
    <x v="1"/>
    <s v="modesg_inp_emss_bens_imoveis"/>
    <s v="n.a."/>
    <x v="2"/>
    <s v="1. Concluído"/>
    <m/>
    <m/>
    <m/>
    <m/>
    <s v=""/>
    <s v=""/>
    <s v=""/>
    <m/>
    <m/>
    <m/>
    <m/>
    <m/>
    <x v="0"/>
    <m/>
  </r>
  <r>
    <x v="0"/>
    <x v="4"/>
    <x v="0"/>
    <s v="modesg_inp_emss_vcls"/>
    <s v="ref_date"/>
    <x v="2"/>
    <s v="1. Concluído"/>
    <m/>
    <m/>
    <m/>
    <m/>
    <s v=""/>
    <s v=""/>
    <s v=""/>
    <m/>
    <m/>
    <m/>
    <m/>
    <m/>
    <x v="0"/>
    <m/>
  </r>
  <r>
    <x v="0"/>
    <x v="4"/>
    <x v="0"/>
    <s v="modesg_inp_emss_vcls"/>
    <s v="nome_regiao"/>
    <x v="2"/>
    <s v="1. Concluído"/>
    <m/>
    <m/>
    <m/>
    <m/>
    <s v=""/>
    <s v=""/>
    <s v=""/>
    <m/>
    <m/>
    <m/>
    <m/>
    <m/>
    <x v="0"/>
    <m/>
  </r>
  <r>
    <x v="0"/>
    <x v="4"/>
    <x v="0"/>
    <s v="modesg_inp_emss_vcls"/>
    <s v="nome_pais"/>
    <x v="2"/>
    <s v="1. Concluído"/>
    <m/>
    <m/>
    <m/>
    <m/>
    <s v=""/>
    <s v=""/>
    <s v=""/>
    <m/>
    <m/>
    <m/>
    <m/>
    <m/>
    <x v="0"/>
    <m/>
  </r>
  <r>
    <x v="0"/>
    <x v="4"/>
    <x v="0"/>
    <s v="modesg_inp_emss_vcls"/>
    <s v="nome_estado"/>
    <x v="2"/>
    <s v="1. Concluído"/>
    <m/>
    <m/>
    <m/>
    <m/>
    <s v=""/>
    <s v=""/>
    <s v=""/>
    <m/>
    <m/>
    <m/>
    <m/>
    <m/>
    <x v="0"/>
    <m/>
  </r>
  <r>
    <x v="0"/>
    <x v="4"/>
    <x v="0"/>
    <s v="modesg_inp_emss_vcls"/>
    <s v="tipo_veiculo"/>
    <x v="2"/>
    <s v="1. Concluído"/>
    <m/>
    <m/>
    <m/>
    <m/>
    <s v=""/>
    <s v=""/>
    <s v=""/>
    <m/>
    <m/>
    <m/>
    <m/>
    <m/>
    <x v="0"/>
    <m/>
  </r>
  <r>
    <x v="0"/>
    <x v="4"/>
    <x v="0"/>
    <s v="modesg_inp_emss_vcls"/>
    <s v="tipo_motor"/>
    <x v="2"/>
    <s v="1. Concluído"/>
    <m/>
    <m/>
    <m/>
    <m/>
    <s v=""/>
    <s v=""/>
    <s v=""/>
    <m/>
    <m/>
    <m/>
    <m/>
    <m/>
    <x v="0"/>
    <m/>
  </r>
  <r>
    <x v="0"/>
    <x v="4"/>
    <x v="0"/>
    <s v="modesg_inp_emss_vcls"/>
    <s v="marca"/>
    <x v="2"/>
    <s v="1. Concluído"/>
    <m/>
    <m/>
    <m/>
    <m/>
    <s v=""/>
    <s v=""/>
    <s v=""/>
    <m/>
    <m/>
    <m/>
    <m/>
    <m/>
    <x v="0"/>
    <m/>
  </r>
  <r>
    <x v="0"/>
    <x v="4"/>
    <x v="0"/>
    <s v="modesg_inp_emss_vcls"/>
    <s v="modelo"/>
    <x v="2"/>
    <s v="1. Concluído"/>
    <m/>
    <m/>
    <m/>
    <m/>
    <s v=""/>
    <s v=""/>
    <s v=""/>
    <m/>
    <m/>
    <m/>
    <m/>
    <m/>
    <x v="0"/>
    <m/>
  </r>
  <r>
    <x v="0"/>
    <x v="4"/>
    <x v="0"/>
    <s v="modesg_inp_emss_vcls"/>
    <s v="subgrupo"/>
    <x v="2"/>
    <s v="1. Concluído"/>
    <m/>
    <m/>
    <m/>
    <m/>
    <s v=""/>
    <s v=""/>
    <s v=""/>
    <m/>
    <m/>
    <m/>
    <m/>
    <m/>
    <x v="0"/>
    <m/>
  </r>
  <r>
    <x v="0"/>
    <x v="4"/>
    <x v="0"/>
    <s v="modesg_inp_emss_vcls"/>
    <s v="nome_unidade_funcional"/>
    <x v="2"/>
    <s v="1. Concluído"/>
    <m/>
    <m/>
    <m/>
    <m/>
    <s v=""/>
    <s v=""/>
    <s v=""/>
    <m/>
    <m/>
    <m/>
    <m/>
    <m/>
    <x v="0"/>
    <m/>
  </r>
  <r>
    <x v="0"/>
    <x v="4"/>
    <x v="0"/>
    <s v="modesg_inp_emss_vcls"/>
    <s v="unidade_funcional"/>
    <x v="2"/>
    <s v="1. Concluído"/>
    <m/>
    <m/>
    <m/>
    <m/>
    <s v=""/>
    <s v=""/>
    <s v=""/>
    <m/>
    <m/>
    <m/>
    <m/>
    <m/>
    <x v="0"/>
    <m/>
  </r>
  <r>
    <x v="0"/>
    <x v="4"/>
    <x v="0"/>
    <s v="modesg_inp_emss_vcls"/>
    <s v="nome_fator_emissao"/>
    <x v="2"/>
    <s v="1. Concluído"/>
    <m/>
    <m/>
    <m/>
    <m/>
    <s v=""/>
    <s v=""/>
    <s v=""/>
    <m/>
    <m/>
    <m/>
    <m/>
    <m/>
    <x v="0"/>
    <m/>
  </r>
  <r>
    <x v="0"/>
    <x v="4"/>
    <x v="0"/>
    <s v="modesg_inp_emss_vcls"/>
    <s v="unidade_fator_de_emissao"/>
    <x v="2"/>
    <s v="1. Concluído"/>
    <m/>
    <m/>
    <m/>
    <m/>
    <s v=""/>
    <s v=""/>
    <s v=""/>
    <m/>
    <m/>
    <m/>
    <m/>
    <m/>
    <x v="0"/>
    <m/>
  </r>
  <r>
    <x v="0"/>
    <x v="4"/>
    <x v="0"/>
    <s v="modesg_inp_emss_vcls"/>
    <s v="score_qualidade"/>
    <x v="2"/>
    <s v="1. Concluído"/>
    <m/>
    <m/>
    <m/>
    <m/>
    <s v=""/>
    <s v=""/>
    <s v=""/>
    <m/>
    <m/>
    <m/>
    <m/>
    <m/>
    <x v="0"/>
    <m/>
  </r>
  <r>
    <x v="0"/>
    <x v="4"/>
    <x v="0"/>
    <s v="modesg_inp_emss_vcls"/>
    <s v="scp1_ftr_emss"/>
    <x v="2"/>
    <s v="1. Concluído"/>
    <m/>
    <m/>
    <m/>
    <m/>
    <s v=""/>
    <s v=""/>
    <s v=""/>
    <m/>
    <m/>
    <m/>
    <m/>
    <m/>
    <x v="0"/>
    <m/>
  </r>
  <r>
    <x v="0"/>
    <x v="4"/>
    <x v="0"/>
    <s v="modesg_inp_emss_vcls"/>
    <s v="scp2_ftr_emss"/>
    <x v="2"/>
    <s v="1. Concluído"/>
    <m/>
    <m/>
    <m/>
    <m/>
    <s v=""/>
    <s v=""/>
    <s v=""/>
    <m/>
    <m/>
    <m/>
    <m/>
    <m/>
    <x v="0"/>
    <m/>
  </r>
  <r>
    <x v="0"/>
    <x v="4"/>
    <x v="0"/>
    <s v="modesg_inp_emss_vcls"/>
    <s v="scp3_ftr_emss"/>
    <x v="2"/>
    <s v="1. Concluído"/>
    <m/>
    <m/>
    <m/>
    <m/>
    <s v=""/>
    <s v=""/>
    <s v=""/>
    <m/>
    <m/>
    <m/>
    <m/>
    <m/>
    <x v="0"/>
    <m/>
  </r>
  <r>
    <x v="0"/>
    <x v="4"/>
    <x v="0"/>
    <s v="modesg_inp_km_medios_emss_vcls"/>
    <s v="ref_date"/>
    <x v="2"/>
    <s v="1. Concluído"/>
    <m/>
    <m/>
    <m/>
    <m/>
    <s v=""/>
    <s v=""/>
    <s v=""/>
    <m/>
    <m/>
    <m/>
    <m/>
    <m/>
    <x v="0"/>
    <m/>
  </r>
  <r>
    <x v="0"/>
    <x v="4"/>
    <x v="0"/>
    <s v="modesg_inp_km_medios_emss_vcls"/>
    <s v="nome_pais"/>
    <x v="2"/>
    <s v="1. Concluído"/>
    <m/>
    <m/>
    <m/>
    <m/>
    <s v=""/>
    <s v=""/>
    <s v=""/>
    <m/>
    <m/>
    <m/>
    <m/>
    <m/>
    <x v="0"/>
    <m/>
  </r>
  <r>
    <x v="0"/>
    <x v="4"/>
    <x v="0"/>
    <s v="modesg_inp_km_medios_emss_vcls"/>
    <s v="tipo_vcl"/>
    <x v="2"/>
    <s v="1. Concluído"/>
    <m/>
    <m/>
    <m/>
    <m/>
    <s v=""/>
    <s v=""/>
    <s v=""/>
    <m/>
    <m/>
    <m/>
    <m/>
    <m/>
    <x v="0"/>
    <m/>
  </r>
  <r>
    <x v="0"/>
    <x v="4"/>
    <x v="0"/>
    <s v="modesg_inp_km_medios_emss_vcls"/>
    <s v="tipo_motor"/>
    <x v="2"/>
    <s v="1. Concluído"/>
    <m/>
    <m/>
    <m/>
    <m/>
    <s v=""/>
    <s v=""/>
    <s v=""/>
    <m/>
    <m/>
    <m/>
    <m/>
    <m/>
    <x v="0"/>
    <m/>
  </r>
  <r>
    <x v="0"/>
    <x v="4"/>
    <x v="0"/>
    <s v="modesg_inp_km_medios_emss_vcls"/>
    <s v="subgrupo"/>
    <x v="2"/>
    <s v="1. Concluído"/>
    <m/>
    <m/>
    <m/>
    <m/>
    <s v=""/>
    <s v=""/>
    <s v=""/>
    <m/>
    <m/>
    <m/>
    <m/>
    <m/>
    <x v="0"/>
    <m/>
  </r>
  <r>
    <x v="0"/>
    <x v="4"/>
    <x v="0"/>
    <s v="modesg_inp_km_medios_emss_vcls"/>
    <s v="media_km"/>
    <x v="2"/>
    <s v="1. Concluído"/>
    <m/>
    <m/>
    <m/>
    <m/>
    <s v=""/>
    <s v=""/>
    <s v=""/>
    <m/>
    <m/>
    <m/>
    <m/>
    <m/>
    <x v="0"/>
    <m/>
  </r>
  <r>
    <x v="0"/>
    <x v="4"/>
    <x v="0"/>
    <s v="modesg_inp_empr_excl_paris"/>
    <s v="ref_date"/>
    <x v="2"/>
    <s v="1. Concluído"/>
    <m/>
    <m/>
    <m/>
    <m/>
    <s v=""/>
    <s v=""/>
    <s v=""/>
    <m/>
    <m/>
    <m/>
    <m/>
    <m/>
    <x v="0"/>
    <m/>
  </r>
  <r>
    <x v="0"/>
    <x v="4"/>
    <x v="0"/>
    <s v="modesg_inp_empr_excl_paris"/>
    <s v="isin"/>
    <x v="2"/>
    <s v="1. Concluído"/>
    <m/>
    <m/>
    <m/>
    <m/>
    <s v=""/>
    <s v=""/>
    <s v=""/>
    <m/>
    <m/>
    <m/>
    <m/>
    <m/>
    <x v="0"/>
    <m/>
  </r>
  <r>
    <x v="0"/>
    <x v="4"/>
    <x v="0"/>
    <s v="modesg_inp_empr_excl_paris"/>
    <s v="clei"/>
    <x v="2"/>
    <s v="1. Concluído"/>
    <m/>
    <m/>
    <m/>
    <m/>
    <s v=""/>
    <s v=""/>
    <s v=""/>
    <m/>
    <m/>
    <m/>
    <m/>
    <m/>
    <x v="0"/>
    <m/>
  </r>
  <r>
    <x v="0"/>
    <x v="4"/>
    <x v="0"/>
    <s v="modesg_inp_empr_excl_paris"/>
    <s v="ccli_kgl"/>
    <x v="2"/>
    <s v="1. Concluído"/>
    <m/>
    <m/>
    <m/>
    <m/>
    <s v=""/>
    <s v=""/>
    <s v=""/>
    <m/>
    <m/>
    <m/>
    <m/>
    <m/>
    <x v="0"/>
    <m/>
  </r>
  <r>
    <x v="0"/>
    <x v="4"/>
    <x v="0"/>
    <s v="modesg_inp_empr_excl_paris"/>
    <s v="nome_entidade"/>
    <x v="2"/>
    <s v="1. Concluído"/>
    <m/>
    <m/>
    <m/>
    <m/>
    <s v=""/>
    <s v=""/>
    <s v=""/>
    <m/>
    <m/>
    <m/>
    <m/>
    <m/>
    <x v="0"/>
    <m/>
  </r>
  <r>
    <x v="0"/>
    <x v="4"/>
    <x v="0"/>
    <s v="modesg_inp_empr_excl_paris"/>
    <s v="flg_scib"/>
    <x v="2"/>
    <s v="1. Concluído"/>
    <m/>
    <m/>
    <m/>
    <m/>
    <s v=""/>
    <s v=""/>
    <s v=""/>
    <m/>
    <m/>
    <m/>
    <m/>
    <m/>
    <x v="0"/>
    <m/>
  </r>
  <r>
    <x v="0"/>
    <x v="4"/>
    <x v="0"/>
    <s v="modesg_inp_empr_excl_paris"/>
    <s v="nome_pais"/>
    <x v="2"/>
    <s v="1. Concluído"/>
    <m/>
    <m/>
    <m/>
    <m/>
    <s v=""/>
    <s v=""/>
    <s v=""/>
    <m/>
    <m/>
    <m/>
    <m/>
    <m/>
    <x v="0"/>
    <m/>
  </r>
  <r>
    <x v="0"/>
    <x v="4"/>
    <x v="0"/>
    <s v="modesg_inp_nfrd_alinhamento_tax"/>
    <s v="ref_date"/>
    <x v="2"/>
    <s v="1. Concluído"/>
    <m/>
    <m/>
    <m/>
    <m/>
    <s v=""/>
    <s v=""/>
    <s v=""/>
    <m/>
    <m/>
    <m/>
    <m/>
    <m/>
    <x v="0"/>
    <m/>
  </r>
  <r>
    <x v="0"/>
    <x v="4"/>
    <x v="0"/>
    <s v="modesg_inp_nfrd_alinhamento_tax"/>
    <s v="ccli_kgl"/>
    <x v="2"/>
    <s v="1. Concluído"/>
    <m/>
    <m/>
    <m/>
    <m/>
    <s v=""/>
    <s v=""/>
    <s v=""/>
    <m/>
    <m/>
    <m/>
    <m/>
    <m/>
    <x v="0"/>
    <m/>
  </r>
  <r>
    <x v="0"/>
    <x v="4"/>
    <x v="0"/>
    <s v="modesg_inp_nfrd_alinhamento_tax"/>
    <s v="clei"/>
    <x v="2"/>
    <s v="1. Concluído"/>
    <m/>
    <m/>
    <m/>
    <m/>
    <s v=""/>
    <s v=""/>
    <s v=""/>
    <m/>
    <m/>
    <m/>
    <m/>
    <m/>
    <x v="0"/>
    <m/>
  </r>
  <r>
    <x v="0"/>
    <x v="4"/>
    <x v="0"/>
    <s v="modesg_inp_nfrd_alinhamento_tax"/>
    <s v="perm_id"/>
    <x v="2"/>
    <s v="1. Concluído"/>
    <m/>
    <m/>
    <m/>
    <m/>
    <s v=""/>
    <s v=""/>
    <s v=""/>
    <m/>
    <m/>
    <m/>
    <m/>
    <m/>
    <x v="0"/>
    <m/>
  </r>
  <r>
    <x v="0"/>
    <x v="4"/>
    <x v="0"/>
    <s v="modesg_inp_nfrd_alinhamento_tax"/>
    <s v="nome_entidade"/>
    <x v="2"/>
    <s v="1. Concluído"/>
    <m/>
    <m/>
    <m/>
    <m/>
    <s v=""/>
    <s v=""/>
    <s v=""/>
    <m/>
    <m/>
    <m/>
    <m/>
    <m/>
    <x v="0"/>
    <m/>
  </r>
  <r>
    <x v="0"/>
    <x v="4"/>
    <x v="0"/>
    <s v="modesg_inp_nfrd_alinhamento_tax"/>
    <s v="nome_pais"/>
    <x v="2"/>
    <s v="1. Concluído"/>
    <m/>
    <m/>
    <m/>
    <m/>
    <s v=""/>
    <s v=""/>
    <s v=""/>
    <m/>
    <m/>
    <m/>
    <m/>
    <m/>
    <x v="0"/>
    <m/>
  </r>
  <r>
    <x v="0"/>
    <x v="4"/>
    <x v="0"/>
    <s v="modesg_inp_nfrd_alinhamento_tax"/>
    <s v="flg_nfrd"/>
    <x v="2"/>
    <s v="1. Concluído"/>
    <m/>
    <m/>
    <m/>
    <m/>
    <s v=""/>
    <s v=""/>
    <s v=""/>
    <m/>
    <m/>
    <m/>
    <m/>
    <m/>
    <x v="0"/>
    <m/>
  </r>
  <r>
    <x v="0"/>
    <x v="4"/>
    <x v="0"/>
    <s v="modesg_inp_nfrd_alinhamento_tax"/>
    <s v="cca_trnvr_ttl_elgbl"/>
    <x v="2"/>
    <s v="1. Concluído"/>
    <m/>
    <m/>
    <m/>
    <m/>
    <s v=""/>
    <s v=""/>
    <s v=""/>
    <m/>
    <m/>
    <m/>
    <m/>
    <m/>
    <x v="0"/>
    <m/>
  </r>
  <r>
    <x v="0"/>
    <x v="4"/>
    <x v="0"/>
    <s v="modesg_inp_nfrd_alinhamento_tax"/>
    <s v="cca_trnvr_enblng_alignd"/>
    <x v="2"/>
    <s v="1. Concluído"/>
    <m/>
    <m/>
    <m/>
    <m/>
    <s v=""/>
    <s v=""/>
    <s v=""/>
    <m/>
    <m/>
    <m/>
    <m/>
    <m/>
    <x v="0"/>
    <m/>
  </r>
  <r>
    <x v="0"/>
    <x v="4"/>
    <x v="0"/>
    <s v="modesg_inp_nfrd_alinhamento_tax"/>
    <s v="cca_turnover_own_prfrmnce_algnd"/>
    <x v="2"/>
    <s v="1. Concluído"/>
    <m/>
    <m/>
    <m/>
    <m/>
    <s v=""/>
    <s v=""/>
    <s v=""/>
    <m/>
    <m/>
    <m/>
    <m/>
    <m/>
    <x v="0"/>
    <m/>
  </r>
  <r>
    <x v="0"/>
    <x v="4"/>
    <x v="0"/>
    <s v="modesg_inp_nfrd_alinhamento_tax"/>
    <s v="cca_capex_ttl_elgbl"/>
    <x v="2"/>
    <s v="1. Concluído"/>
    <m/>
    <m/>
    <m/>
    <m/>
    <s v=""/>
    <s v=""/>
    <s v=""/>
    <m/>
    <m/>
    <m/>
    <m/>
    <m/>
    <x v="0"/>
    <m/>
  </r>
  <r>
    <x v="0"/>
    <x v="4"/>
    <x v="0"/>
    <s v="modesg_inp_nfrd_alinhamento_tax"/>
    <s v="cca_capex_enblng_algnd"/>
    <x v="2"/>
    <s v="1. Concluído"/>
    <m/>
    <m/>
    <m/>
    <m/>
    <s v=""/>
    <s v=""/>
    <s v=""/>
    <m/>
    <m/>
    <m/>
    <m/>
    <m/>
    <x v="0"/>
    <m/>
  </r>
  <r>
    <x v="0"/>
    <x v="4"/>
    <x v="0"/>
    <s v="modesg_inp_nfrd_alinhamento_tax"/>
    <s v="cca_capex_own_prfrmnce_algnd"/>
    <x v="2"/>
    <s v="1. Concluído"/>
    <m/>
    <m/>
    <m/>
    <m/>
    <s v=""/>
    <s v=""/>
    <s v=""/>
    <m/>
    <m/>
    <m/>
    <m/>
    <m/>
    <x v="0"/>
    <m/>
  </r>
  <r>
    <x v="0"/>
    <x v="4"/>
    <x v="0"/>
    <s v="modesg_inp_nfrd_alinhamento_tax"/>
    <s v="ccm_trnvr_ttl_elgbl"/>
    <x v="2"/>
    <s v="1. Concluído"/>
    <m/>
    <m/>
    <m/>
    <m/>
    <s v=""/>
    <s v=""/>
    <s v=""/>
    <m/>
    <m/>
    <m/>
    <m/>
    <m/>
    <x v="0"/>
    <m/>
  </r>
  <r>
    <x v="0"/>
    <x v="4"/>
    <x v="0"/>
    <s v="modesg_inp_nfrd_alinhamento_tax"/>
    <s v="ccm_trnvr_enblng_algnd"/>
    <x v="2"/>
    <s v="1. Concluído"/>
    <m/>
    <m/>
    <m/>
    <m/>
    <s v=""/>
    <s v=""/>
    <s v=""/>
    <m/>
    <m/>
    <m/>
    <m/>
    <m/>
    <x v="0"/>
    <m/>
  </r>
  <r>
    <x v="0"/>
    <x v="4"/>
    <x v="0"/>
    <s v="modesg_inp_nfrd_alinhamento_tax"/>
    <s v="ccm_trnvr_trnstn_alignd"/>
    <x v="2"/>
    <s v="1. Concluído"/>
    <m/>
    <m/>
    <m/>
    <m/>
    <s v=""/>
    <s v=""/>
    <s v=""/>
    <m/>
    <m/>
    <m/>
    <m/>
    <m/>
    <x v="0"/>
    <m/>
  </r>
  <r>
    <x v="0"/>
    <x v="4"/>
    <x v="0"/>
    <s v="modesg_inp_nfrd_alinhamento_tax"/>
    <s v="ccm_trnvr_own_prfrmnce_algnd"/>
    <x v="2"/>
    <s v="1. Concluído"/>
    <m/>
    <m/>
    <m/>
    <m/>
    <s v=""/>
    <s v=""/>
    <s v=""/>
    <m/>
    <m/>
    <m/>
    <m/>
    <m/>
    <x v="0"/>
    <m/>
  </r>
  <r>
    <x v="0"/>
    <x v="4"/>
    <x v="0"/>
    <s v="modesg_inp_nfrd_alinhamento_tax"/>
    <s v="ccm_capex_ttl_elgbl"/>
    <x v="2"/>
    <s v="1. Concluído"/>
    <m/>
    <m/>
    <m/>
    <m/>
    <s v=""/>
    <s v=""/>
    <s v=""/>
    <m/>
    <m/>
    <m/>
    <m/>
    <m/>
    <x v="0"/>
    <m/>
  </r>
  <r>
    <x v="0"/>
    <x v="4"/>
    <x v="0"/>
    <s v="modesg_inp_nfrd_alinhamento_tax"/>
    <s v="ccm_capex_enblng_algnd"/>
    <x v="2"/>
    <s v="1. Concluído"/>
    <m/>
    <m/>
    <m/>
    <m/>
    <s v=""/>
    <s v=""/>
    <s v=""/>
    <m/>
    <m/>
    <m/>
    <m/>
    <m/>
    <x v="0"/>
    <m/>
  </r>
  <r>
    <x v="0"/>
    <x v="4"/>
    <x v="0"/>
    <s v="modesg_inp_nfrd_alinhamento_tax"/>
    <s v="ccm_capex_trnstn_algnd"/>
    <x v="2"/>
    <s v="1. Concluído"/>
    <m/>
    <m/>
    <m/>
    <m/>
    <s v=""/>
    <s v=""/>
    <s v=""/>
    <m/>
    <m/>
    <m/>
    <m/>
    <m/>
    <x v="0"/>
    <m/>
  </r>
  <r>
    <x v="0"/>
    <x v="4"/>
    <x v="0"/>
    <s v="modesg_inp_nfrd_alinhamento_tax"/>
    <s v="ccm_capex_own_prfrmnce_algnd"/>
    <x v="2"/>
    <s v="1. Concluído"/>
    <m/>
    <m/>
    <m/>
    <m/>
    <s v=""/>
    <s v=""/>
    <s v=""/>
    <m/>
    <m/>
    <m/>
    <m/>
    <m/>
    <x v="0"/>
    <m/>
  </r>
  <r>
    <x v="0"/>
    <x v="4"/>
    <x v="0"/>
    <s v="modesg_inp_nfrd_alinhamento_tax"/>
    <s v="ppc_trnvr_ttl_elgbl"/>
    <x v="2"/>
    <s v="1. Concluído"/>
    <m/>
    <m/>
    <m/>
    <m/>
    <s v=""/>
    <s v=""/>
    <s v=""/>
    <m/>
    <m/>
    <m/>
    <m/>
    <m/>
    <x v="0"/>
    <m/>
  </r>
  <r>
    <x v="0"/>
    <x v="4"/>
    <x v="0"/>
    <s v="modesg_inp_nfrd_alinhamento_tax"/>
    <s v="ppc_turnover_own_prfrmnce_algnd"/>
    <x v="2"/>
    <s v="1. Concluído"/>
    <m/>
    <m/>
    <m/>
    <m/>
    <s v=""/>
    <s v=""/>
    <s v=""/>
    <m/>
    <m/>
    <m/>
    <m/>
    <m/>
    <x v="0"/>
    <m/>
  </r>
  <r>
    <x v="0"/>
    <x v="4"/>
    <x v="0"/>
    <s v="modesg_inp_nfrd_alinhamento_tax"/>
    <s v="ppc_capex_ttl_elgbl"/>
    <x v="2"/>
    <s v="1. Concluído"/>
    <m/>
    <m/>
    <m/>
    <m/>
    <s v=""/>
    <s v=""/>
    <s v=""/>
    <m/>
    <m/>
    <m/>
    <m/>
    <m/>
    <x v="0"/>
    <m/>
  </r>
  <r>
    <x v="0"/>
    <x v="4"/>
    <x v="0"/>
    <s v="modesg_inp_nfrd_alinhamento_tax"/>
    <s v="ppc_capex_own_prfrmnce_algnd"/>
    <x v="2"/>
    <s v="1. Concluído"/>
    <m/>
    <m/>
    <m/>
    <m/>
    <s v=""/>
    <s v=""/>
    <s v=""/>
    <m/>
    <m/>
    <m/>
    <m/>
    <m/>
    <x v="0"/>
    <m/>
  </r>
  <r>
    <x v="0"/>
    <x v="4"/>
    <x v="0"/>
    <s v="modesg_inp_nfrd_alinhamento_tax"/>
    <s v="bio_trnvr_ttl_elgbl"/>
    <x v="2"/>
    <s v="1. Concluído"/>
    <m/>
    <m/>
    <m/>
    <m/>
    <s v=""/>
    <s v=""/>
    <s v=""/>
    <m/>
    <m/>
    <m/>
    <m/>
    <m/>
    <x v="0"/>
    <m/>
  </r>
  <r>
    <x v="0"/>
    <x v="4"/>
    <x v="0"/>
    <s v="modesg_inp_nfrd_alinhamento_tax"/>
    <s v="bio_turnover_own_prfrmnce_algnd"/>
    <x v="2"/>
    <s v="1. Concluído"/>
    <m/>
    <m/>
    <m/>
    <m/>
    <s v=""/>
    <s v=""/>
    <s v=""/>
    <m/>
    <m/>
    <m/>
    <m/>
    <m/>
    <x v="0"/>
    <m/>
  </r>
  <r>
    <x v="0"/>
    <x v="4"/>
    <x v="0"/>
    <s v="modesg_inp_nfrd_alinhamento_tax"/>
    <s v="bio_capex_ttl_elgbl"/>
    <x v="2"/>
    <s v="1. Concluído"/>
    <m/>
    <m/>
    <m/>
    <m/>
    <s v=""/>
    <s v=""/>
    <s v=""/>
    <m/>
    <m/>
    <m/>
    <m/>
    <m/>
    <x v="0"/>
    <m/>
  </r>
  <r>
    <x v="0"/>
    <x v="4"/>
    <x v="0"/>
    <s v="modesg_inp_nfrd_alinhamento_tax"/>
    <s v="bio_capex_own_prfrmnce_algnd"/>
    <x v="2"/>
    <s v="1. Concluído"/>
    <m/>
    <m/>
    <m/>
    <m/>
    <s v=""/>
    <s v=""/>
    <s v=""/>
    <m/>
    <m/>
    <m/>
    <m/>
    <m/>
    <x v="0"/>
    <m/>
  </r>
  <r>
    <x v="0"/>
    <x v="4"/>
    <x v="0"/>
    <s v="modesg_inp_nfrd_alinhamento_tax"/>
    <s v="wtr_trnvr_ttl_elgbl"/>
    <x v="2"/>
    <s v="1. Concluído"/>
    <m/>
    <m/>
    <m/>
    <m/>
    <s v=""/>
    <s v=""/>
    <s v=""/>
    <m/>
    <m/>
    <m/>
    <m/>
    <m/>
    <x v="0"/>
    <m/>
  </r>
  <r>
    <x v="0"/>
    <x v="4"/>
    <x v="0"/>
    <s v="modesg_inp_nfrd_alinhamento_tax"/>
    <s v="wtr_trnvr_enblng_alignd"/>
    <x v="2"/>
    <s v="1. Concluído"/>
    <m/>
    <m/>
    <m/>
    <m/>
    <s v=""/>
    <s v=""/>
    <s v=""/>
    <m/>
    <m/>
    <m/>
    <m/>
    <m/>
    <x v="0"/>
    <m/>
  </r>
  <r>
    <x v="0"/>
    <x v="4"/>
    <x v="0"/>
    <s v="modesg_inp_nfrd_alinhamento_tax"/>
    <s v="wtr_turnover_own_prfrmnce_algnd"/>
    <x v="2"/>
    <s v="1. Concluído"/>
    <m/>
    <m/>
    <m/>
    <m/>
    <s v=""/>
    <s v=""/>
    <s v=""/>
    <m/>
    <m/>
    <m/>
    <m/>
    <m/>
    <x v="0"/>
    <m/>
  </r>
  <r>
    <x v="0"/>
    <x v="4"/>
    <x v="0"/>
    <s v="modesg_inp_nfrd_alinhamento_tax"/>
    <s v="wtr_capex_ttl_elgbl"/>
    <x v="2"/>
    <s v="1. Concluído"/>
    <m/>
    <m/>
    <m/>
    <m/>
    <s v=""/>
    <s v=""/>
    <s v=""/>
    <m/>
    <m/>
    <m/>
    <m/>
    <m/>
    <x v="0"/>
    <m/>
  </r>
  <r>
    <x v="0"/>
    <x v="4"/>
    <x v="0"/>
    <s v="modesg_inp_nfrd_alinhamento_tax"/>
    <s v="wtr_capex_enblng_algnd"/>
    <x v="2"/>
    <s v="1. Concluído"/>
    <m/>
    <m/>
    <m/>
    <m/>
    <s v=""/>
    <s v=""/>
    <s v=""/>
    <m/>
    <m/>
    <m/>
    <m/>
    <m/>
    <x v="0"/>
    <m/>
  </r>
  <r>
    <x v="0"/>
    <x v="4"/>
    <x v="0"/>
    <s v="modesg_inp_nfrd_alinhamento_tax"/>
    <s v="wtr_capex_own_prfrmnce_algnd"/>
    <x v="2"/>
    <s v="1. Concluído"/>
    <m/>
    <m/>
    <m/>
    <m/>
    <s v=""/>
    <s v=""/>
    <s v=""/>
    <m/>
    <m/>
    <m/>
    <m/>
    <m/>
    <x v="0"/>
    <m/>
  </r>
  <r>
    <x v="0"/>
    <x v="4"/>
    <x v="0"/>
    <s v="modesg_inp_nfrd_alinhamento_tax"/>
    <s v="ce_trnvr_ttl_elgbl"/>
    <x v="2"/>
    <s v="1. Concluído"/>
    <m/>
    <m/>
    <m/>
    <m/>
    <s v=""/>
    <s v=""/>
    <s v=""/>
    <m/>
    <m/>
    <m/>
    <m/>
    <m/>
    <x v="0"/>
    <m/>
  </r>
  <r>
    <x v="0"/>
    <x v="4"/>
    <x v="0"/>
    <s v="modesg_inp_nfrd_alinhamento_tax"/>
    <s v="ce_trnvr_enblng_alignd"/>
    <x v="2"/>
    <s v="1. Concluído"/>
    <m/>
    <m/>
    <m/>
    <m/>
    <s v=""/>
    <s v=""/>
    <s v=""/>
    <m/>
    <m/>
    <m/>
    <m/>
    <m/>
    <x v="0"/>
    <m/>
  </r>
  <r>
    <x v="0"/>
    <x v="4"/>
    <x v="0"/>
    <s v="modesg_inp_nfrd_alinhamento_tax"/>
    <s v="ce_turnover_own_prfrmnce_algnd"/>
    <x v="2"/>
    <s v="1. Concluído"/>
    <m/>
    <m/>
    <m/>
    <m/>
    <s v=""/>
    <s v=""/>
    <s v=""/>
    <m/>
    <m/>
    <m/>
    <m/>
    <m/>
    <x v="0"/>
    <m/>
  </r>
  <r>
    <x v="0"/>
    <x v="4"/>
    <x v="0"/>
    <s v="modesg_inp_nfrd_alinhamento_tax"/>
    <s v="ce_capex_ttl_elgbl"/>
    <x v="2"/>
    <s v="1. Concluído"/>
    <m/>
    <m/>
    <m/>
    <m/>
    <s v=""/>
    <s v=""/>
    <s v=""/>
    <m/>
    <m/>
    <m/>
    <m/>
    <m/>
    <x v="0"/>
    <m/>
  </r>
  <r>
    <x v="0"/>
    <x v="4"/>
    <x v="0"/>
    <s v="modesg_inp_nfrd_alinhamento_tax"/>
    <s v="ce_capex_enblng_algnd"/>
    <x v="2"/>
    <s v="1. Concluído"/>
    <m/>
    <m/>
    <m/>
    <m/>
    <s v=""/>
    <s v=""/>
    <s v=""/>
    <m/>
    <m/>
    <m/>
    <m/>
    <m/>
    <x v="0"/>
    <m/>
  </r>
  <r>
    <x v="0"/>
    <x v="4"/>
    <x v="0"/>
    <s v="modesg_inp_nfrd_alinhamento_tax"/>
    <s v="ce_capex_own_prfrmnce_algnd"/>
    <x v="2"/>
    <s v="1. Concluído"/>
    <m/>
    <m/>
    <m/>
    <m/>
    <s v=""/>
    <s v=""/>
    <s v=""/>
    <m/>
    <m/>
    <m/>
    <m/>
    <m/>
    <x v="0"/>
    <m/>
  </r>
  <r>
    <x v="0"/>
    <x v="4"/>
    <x v="0"/>
    <s v="modesg_inp_risco_fisico"/>
    <s v="ref_date"/>
    <x v="2"/>
    <s v="1. Concluído"/>
    <m/>
    <m/>
    <m/>
    <m/>
    <s v=""/>
    <s v=""/>
    <s v=""/>
    <m/>
    <m/>
    <m/>
    <m/>
    <m/>
    <x v="0"/>
    <m/>
  </r>
  <r>
    <x v="0"/>
    <x v="4"/>
    <x v="0"/>
    <s v="modesg_inp_risco_fisico"/>
    <s v="cod_pais"/>
    <x v="2"/>
    <s v="1. Concluído"/>
    <m/>
    <m/>
    <m/>
    <m/>
    <s v=""/>
    <s v=""/>
    <s v=""/>
    <m/>
    <m/>
    <m/>
    <m/>
    <m/>
    <x v="0"/>
    <m/>
  </r>
  <r>
    <x v="0"/>
    <x v="4"/>
    <x v="0"/>
    <s v="modesg_inp_risco_fisico"/>
    <s v="cod_nutiii"/>
    <x v="2"/>
    <s v="1. Concluído"/>
    <m/>
    <m/>
    <m/>
    <m/>
    <s v=""/>
    <s v=""/>
    <s v=""/>
    <m/>
    <m/>
    <m/>
    <m/>
    <m/>
    <x v="0"/>
    <m/>
  </r>
  <r>
    <x v="0"/>
    <x v="4"/>
    <x v="0"/>
    <s v="modesg_inp_risco_fisico"/>
    <s v="cod_nace_esg"/>
    <x v="2"/>
    <s v="1. Concluído"/>
    <m/>
    <m/>
    <m/>
    <m/>
    <s v=""/>
    <s v=""/>
    <s v=""/>
    <m/>
    <m/>
    <m/>
    <m/>
    <m/>
    <x v="0"/>
    <m/>
  </r>
  <r>
    <x v="0"/>
    <x v="4"/>
    <x v="0"/>
    <s v="modesg_inp_risco_fisico"/>
    <s v="flg_rsc_fsc_agd"/>
    <x v="2"/>
    <s v="1. Concluído"/>
    <m/>
    <m/>
    <m/>
    <m/>
    <s v=""/>
    <s v=""/>
    <s v=""/>
    <m/>
    <m/>
    <m/>
    <m/>
    <m/>
    <x v="0"/>
    <m/>
  </r>
  <r>
    <x v="0"/>
    <x v="4"/>
    <x v="0"/>
    <s v="modesg_inp_risco_fisico"/>
    <s v="flg_rsc_fsc_crnc"/>
    <x v="2"/>
    <s v="1. Concluído"/>
    <m/>
    <m/>
    <m/>
    <m/>
    <s v=""/>
    <s v=""/>
    <s v=""/>
    <m/>
    <m/>
    <m/>
    <m/>
    <m/>
    <x v="0"/>
    <m/>
  </r>
  <r>
    <x v="0"/>
    <x v="4"/>
    <x v="0"/>
    <s v="modesg_inp_emss_scib"/>
    <s v="ref_date"/>
    <x v="2"/>
    <s v="1. Concluído"/>
    <m/>
    <m/>
    <m/>
    <m/>
    <s v=""/>
    <s v=""/>
    <s v=""/>
    <m/>
    <m/>
    <m/>
    <m/>
    <m/>
    <x v="0"/>
    <m/>
  </r>
  <r>
    <x v="0"/>
    <x v="4"/>
    <x v="0"/>
    <s v="modesg_inp_emss_scib"/>
    <s v="ccli_kgl"/>
    <x v="2"/>
    <s v="1. Concluído"/>
    <m/>
    <m/>
    <m/>
    <m/>
    <s v=""/>
    <s v=""/>
    <s v=""/>
    <m/>
    <m/>
    <m/>
    <m/>
    <m/>
    <x v="0"/>
    <m/>
  </r>
  <r>
    <x v="0"/>
    <x v="4"/>
    <x v="0"/>
    <s v="modesg_inp_emss_scib"/>
    <s v="nome_grupo"/>
    <x v="2"/>
    <s v="1. Concluído"/>
    <m/>
    <m/>
    <m/>
    <m/>
    <s v=""/>
    <s v=""/>
    <s v=""/>
    <m/>
    <m/>
    <m/>
    <m/>
    <m/>
    <x v="0"/>
    <m/>
  </r>
  <r>
    <x v="0"/>
    <x v="4"/>
    <x v="0"/>
    <s v="modesg_inp_emss_scib"/>
    <s v="isin"/>
    <x v="2"/>
    <s v="1. Concluído"/>
    <m/>
    <m/>
    <m/>
    <m/>
    <s v=""/>
    <s v=""/>
    <s v=""/>
    <m/>
    <m/>
    <m/>
    <m/>
    <m/>
    <x v="0"/>
    <m/>
  </r>
  <r>
    <x v="0"/>
    <x v="4"/>
    <x v="0"/>
    <s v="modesg_inp_emss_scib"/>
    <s v="clei"/>
    <x v="2"/>
    <s v="1. Concluído"/>
    <m/>
    <m/>
    <m/>
    <m/>
    <s v=""/>
    <s v=""/>
    <s v=""/>
    <m/>
    <m/>
    <m/>
    <m/>
    <m/>
    <x v="0"/>
    <m/>
  </r>
  <r>
    <x v="0"/>
    <x v="4"/>
    <x v="0"/>
    <s v="modesg_inp_emss_scib"/>
    <s v="scp1_emss"/>
    <x v="2"/>
    <s v="1. Concluído"/>
    <m/>
    <m/>
    <m/>
    <m/>
    <s v=""/>
    <s v=""/>
    <s v=""/>
    <m/>
    <m/>
    <m/>
    <m/>
    <m/>
    <x v="0"/>
    <m/>
  </r>
  <r>
    <x v="0"/>
    <x v="4"/>
    <x v="0"/>
    <s v="modesg_inp_emss_scib"/>
    <s v="scp2_emss"/>
    <x v="2"/>
    <s v="1. Concluído"/>
    <m/>
    <m/>
    <m/>
    <m/>
    <s v=""/>
    <s v=""/>
    <s v=""/>
    <m/>
    <m/>
    <m/>
    <m/>
    <m/>
    <x v="0"/>
    <m/>
  </r>
  <r>
    <x v="0"/>
    <x v="4"/>
    <x v="0"/>
    <s v="modesg_inp_emss_scib"/>
    <s v="scp3_emss"/>
    <x v="2"/>
    <s v="1. Concluído"/>
    <m/>
    <m/>
    <m/>
    <m/>
    <s v=""/>
    <s v=""/>
    <s v=""/>
    <m/>
    <m/>
    <m/>
    <m/>
    <m/>
    <x v="0"/>
    <m/>
  </r>
  <r>
    <x v="0"/>
    <x v="4"/>
    <x v="0"/>
    <s v="modesg_inp_emss_scib"/>
    <s v="score_scp1"/>
    <x v="2"/>
    <s v="1. Concluído"/>
    <m/>
    <m/>
    <m/>
    <m/>
    <s v=""/>
    <s v=""/>
    <s v=""/>
    <m/>
    <m/>
    <m/>
    <m/>
    <m/>
    <x v="0"/>
    <m/>
  </r>
  <r>
    <x v="0"/>
    <x v="4"/>
    <x v="0"/>
    <s v="modesg_inp_emss_scib"/>
    <s v="score_scp2"/>
    <x v="2"/>
    <s v="1. Concluído"/>
    <m/>
    <m/>
    <m/>
    <m/>
    <s v=""/>
    <s v=""/>
    <s v=""/>
    <m/>
    <m/>
    <m/>
    <m/>
    <m/>
    <x v="0"/>
    <m/>
  </r>
  <r>
    <x v="0"/>
    <x v="4"/>
    <x v="0"/>
    <s v="modesg_inp_emss_scib"/>
    <s v="score_scp3"/>
    <x v="2"/>
    <s v="1. Concluído"/>
    <m/>
    <m/>
    <m/>
    <m/>
    <s v=""/>
    <s v=""/>
    <s v=""/>
    <m/>
    <m/>
    <m/>
    <m/>
    <m/>
    <x v="0"/>
    <m/>
  </r>
  <r>
    <x v="0"/>
    <x v="4"/>
    <x v="0"/>
    <s v="modesg_inp_emss_scib"/>
    <s v="origem_scp1"/>
    <x v="2"/>
    <s v="1. Concluído"/>
    <m/>
    <m/>
    <m/>
    <m/>
    <s v=""/>
    <s v=""/>
    <s v=""/>
    <m/>
    <m/>
    <m/>
    <m/>
    <m/>
    <x v="0"/>
    <m/>
  </r>
  <r>
    <x v="0"/>
    <x v="4"/>
    <x v="0"/>
    <s v="modesg_inp_emss_scib"/>
    <s v="origem_scp2"/>
    <x v="2"/>
    <s v="1. Concluído"/>
    <m/>
    <m/>
    <m/>
    <m/>
    <s v=""/>
    <s v=""/>
    <s v=""/>
    <m/>
    <m/>
    <m/>
    <m/>
    <m/>
    <x v="0"/>
    <m/>
  </r>
  <r>
    <x v="0"/>
    <x v="4"/>
    <x v="0"/>
    <s v="modesg_inp_emss_scib"/>
    <s v="origem_scp3"/>
    <x v="2"/>
    <s v="1. Concluído"/>
    <m/>
    <m/>
    <m/>
    <m/>
    <s v=""/>
    <s v=""/>
    <s v=""/>
    <m/>
    <m/>
    <m/>
    <m/>
    <m/>
    <x v="0"/>
    <m/>
  </r>
  <r>
    <x v="0"/>
    <x v="4"/>
    <x v="0"/>
    <s v="modesg_inp_emss_scib"/>
    <s v="ano_info"/>
    <x v="2"/>
    <s v="1. Concluído"/>
    <m/>
    <m/>
    <m/>
    <m/>
    <s v=""/>
    <s v=""/>
    <s v=""/>
    <m/>
    <m/>
    <m/>
    <m/>
    <m/>
    <x v="0"/>
    <m/>
  </r>
  <r>
    <x v="0"/>
    <x v="4"/>
    <x v="0"/>
    <s v="modesg_inp_emss_scib"/>
    <s v="divida_total"/>
    <x v="2"/>
    <s v="1. Concluído"/>
    <m/>
    <m/>
    <m/>
    <m/>
    <s v=""/>
    <s v=""/>
    <s v=""/>
    <m/>
    <m/>
    <m/>
    <m/>
    <m/>
    <x v="0"/>
    <m/>
  </r>
  <r>
    <x v="0"/>
    <x v="4"/>
    <x v="0"/>
    <s v="modesg_inp_emss_scib"/>
    <s v="capital_proprio"/>
    <x v="2"/>
    <s v="1. Concluído"/>
    <m/>
    <m/>
    <m/>
    <m/>
    <s v=""/>
    <s v=""/>
    <s v=""/>
    <m/>
    <m/>
    <m/>
    <m/>
    <m/>
    <x v="0"/>
    <m/>
  </r>
  <r>
    <x v="0"/>
    <x v="4"/>
    <x v="0"/>
    <s v="modesg_inp_emss_nace"/>
    <s v="ref_date"/>
    <x v="2"/>
    <s v="1. Concluído"/>
    <m/>
    <m/>
    <m/>
    <s v="Package X"/>
    <s v=""/>
    <s v=""/>
    <s v=""/>
    <m/>
    <m/>
    <m/>
    <m/>
    <m/>
    <x v="0"/>
    <m/>
  </r>
  <r>
    <x v="0"/>
    <x v="4"/>
    <x v="0"/>
    <s v="modesg_inp_emss_nace"/>
    <s v="ano"/>
    <x v="2"/>
    <s v="1. Concluído"/>
    <m/>
    <m/>
    <m/>
    <s v="Package X"/>
    <s v=""/>
    <s v=""/>
    <s v=""/>
    <m/>
    <m/>
    <m/>
    <m/>
    <m/>
    <x v="0"/>
    <m/>
  </r>
  <r>
    <x v="0"/>
    <x v="4"/>
    <x v="0"/>
    <s v="modesg_inp_emss_nace"/>
    <s v="nome_pais"/>
    <x v="2"/>
    <s v="1. Concluído"/>
    <m/>
    <m/>
    <m/>
    <s v="Package X"/>
    <s v=""/>
    <s v=""/>
    <s v=""/>
    <m/>
    <m/>
    <m/>
    <m/>
    <m/>
    <x v="0"/>
    <m/>
  </r>
  <r>
    <x v="0"/>
    <x v="4"/>
    <x v="0"/>
    <s v="modesg_inp_emss_nace"/>
    <s v="cod_nace_esg"/>
    <x v="2"/>
    <s v="1. Concluído"/>
    <m/>
    <m/>
    <m/>
    <s v="Package X"/>
    <s v=""/>
    <s v=""/>
    <s v=""/>
    <m/>
    <m/>
    <m/>
    <m/>
    <m/>
    <x v="0"/>
    <m/>
  </r>
  <r>
    <x v="0"/>
    <x v="4"/>
    <x v="0"/>
    <s v="modesg_inp_emss_nace"/>
    <s v="cod_class_indust"/>
    <x v="2"/>
    <s v="1. Concluído"/>
    <m/>
    <m/>
    <m/>
    <s v="Package X"/>
    <s v=""/>
    <s v=""/>
    <s v=""/>
    <m/>
    <m/>
    <m/>
    <m/>
    <m/>
    <x v="0"/>
    <m/>
  </r>
  <r>
    <x v="0"/>
    <x v="4"/>
    <x v="0"/>
    <s v="modesg_inp_emss_nace"/>
    <s v="nivel_classificacao_1"/>
    <x v="2"/>
    <s v="1. Concluído"/>
    <m/>
    <m/>
    <m/>
    <s v="Package X"/>
    <s v=""/>
    <s v=""/>
    <s v=""/>
    <m/>
    <m/>
    <m/>
    <m/>
    <m/>
    <x v="0"/>
    <m/>
  </r>
  <r>
    <x v="0"/>
    <x v="4"/>
    <x v="0"/>
    <s v="modesg_inp_emss_nace"/>
    <s v="classe_ativo"/>
    <x v="2"/>
    <s v="1. Concluído"/>
    <m/>
    <m/>
    <m/>
    <s v="Package X"/>
    <s v=""/>
    <s v=""/>
    <s v=""/>
    <m/>
    <m/>
    <m/>
    <m/>
    <m/>
    <x v="0"/>
    <m/>
  </r>
  <r>
    <x v="0"/>
    <x v="4"/>
    <x v="0"/>
    <s v="modesg_inp_emss_nace"/>
    <s v="opcao_metodologia"/>
    <x v="2"/>
    <s v="1. Concluído"/>
    <m/>
    <m/>
    <m/>
    <s v="Package X"/>
    <s v=""/>
    <s v=""/>
    <s v=""/>
    <m/>
    <m/>
    <m/>
    <m/>
    <m/>
    <x v="0"/>
    <m/>
  </r>
  <r>
    <x v="0"/>
    <x v="4"/>
    <x v="0"/>
    <s v="modesg_inp_emss_nace"/>
    <s v="unidade_funcional"/>
    <x v="2"/>
    <s v="1. Concluído"/>
    <m/>
    <m/>
    <m/>
    <s v="Package X"/>
    <s v=""/>
    <s v=""/>
    <s v=""/>
    <m/>
    <m/>
    <m/>
    <m/>
    <m/>
    <x v="0"/>
    <m/>
  </r>
  <r>
    <x v="0"/>
    <x v="4"/>
    <x v="0"/>
    <s v="modesg_inp_emss_nace"/>
    <s v="unidades_fator_de_emissao"/>
    <x v="2"/>
    <s v="1. Concluído"/>
    <m/>
    <m/>
    <m/>
    <s v="Package X"/>
    <s v=""/>
    <s v=""/>
    <s v=""/>
    <m/>
    <m/>
    <m/>
    <m/>
    <m/>
    <x v="0"/>
    <m/>
  </r>
  <r>
    <x v="0"/>
    <x v="4"/>
    <x v="0"/>
    <s v="modesg_inp_emss_nace"/>
    <s v="score_qualidade"/>
    <x v="2"/>
    <s v="1. Concluído"/>
    <m/>
    <m/>
    <m/>
    <s v="Package X"/>
    <s v=""/>
    <s v=""/>
    <s v=""/>
    <m/>
    <m/>
    <m/>
    <m/>
    <m/>
    <x v="0"/>
    <m/>
  </r>
  <r>
    <x v="0"/>
    <x v="4"/>
    <x v="0"/>
    <s v="modesg_inp_emss_nace"/>
    <s v="scp1_ftr_emss"/>
    <x v="2"/>
    <s v="1. Concluído"/>
    <m/>
    <m/>
    <m/>
    <s v="Package X"/>
    <s v=""/>
    <s v=""/>
    <s v=""/>
    <m/>
    <m/>
    <m/>
    <m/>
    <m/>
    <x v="0"/>
    <m/>
  </r>
  <r>
    <x v="0"/>
    <x v="4"/>
    <x v="0"/>
    <s v="modesg_inp_emss_nace"/>
    <s v="scp2_ftr_emss"/>
    <x v="2"/>
    <s v="1. Concluído"/>
    <m/>
    <m/>
    <m/>
    <s v="Package X"/>
    <s v=""/>
    <s v=""/>
    <s v=""/>
    <m/>
    <m/>
    <m/>
    <m/>
    <m/>
    <x v="0"/>
    <m/>
  </r>
  <r>
    <x v="0"/>
    <x v="4"/>
    <x v="0"/>
    <s v="modesg_inp_emss_nace"/>
    <s v="scp3_ftr_emss"/>
    <x v="2"/>
    <s v="1. Concluído"/>
    <m/>
    <m/>
    <m/>
    <s v="Package X"/>
    <s v=""/>
    <s v=""/>
    <s v=""/>
    <m/>
    <m/>
    <m/>
    <m/>
    <m/>
    <x v="0"/>
    <m/>
  </r>
  <r>
    <x v="0"/>
    <x v="4"/>
    <x v="0"/>
    <s v="modesg_inp_emss_bens_imoveis"/>
    <s v="ref_date"/>
    <x v="2"/>
    <s v="1. Concluído"/>
    <m/>
    <m/>
    <m/>
    <m/>
    <s v=""/>
    <s v=""/>
    <s v=""/>
    <m/>
    <m/>
    <m/>
    <m/>
    <m/>
    <x v="0"/>
    <m/>
  </r>
  <r>
    <x v="0"/>
    <x v="4"/>
    <x v="0"/>
    <s v="modesg_inp_emss_bens_imoveis"/>
    <s v="nome_pais"/>
    <x v="2"/>
    <s v="1. Concluído"/>
    <m/>
    <m/>
    <m/>
    <m/>
    <s v=""/>
    <s v=""/>
    <s v=""/>
    <m/>
    <m/>
    <m/>
    <m/>
    <m/>
    <x v="0"/>
    <m/>
  </r>
  <r>
    <x v="0"/>
    <x v="4"/>
    <x v="0"/>
    <s v="modesg_inp_emss_bens_imoveis"/>
    <s v="nome_estado"/>
    <x v="2"/>
    <s v="1. Concluído"/>
    <m/>
    <m/>
    <m/>
    <m/>
    <s v=""/>
    <s v=""/>
    <s v=""/>
    <m/>
    <m/>
    <m/>
    <m/>
    <m/>
    <x v="0"/>
    <m/>
  </r>
  <r>
    <x v="0"/>
    <x v="4"/>
    <x v="0"/>
    <s v="modesg_inp_emss_bens_imoveis"/>
    <s v="classe_ativo"/>
    <x v="2"/>
    <s v="1. Concluído"/>
    <m/>
    <m/>
    <m/>
    <m/>
    <s v=""/>
    <s v=""/>
    <s v=""/>
    <m/>
    <m/>
    <m/>
    <m/>
    <m/>
    <x v="0"/>
    <m/>
  </r>
  <r>
    <x v="0"/>
    <x v="4"/>
    <x v="0"/>
    <s v="modesg_inp_emss_bens_imoveis"/>
    <s v="tipo_fator_emissao"/>
    <x v="2"/>
    <s v="1. Concluído"/>
    <m/>
    <m/>
    <m/>
    <m/>
    <s v=""/>
    <s v=""/>
    <s v=""/>
    <m/>
    <m/>
    <m/>
    <m/>
    <m/>
    <x v="0"/>
    <m/>
  </r>
  <r>
    <x v="0"/>
    <x v="4"/>
    <x v="0"/>
    <s v="modesg_inp_emss_bens_imoveis"/>
    <s v="regiao"/>
    <x v="2"/>
    <s v="1. Concluído"/>
    <m/>
    <m/>
    <m/>
    <m/>
    <s v=""/>
    <s v=""/>
    <s v=""/>
    <m/>
    <m/>
    <m/>
    <m/>
    <m/>
    <x v="0"/>
    <m/>
  </r>
  <r>
    <x v="0"/>
    <x v="4"/>
    <x v="0"/>
    <s v="modesg_inp_emss_bens_imoveis"/>
    <s v="tipo_bem"/>
    <x v="2"/>
    <s v="1. Concluído"/>
    <m/>
    <m/>
    <m/>
    <m/>
    <s v=""/>
    <s v=""/>
    <s v=""/>
    <m/>
    <m/>
    <m/>
    <m/>
    <m/>
    <x v="0"/>
    <m/>
  </r>
  <r>
    <x v="0"/>
    <x v="4"/>
    <x v="0"/>
    <s v="modesg_inp_emss_bens_imoveis"/>
    <s v="tipo_finalidade_bem"/>
    <x v="2"/>
    <s v="1. Concluído"/>
    <m/>
    <m/>
    <m/>
    <m/>
    <s v=""/>
    <s v=""/>
    <s v=""/>
    <m/>
    <m/>
    <m/>
    <m/>
    <m/>
    <x v="0"/>
    <m/>
  </r>
  <r>
    <x v="0"/>
    <x v="4"/>
    <x v="0"/>
    <s v="modesg_inp_emss_bens_imoveis"/>
    <s v="epc"/>
    <x v="2"/>
    <s v="1. Concluído"/>
    <m/>
    <m/>
    <m/>
    <m/>
    <s v=""/>
    <s v=""/>
    <s v=""/>
    <m/>
    <m/>
    <m/>
    <m/>
    <m/>
    <x v="0"/>
    <m/>
  </r>
  <r>
    <x v="0"/>
    <x v="4"/>
    <x v="0"/>
    <s v="modesg_inp_emss_bens_imoveis"/>
    <s v="flg_ftr_emss_area"/>
    <x v="5"/>
    <s v="0. Cancelado"/>
    <m/>
    <m/>
    <m/>
    <m/>
    <s v=""/>
    <s v=""/>
    <s v=""/>
    <m/>
    <m/>
    <m/>
    <m/>
    <m/>
    <x v="0"/>
    <m/>
  </r>
  <r>
    <x v="0"/>
    <x v="4"/>
    <x v="0"/>
    <s v="modesg_inp_emss_bens_imoveis"/>
    <s v="nome_unidade_funcional"/>
    <x v="2"/>
    <s v="1. Concluído"/>
    <m/>
    <m/>
    <m/>
    <m/>
    <s v=""/>
    <s v=""/>
    <s v=""/>
    <m/>
    <m/>
    <m/>
    <m/>
    <m/>
    <x v="0"/>
    <m/>
  </r>
  <r>
    <x v="0"/>
    <x v="4"/>
    <x v="0"/>
    <s v="modesg_inp_emss_bens_imoveis"/>
    <s v="unidade_funcional"/>
    <x v="2"/>
    <s v="1. Concluído"/>
    <m/>
    <m/>
    <m/>
    <m/>
    <s v=""/>
    <s v=""/>
    <s v=""/>
    <m/>
    <m/>
    <m/>
    <m/>
    <m/>
    <x v="0"/>
    <m/>
  </r>
  <r>
    <x v="0"/>
    <x v="4"/>
    <x v="0"/>
    <s v="modesg_inp_emss_bens_imoveis"/>
    <s v="nome_fator_emissao"/>
    <x v="2"/>
    <s v="1. Concluído"/>
    <m/>
    <m/>
    <m/>
    <m/>
    <s v=""/>
    <s v=""/>
    <s v=""/>
    <m/>
    <m/>
    <m/>
    <m/>
    <m/>
    <x v="0"/>
    <m/>
  </r>
  <r>
    <x v="0"/>
    <x v="4"/>
    <x v="0"/>
    <s v="modesg_inp_emss_bens_imoveis"/>
    <s v="unidade_fator_de_emissao"/>
    <x v="2"/>
    <s v="1. Concluído"/>
    <m/>
    <m/>
    <m/>
    <m/>
    <s v=""/>
    <s v=""/>
    <s v=""/>
    <m/>
    <m/>
    <m/>
    <m/>
    <m/>
    <x v="0"/>
    <m/>
  </r>
  <r>
    <x v="0"/>
    <x v="4"/>
    <x v="0"/>
    <s v="modesg_inp_emss_bens_imoveis"/>
    <s v="score_qualidade"/>
    <x v="2"/>
    <s v="1. Concluído"/>
    <m/>
    <m/>
    <m/>
    <m/>
    <s v=""/>
    <s v=""/>
    <s v=""/>
    <m/>
    <m/>
    <m/>
    <m/>
    <m/>
    <x v="0"/>
    <m/>
  </r>
  <r>
    <x v="0"/>
    <x v="4"/>
    <x v="0"/>
    <s v="modesg_inp_emss_bens_imoveis"/>
    <s v="ano_fator_emissao"/>
    <x v="2"/>
    <s v="1. Concluído"/>
    <m/>
    <m/>
    <m/>
    <m/>
    <s v=""/>
    <s v=""/>
    <s v=""/>
    <m/>
    <m/>
    <m/>
    <m/>
    <m/>
    <x v="0"/>
    <m/>
  </r>
  <r>
    <x v="0"/>
    <x v="4"/>
    <x v="0"/>
    <s v="modesg_inp_emss_bens_imoveis"/>
    <s v="scp1_ftr_emss"/>
    <x v="2"/>
    <s v="1. Concluído"/>
    <m/>
    <m/>
    <m/>
    <m/>
    <s v=""/>
    <s v=""/>
    <s v=""/>
    <m/>
    <m/>
    <m/>
    <m/>
    <m/>
    <x v="0"/>
    <m/>
  </r>
  <r>
    <x v="0"/>
    <x v="4"/>
    <x v="0"/>
    <s v="modesg_inp_emss_bens_imoveis"/>
    <s v="scp2_ftr_emss"/>
    <x v="2"/>
    <s v="1. Concluído"/>
    <m/>
    <m/>
    <m/>
    <m/>
    <s v=""/>
    <s v=""/>
    <s v=""/>
    <m/>
    <m/>
    <m/>
    <m/>
    <m/>
    <x v="0"/>
    <m/>
  </r>
  <r>
    <x v="0"/>
    <x v="4"/>
    <x v="0"/>
    <s v="modesg_inp_project_finance"/>
    <s v="codigo_unidade"/>
    <x v="2"/>
    <s v="1. Concluído"/>
    <m/>
    <m/>
    <m/>
    <m/>
    <s v=""/>
    <s v=""/>
    <s v=""/>
    <m/>
    <m/>
    <m/>
    <m/>
    <m/>
    <x v="3"/>
    <s v="HF"/>
  </r>
  <r>
    <x v="0"/>
    <x v="4"/>
    <x v="0"/>
    <s v="modesg_inp_project_finance"/>
    <s v="nome_unidade"/>
    <x v="2"/>
    <s v="1. Concluído"/>
    <m/>
    <m/>
    <m/>
    <m/>
    <s v=""/>
    <s v=""/>
    <s v=""/>
    <m/>
    <m/>
    <m/>
    <m/>
    <m/>
    <x v="3"/>
    <s v="HF"/>
  </r>
  <r>
    <x v="0"/>
    <x v="4"/>
    <x v="0"/>
    <s v="modesg_inp_project_finance"/>
    <s v="kgl"/>
    <x v="2"/>
    <s v="1. Concluído"/>
    <m/>
    <m/>
    <m/>
    <m/>
    <s v=""/>
    <s v=""/>
    <s v=""/>
    <m/>
    <m/>
    <m/>
    <m/>
    <m/>
    <x v="3"/>
    <s v="HF"/>
  </r>
  <r>
    <x v="0"/>
    <x v="4"/>
    <x v="0"/>
    <s v="modesg_inp_project_finance"/>
    <s v="nome_legal_kgl"/>
    <x v="2"/>
    <s v="1. Concluído"/>
    <m/>
    <m/>
    <m/>
    <m/>
    <s v=""/>
    <s v=""/>
    <s v=""/>
    <m/>
    <m/>
    <m/>
    <m/>
    <m/>
    <x v="3"/>
    <s v="HF"/>
  </r>
  <r>
    <x v="0"/>
    <x v="4"/>
    <x v="0"/>
    <s v="modesg_inp_project_finance"/>
    <s v="kgl_top_entidade_principal"/>
    <x v="2"/>
    <s v="1. Concluído"/>
    <m/>
    <m/>
    <m/>
    <m/>
    <s v=""/>
    <s v=""/>
    <s v=""/>
    <m/>
    <m/>
    <m/>
    <m/>
    <m/>
    <x v="3"/>
    <s v="HF"/>
  </r>
  <r>
    <x v="0"/>
    <x v="4"/>
    <x v="0"/>
    <s v="modesg_inp_project_finance"/>
    <s v="kgl_entidade_principal"/>
    <x v="2"/>
    <s v="1. Concluído"/>
    <m/>
    <m/>
    <m/>
    <m/>
    <s v=""/>
    <s v=""/>
    <s v=""/>
    <m/>
    <m/>
    <m/>
    <m/>
    <m/>
    <x v="3"/>
    <s v="HF"/>
  </r>
  <r>
    <x v="0"/>
    <x v="4"/>
    <x v="0"/>
    <s v="modesg_inp_project_finance"/>
    <s v="nome_top_entidade_principal"/>
    <x v="2"/>
    <s v="1. Concluído"/>
    <m/>
    <m/>
    <m/>
    <m/>
    <s v=""/>
    <s v=""/>
    <s v=""/>
    <m/>
    <m/>
    <m/>
    <m/>
    <m/>
    <x v="3"/>
    <s v="HF"/>
  </r>
  <r>
    <x v="0"/>
    <x v="4"/>
    <x v="0"/>
    <s v="modesg_inp_project_finance"/>
    <s v="codigo_unidade_operativa"/>
    <x v="2"/>
    <s v="1. Concluído"/>
    <m/>
    <m/>
    <m/>
    <m/>
    <s v=""/>
    <s v=""/>
    <s v=""/>
    <m/>
    <m/>
    <m/>
    <m/>
    <m/>
    <x v="3"/>
    <s v="HF"/>
  </r>
  <r>
    <x v="0"/>
    <x v="4"/>
    <x v="0"/>
    <s v="modesg_inp_project_finance"/>
    <s v="nome_entidade_operativa"/>
    <x v="2"/>
    <s v="1. Concluído"/>
    <m/>
    <m/>
    <m/>
    <m/>
    <s v=""/>
    <s v=""/>
    <s v=""/>
    <m/>
    <m/>
    <m/>
    <m/>
    <m/>
    <x v="3"/>
    <s v="HF"/>
  </r>
  <r>
    <x v="0"/>
    <x v="2"/>
    <x v="1"/>
    <s v="modesg_out_bens_imoveis"/>
    <s v="n.a."/>
    <x v="2"/>
    <s v="1. Concluído"/>
    <m/>
    <m/>
    <m/>
    <m/>
    <s v=""/>
    <s v=""/>
    <s v=""/>
    <m/>
    <m/>
    <m/>
    <m/>
    <m/>
    <x v="0"/>
    <m/>
  </r>
  <r>
    <x v="0"/>
    <x v="2"/>
    <x v="0"/>
    <s v="modesg_out_bens_imoveis"/>
    <s v="cempbem"/>
    <x v="2"/>
    <s v="1. Concluído"/>
    <m/>
    <m/>
    <m/>
    <m/>
    <s v=""/>
    <s v=""/>
    <s v=""/>
    <m/>
    <m/>
    <m/>
    <m/>
    <m/>
    <x v="0"/>
    <m/>
  </r>
  <r>
    <x v="0"/>
    <x v="2"/>
    <x v="0"/>
    <s v="modesg_out_bens_imoveis"/>
    <s v="ckbalbem"/>
    <x v="2"/>
    <s v="1. Concluído"/>
    <m/>
    <m/>
    <m/>
    <m/>
    <s v=""/>
    <s v=""/>
    <s v=""/>
    <m/>
    <m/>
    <m/>
    <m/>
    <m/>
    <x v="0"/>
    <m/>
  </r>
  <r>
    <x v="0"/>
    <x v="2"/>
    <x v="0"/>
    <s v="modesg_out_bens_imoveis"/>
    <s v="ckctabem"/>
    <x v="2"/>
    <s v="1. Concluído"/>
    <m/>
    <m/>
    <m/>
    <m/>
    <s v=""/>
    <s v=""/>
    <s v=""/>
    <m/>
    <m/>
    <m/>
    <m/>
    <m/>
    <x v="0"/>
    <m/>
  </r>
  <r>
    <x v="0"/>
    <x v="2"/>
    <x v="0"/>
    <s v="modesg_out_bens_imoveis"/>
    <s v="ckrefbem"/>
    <x v="2"/>
    <s v="1. Concluído"/>
    <m/>
    <m/>
    <m/>
    <m/>
    <s v=""/>
    <s v=""/>
    <s v=""/>
    <m/>
    <m/>
    <m/>
    <m/>
    <m/>
    <x v="0"/>
    <m/>
  </r>
  <r>
    <x v="0"/>
    <x v="2"/>
    <x v="0"/>
    <s v="modesg_out_bens_imoveis"/>
    <s v="origem_scp1_emss"/>
    <x v="2"/>
    <s v="1. Concluído"/>
    <m/>
    <m/>
    <m/>
    <s v="Package X"/>
    <s v=""/>
    <s v=""/>
    <s v=""/>
    <m/>
    <m/>
    <m/>
    <m/>
    <m/>
    <x v="0"/>
    <m/>
  </r>
  <r>
    <x v="0"/>
    <x v="2"/>
    <x v="0"/>
    <s v="modesg_out_bens_imoveis"/>
    <s v="origem_scp2_emss"/>
    <x v="2"/>
    <s v="1. Concluído"/>
    <m/>
    <m/>
    <m/>
    <s v="Package X"/>
    <s v=""/>
    <s v=""/>
    <s v=""/>
    <m/>
    <m/>
    <m/>
    <m/>
    <m/>
    <x v="0"/>
    <m/>
  </r>
  <r>
    <x v="0"/>
    <x v="2"/>
    <x v="0"/>
    <s v="modesg_out_bens_imoveis"/>
    <s v="origem_scp3_emss"/>
    <x v="2"/>
    <s v="1. Concluído"/>
    <m/>
    <m/>
    <m/>
    <s v="Package X"/>
    <s v=""/>
    <s v=""/>
    <s v=""/>
    <m/>
    <m/>
    <m/>
    <m/>
    <m/>
    <x v="0"/>
    <m/>
  </r>
  <r>
    <x v="0"/>
    <x v="2"/>
    <x v="0"/>
    <s v="modesg_out_bens_imoveis"/>
    <s v="ref_date"/>
    <x v="2"/>
    <s v="1. Concluído"/>
    <m/>
    <m/>
    <m/>
    <m/>
    <s v=""/>
    <s v=""/>
    <s v=""/>
    <m/>
    <m/>
    <m/>
    <m/>
    <m/>
    <x v="0"/>
    <m/>
  </r>
  <r>
    <x v="0"/>
    <x v="2"/>
    <x v="0"/>
    <s v="modesg_out_bens_imoveis"/>
    <s v="scp1_emss"/>
    <x v="2"/>
    <s v="1. Concluído"/>
    <m/>
    <m/>
    <m/>
    <s v="Package X"/>
    <s v=""/>
    <s v=""/>
    <s v=""/>
    <m/>
    <m/>
    <m/>
    <m/>
    <m/>
    <x v="0"/>
    <m/>
  </r>
  <r>
    <x v="0"/>
    <x v="2"/>
    <x v="0"/>
    <s v="modesg_out_bens_imoveis"/>
    <s v="scp2_emss"/>
    <x v="2"/>
    <s v="1. Concluído"/>
    <m/>
    <m/>
    <m/>
    <s v="Package X"/>
    <s v=""/>
    <s v=""/>
    <s v=""/>
    <m/>
    <m/>
    <m/>
    <m/>
    <m/>
    <x v="0"/>
    <m/>
  </r>
  <r>
    <x v="0"/>
    <x v="2"/>
    <x v="0"/>
    <s v="modesg_out_bens_imoveis"/>
    <s v="scp3_emss"/>
    <x v="2"/>
    <s v="1. Concluído"/>
    <m/>
    <m/>
    <m/>
    <s v="Package X"/>
    <s v=""/>
    <s v=""/>
    <s v=""/>
    <m/>
    <m/>
    <m/>
    <m/>
    <m/>
    <x v="0"/>
    <m/>
  </r>
  <r>
    <x v="0"/>
    <x v="2"/>
    <x v="0"/>
    <s v="modesg_out_bens_imoveis"/>
    <s v="unidade_funcional_scp1_emss"/>
    <x v="2"/>
    <s v="1. Concluído"/>
    <m/>
    <m/>
    <m/>
    <s v="Package X"/>
    <s v=""/>
    <s v=""/>
    <s v=""/>
    <m/>
    <m/>
    <m/>
    <m/>
    <m/>
    <x v="0"/>
    <m/>
  </r>
  <r>
    <x v="0"/>
    <x v="2"/>
    <x v="0"/>
    <s v="modesg_out_bens_imoveis"/>
    <s v="unidade_funcional_scp2_emss"/>
    <x v="2"/>
    <s v="1. Concluído"/>
    <m/>
    <m/>
    <m/>
    <s v="Package X"/>
    <s v=""/>
    <s v=""/>
    <s v=""/>
    <m/>
    <m/>
    <m/>
    <m/>
    <m/>
    <x v="0"/>
    <m/>
  </r>
  <r>
    <x v="0"/>
    <x v="2"/>
    <x v="0"/>
    <s v="modesg_out_bens_imoveis"/>
    <s v="unidade_funcional_scp3_emss"/>
    <x v="2"/>
    <s v="1. Concluído"/>
    <m/>
    <m/>
    <m/>
    <s v="Package X"/>
    <s v=""/>
    <s v=""/>
    <s v=""/>
    <m/>
    <m/>
    <m/>
    <m/>
    <m/>
    <x v="0"/>
    <m/>
  </r>
  <r>
    <x v="0"/>
    <x v="2"/>
    <x v="1"/>
    <s v="modesg_out_empr_info_nfin"/>
    <s v="n.a."/>
    <x v="2"/>
    <s v="1. Concluído"/>
    <m/>
    <m/>
    <m/>
    <m/>
    <s v=""/>
    <s v=""/>
    <s v=""/>
    <m/>
    <m/>
    <m/>
    <m/>
    <m/>
    <x v="0"/>
    <m/>
  </r>
  <r>
    <x v="0"/>
    <x v="2"/>
    <x v="0"/>
    <s v="modesg_out_empr_info_nfin"/>
    <s v="cca_capex_enblng_algnd"/>
    <x v="2"/>
    <s v="1. Concluído"/>
    <m/>
    <m/>
    <m/>
    <m/>
    <s v=""/>
    <s v=""/>
    <s v=""/>
    <m/>
    <m/>
    <m/>
    <m/>
    <m/>
    <x v="0"/>
    <m/>
  </r>
  <r>
    <x v="0"/>
    <x v="2"/>
    <x v="0"/>
    <s v="modesg_out_empr_info_nfin"/>
    <s v="cca_capex_own_prfrmnce_algnd"/>
    <x v="2"/>
    <s v="1. Concluído"/>
    <m/>
    <m/>
    <m/>
    <m/>
    <s v=""/>
    <s v=""/>
    <s v=""/>
    <m/>
    <m/>
    <m/>
    <m/>
    <m/>
    <x v="0"/>
    <m/>
  </r>
  <r>
    <x v="0"/>
    <x v="2"/>
    <x v="0"/>
    <s v="modesg_out_empr_info_nfin"/>
    <s v="cca_capex_ttl_elgbl"/>
    <x v="2"/>
    <s v="1. Concluído"/>
    <m/>
    <m/>
    <m/>
    <m/>
    <s v=""/>
    <s v=""/>
    <s v=""/>
    <m/>
    <m/>
    <m/>
    <m/>
    <m/>
    <x v="0"/>
    <m/>
  </r>
  <r>
    <x v="0"/>
    <x v="2"/>
    <x v="0"/>
    <s v="modesg_out_empr_info_nfin"/>
    <s v="cca_trnvr_enblng_alignd"/>
    <x v="2"/>
    <s v="1. Concluído"/>
    <m/>
    <m/>
    <m/>
    <m/>
    <s v=""/>
    <s v=""/>
    <s v=""/>
    <m/>
    <m/>
    <m/>
    <m/>
    <m/>
    <x v="0"/>
    <m/>
  </r>
  <r>
    <x v="0"/>
    <x v="2"/>
    <x v="0"/>
    <s v="modesg_out_empr_info_nfin"/>
    <s v="cca_trnvr_ttl_elgbl"/>
    <x v="2"/>
    <s v="1. Concluído"/>
    <m/>
    <m/>
    <m/>
    <m/>
    <s v=""/>
    <s v=""/>
    <s v=""/>
    <m/>
    <m/>
    <m/>
    <m/>
    <m/>
    <x v="0"/>
    <m/>
  </r>
  <r>
    <x v="0"/>
    <x v="2"/>
    <x v="0"/>
    <s v="modesg_out_empr_info_nfin"/>
    <s v="cca_turnover_own_prfrmnce_algnd"/>
    <x v="2"/>
    <s v="1. Concluído"/>
    <m/>
    <m/>
    <m/>
    <m/>
    <s v=""/>
    <s v=""/>
    <s v=""/>
    <m/>
    <m/>
    <m/>
    <m/>
    <m/>
    <x v="0"/>
    <m/>
  </r>
  <r>
    <x v="0"/>
    <x v="2"/>
    <x v="0"/>
    <s v="modesg_out_empr_info_nfin"/>
    <s v="ccm_capex_enblng_algnd"/>
    <x v="2"/>
    <s v="1. Concluído"/>
    <m/>
    <m/>
    <m/>
    <m/>
    <s v=""/>
    <s v=""/>
    <s v=""/>
    <m/>
    <m/>
    <m/>
    <m/>
    <m/>
    <x v="0"/>
    <m/>
  </r>
  <r>
    <x v="0"/>
    <x v="2"/>
    <x v="0"/>
    <s v="modesg_out_empr_info_nfin"/>
    <s v="ccm_capex_own_prfrmnce_algnd"/>
    <x v="2"/>
    <s v="1. Concluído"/>
    <m/>
    <m/>
    <m/>
    <m/>
    <s v=""/>
    <s v=""/>
    <s v=""/>
    <m/>
    <m/>
    <m/>
    <m/>
    <m/>
    <x v="0"/>
    <m/>
  </r>
  <r>
    <x v="0"/>
    <x v="2"/>
    <x v="0"/>
    <s v="modesg_out_empr_info_nfin"/>
    <s v="ccm_capex_trnstn_algnd"/>
    <x v="2"/>
    <s v="1. Concluído"/>
    <m/>
    <m/>
    <m/>
    <m/>
    <s v=""/>
    <s v=""/>
    <s v=""/>
    <m/>
    <m/>
    <m/>
    <m/>
    <m/>
    <x v="0"/>
    <m/>
  </r>
  <r>
    <x v="0"/>
    <x v="2"/>
    <x v="0"/>
    <s v="modesg_out_empr_info_nfin"/>
    <s v="ccm_capex_ttl_elgbl"/>
    <x v="2"/>
    <s v="1. Concluído"/>
    <m/>
    <m/>
    <m/>
    <m/>
    <s v=""/>
    <s v=""/>
    <s v=""/>
    <m/>
    <m/>
    <m/>
    <m/>
    <m/>
    <x v="0"/>
    <m/>
  </r>
  <r>
    <x v="0"/>
    <x v="2"/>
    <x v="0"/>
    <s v="modesg_out_empr_info_nfin"/>
    <s v="ccm_trnvr_enblng_algnd"/>
    <x v="2"/>
    <s v="1. Concluído"/>
    <m/>
    <m/>
    <m/>
    <m/>
    <s v=""/>
    <s v=""/>
    <s v=""/>
    <m/>
    <m/>
    <m/>
    <m/>
    <m/>
    <x v="0"/>
    <m/>
  </r>
  <r>
    <x v="0"/>
    <x v="2"/>
    <x v="0"/>
    <s v="modesg_out_empr_info_nfin"/>
    <s v="ccm_trnvr_own_prfrmnce_algnd"/>
    <x v="2"/>
    <s v="1. Concluído"/>
    <m/>
    <m/>
    <m/>
    <m/>
    <s v=""/>
    <s v=""/>
    <s v=""/>
    <m/>
    <m/>
    <m/>
    <m/>
    <m/>
    <x v="0"/>
    <m/>
  </r>
  <r>
    <x v="0"/>
    <x v="2"/>
    <x v="0"/>
    <s v="modesg_out_empr_info_nfin"/>
    <s v="ccm_trnvr_trnstn_alignd"/>
    <x v="2"/>
    <s v="1. Concluído"/>
    <m/>
    <m/>
    <m/>
    <m/>
    <s v=""/>
    <s v=""/>
    <s v=""/>
    <m/>
    <m/>
    <m/>
    <m/>
    <m/>
    <x v="0"/>
    <m/>
  </r>
  <r>
    <x v="0"/>
    <x v="2"/>
    <x v="0"/>
    <s v="modesg_out_empr_info_nfin"/>
    <s v="ccm_trnvr_ttl_elgbl"/>
    <x v="2"/>
    <s v="1. Concluído"/>
    <m/>
    <m/>
    <m/>
    <m/>
    <s v=""/>
    <s v=""/>
    <s v=""/>
    <m/>
    <m/>
    <m/>
    <m/>
    <m/>
    <x v="0"/>
    <m/>
  </r>
  <r>
    <x v="0"/>
    <x v="2"/>
    <x v="0"/>
    <s v="modesg_out_empr_info_nfin"/>
    <s v="flg_emprs_excl_paris"/>
    <x v="2"/>
    <s v="1. Concluído"/>
    <m/>
    <m/>
    <m/>
    <m/>
    <s v=""/>
    <s v=""/>
    <s v=""/>
    <m/>
    <m/>
    <m/>
    <m/>
    <m/>
    <x v="0"/>
    <m/>
  </r>
  <r>
    <x v="0"/>
    <x v="2"/>
    <x v="0"/>
    <s v="modesg_out_empr_info_nfin"/>
    <s v="flg_nfrd"/>
    <x v="2"/>
    <s v="1. Concluído"/>
    <m/>
    <m/>
    <m/>
    <m/>
    <s v=""/>
    <s v=""/>
    <s v=""/>
    <m/>
    <m/>
    <m/>
    <m/>
    <m/>
    <x v="0"/>
    <m/>
  </r>
  <r>
    <x v="0"/>
    <x v="2"/>
    <x v="0"/>
    <s v="modesg_out_empr_info_nfin"/>
    <s v="origem_alinhamentos"/>
    <x v="2"/>
    <s v="1. Concluído"/>
    <m/>
    <m/>
    <m/>
    <m/>
    <s v=""/>
    <s v=""/>
    <s v=""/>
    <m/>
    <m/>
    <m/>
    <m/>
    <m/>
    <x v="0"/>
    <m/>
  </r>
  <r>
    <x v="0"/>
    <x v="2"/>
    <x v="0"/>
    <s v="modesg_out_empr_info_nfin"/>
    <s v="origem_flg_emprs_excl_paris"/>
    <x v="2"/>
    <s v="1. Concluído"/>
    <m/>
    <m/>
    <m/>
    <m/>
    <s v=""/>
    <s v=""/>
    <s v=""/>
    <m/>
    <m/>
    <m/>
    <m/>
    <m/>
    <x v="0"/>
    <m/>
  </r>
  <r>
    <x v="0"/>
    <x v="2"/>
    <x v="0"/>
    <s v="modesg_out_empr_info_nfin"/>
    <s v="origem_flg_nfrd"/>
    <x v="2"/>
    <s v="1. Concluído"/>
    <m/>
    <m/>
    <m/>
    <m/>
    <s v=""/>
    <s v=""/>
    <s v=""/>
    <m/>
    <m/>
    <m/>
    <m/>
    <m/>
    <x v="0"/>
    <m/>
  </r>
  <r>
    <x v="0"/>
    <x v="2"/>
    <x v="0"/>
    <s v="modesg_out_empr_info_nfin"/>
    <s v="ref_date"/>
    <x v="2"/>
    <s v="1. Concluído"/>
    <m/>
    <m/>
    <m/>
    <m/>
    <s v=""/>
    <s v=""/>
    <s v=""/>
    <m/>
    <m/>
    <m/>
    <m/>
    <m/>
    <x v="0"/>
    <m/>
  </r>
  <r>
    <x v="0"/>
    <x v="2"/>
    <x v="0"/>
    <s v="modesg_out_empr_info_nfin"/>
    <s v="zcliente"/>
    <x v="2"/>
    <s v="1. Concluído"/>
    <m/>
    <m/>
    <m/>
    <m/>
    <s v=""/>
    <s v=""/>
    <s v=""/>
    <m/>
    <m/>
    <m/>
    <m/>
    <m/>
    <x v="0"/>
    <m/>
  </r>
  <r>
    <x v="0"/>
    <x v="2"/>
    <x v="1"/>
    <s v="modesg_out_emss_vcls"/>
    <s v="n.a."/>
    <x v="2"/>
    <s v="1. Concluído"/>
    <m/>
    <m/>
    <m/>
    <m/>
    <s v=""/>
    <s v=""/>
    <s v=""/>
    <m/>
    <m/>
    <m/>
    <m/>
    <m/>
    <x v="0"/>
    <m/>
  </r>
  <r>
    <x v="0"/>
    <x v="2"/>
    <x v="0"/>
    <s v="modesg_out_emss_vcls"/>
    <s v="cempbem"/>
    <x v="2"/>
    <s v="1. Concluído"/>
    <m/>
    <m/>
    <m/>
    <m/>
    <s v=""/>
    <s v=""/>
    <s v=""/>
    <m/>
    <m/>
    <m/>
    <m/>
    <m/>
    <x v="0"/>
    <m/>
  </r>
  <r>
    <x v="0"/>
    <x v="2"/>
    <x v="0"/>
    <s v="modesg_out_emss_vcls"/>
    <s v="ckbalbem"/>
    <x v="2"/>
    <s v="1. Concluído"/>
    <m/>
    <m/>
    <m/>
    <m/>
    <s v=""/>
    <s v=""/>
    <s v=""/>
    <m/>
    <m/>
    <m/>
    <m/>
    <m/>
    <x v="0"/>
    <m/>
  </r>
  <r>
    <x v="0"/>
    <x v="2"/>
    <x v="0"/>
    <s v="modesg_out_emss_vcls"/>
    <s v="ckctabem"/>
    <x v="2"/>
    <s v="1. Concluído"/>
    <m/>
    <m/>
    <m/>
    <m/>
    <s v=""/>
    <s v=""/>
    <s v=""/>
    <m/>
    <m/>
    <m/>
    <m/>
    <m/>
    <x v="0"/>
    <m/>
  </r>
  <r>
    <x v="0"/>
    <x v="2"/>
    <x v="0"/>
    <s v="modesg_out_emss_vcls"/>
    <s v="ckrefbem"/>
    <x v="2"/>
    <s v="1. Concluído"/>
    <m/>
    <m/>
    <m/>
    <m/>
    <s v=""/>
    <s v=""/>
    <s v=""/>
    <m/>
    <m/>
    <m/>
    <m/>
    <m/>
    <x v="0"/>
    <m/>
  </r>
  <r>
    <x v="0"/>
    <x v="2"/>
    <x v="0"/>
    <s v="modesg_out_emss_vcls"/>
    <s v="cnsm_co2"/>
    <x v="2"/>
    <s v="1. Concluído"/>
    <m/>
    <m/>
    <m/>
    <m/>
    <s v=""/>
    <s v=""/>
    <s v=""/>
    <m/>
    <m/>
    <m/>
    <m/>
    <m/>
    <x v="0"/>
    <m/>
  </r>
  <r>
    <x v="0"/>
    <x v="2"/>
    <x v="0"/>
    <s v="modesg_out_emss_vcls"/>
    <s v="origem_scp1_emss"/>
    <x v="2"/>
    <s v="1. Concluído"/>
    <m/>
    <m/>
    <m/>
    <s v="Package X"/>
    <s v=""/>
    <s v=""/>
    <s v=""/>
    <m/>
    <m/>
    <m/>
    <m/>
    <m/>
    <x v="0"/>
    <m/>
  </r>
  <r>
    <x v="0"/>
    <x v="2"/>
    <x v="0"/>
    <s v="modesg_out_emss_vcls"/>
    <s v="origem_scp2_emss"/>
    <x v="2"/>
    <s v="1. Concluído"/>
    <m/>
    <m/>
    <m/>
    <s v="Package X"/>
    <s v=""/>
    <s v=""/>
    <s v=""/>
    <m/>
    <m/>
    <m/>
    <m/>
    <m/>
    <x v="0"/>
    <m/>
  </r>
  <r>
    <x v="0"/>
    <x v="2"/>
    <x v="0"/>
    <s v="modesg_out_emss_vcls"/>
    <s v="origem_scp3_emss"/>
    <x v="2"/>
    <s v="1. Concluído"/>
    <m/>
    <m/>
    <m/>
    <s v="Package X"/>
    <s v=""/>
    <s v=""/>
    <s v=""/>
    <m/>
    <m/>
    <m/>
    <m/>
    <m/>
    <x v="0"/>
    <m/>
  </r>
  <r>
    <x v="0"/>
    <x v="2"/>
    <x v="0"/>
    <s v="modesg_out_emss_vcls"/>
    <s v="ref_date"/>
    <x v="2"/>
    <s v="1. Concluído"/>
    <m/>
    <m/>
    <m/>
    <m/>
    <s v=""/>
    <s v=""/>
    <s v=""/>
    <m/>
    <m/>
    <m/>
    <m/>
    <m/>
    <x v="0"/>
    <m/>
  </r>
  <r>
    <x v="0"/>
    <x v="2"/>
    <x v="0"/>
    <s v="modesg_out_emss_vcls"/>
    <s v="scp1_emss"/>
    <x v="2"/>
    <s v="1. Concluído"/>
    <m/>
    <m/>
    <m/>
    <s v="Package X"/>
    <s v=""/>
    <s v=""/>
    <s v=""/>
    <m/>
    <m/>
    <m/>
    <m/>
    <m/>
    <x v="0"/>
    <m/>
  </r>
  <r>
    <x v="0"/>
    <x v="2"/>
    <x v="0"/>
    <s v="modesg_out_emss_vcls"/>
    <s v="scp2_emss"/>
    <x v="2"/>
    <s v="1. Concluído"/>
    <m/>
    <m/>
    <m/>
    <s v="Package X"/>
    <s v=""/>
    <s v=""/>
    <s v=""/>
    <m/>
    <m/>
    <m/>
    <m/>
    <m/>
    <x v="0"/>
    <m/>
  </r>
  <r>
    <x v="0"/>
    <x v="2"/>
    <x v="0"/>
    <s v="modesg_out_emss_vcls"/>
    <s v="scp3_emss"/>
    <x v="2"/>
    <s v="1. Concluído"/>
    <m/>
    <m/>
    <m/>
    <s v="Package X"/>
    <s v=""/>
    <s v=""/>
    <s v=""/>
    <m/>
    <m/>
    <m/>
    <m/>
    <m/>
    <x v="0"/>
    <m/>
  </r>
  <r>
    <x v="0"/>
    <x v="2"/>
    <x v="0"/>
    <s v="modesg_out_emss_vcls"/>
    <s v="unidade_funcional_scp1_emss"/>
    <x v="2"/>
    <s v="1. Concluído"/>
    <m/>
    <m/>
    <m/>
    <s v="Package X"/>
    <s v=""/>
    <s v=""/>
    <s v=""/>
    <m/>
    <m/>
    <m/>
    <m/>
    <m/>
    <x v="0"/>
    <m/>
  </r>
  <r>
    <x v="0"/>
    <x v="2"/>
    <x v="0"/>
    <s v="modesg_out_emss_vcls"/>
    <s v="unidade_funcional_scp2_emss"/>
    <x v="2"/>
    <s v="1. Concluído"/>
    <m/>
    <m/>
    <m/>
    <s v="Package X"/>
    <s v=""/>
    <s v=""/>
    <s v=""/>
    <m/>
    <m/>
    <m/>
    <m/>
    <m/>
    <x v="0"/>
    <m/>
  </r>
  <r>
    <x v="0"/>
    <x v="2"/>
    <x v="0"/>
    <s v="modesg_out_emss_vcls"/>
    <s v="unidade_funcional_scp3_emss"/>
    <x v="2"/>
    <s v="1. Concluído"/>
    <m/>
    <m/>
    <m/>
    <s v="Package X"/>
    <s v=""/>
    <s v=""/>
    <s v=""/>
    <m/>
    <m/>
    <m/>
    <m/>
    <m/>
    <x v="0"/>
    <m/>
  </r>
  <r>
    <x v="0"/>
    <x v="2"/>
    <x v="0"/>
    <s v="modesg_out_sfics_taxon_europeia"/>
    <s v="ordem"/>
    <x v="0"/>
    <s v="6. Em implementação "/>
    <m/>
    <m/>
    <m/>
    <m/>
    <s v=""/>
    <s v=""/>
    <s v=""/>
    <m/>
    <m/>
    <m/>
    <m/>
    <m/>
    <x v="0"/>
    <m/>
  </r>
  <r>
    <x v="0"/>
    <x v="1"/>
    <x v="0"/>
    <s v="lt003_entity"/>
    <s v="txnmy_elgbl_capex_ccm"/>
    <x v="2"/>
    <s v="1. Concluído"/>
    <m/>
    <m/>
    <m/>
    <m/>
    <s v=""/>
    <s v=""/>
    <s v=""/>
    <m/>
    <m/>
    <m/>
    <m/>
    <m/>
    <x v="0"/>
    <m/>
  </r>
  <r>
    <x v="0"/>
    <x v="1"/>
    <x v="0"/>
    <s v="lt003_entity"/>
    <s v="txnmy_elgbl_trnvr_ccm"/>
    <x v="2"/>
    <s v="1. Concluído"/>
    <m/>
    <m/>
    <m/>
    <m/>
    <s v=""/>
    <s v=""/>
    <s v=""/>
    <m/>
    <m/>
    <m/>
    <m/>
    <m/>
    <x v="0"/>
    <m/>
  </r>
  <r>
    <x v="0"/>
    <x v="1"/>
    <x v="0"/>
    <s v="lt003_entity"/>
    <s v="txnmy_elgbl_capex_cca"/>
    <x v="2"/>
    <s v="1. Concluído"/>
    <m/>
    <m/>
    <m/>
    <m/>
    <s v=""/>
    <s v=""/>
    <s v=""/>
    <m/>
    <m/>
    <m/>
    <m/>
    <m/>
    <x v="0"/>
    <m/>
  </r>
  <r>
    <x v="0"/>
    <x v="1"/>
    <x v="0"/>
    <s v="lt003_entity"/>
    <s v="txnmy_elgbl_trnvr_cca"/>
    <x v="2"/>
    <s v="1. Concluído"/>
    <m/>
    <m/>
    <m/>
    <m/>
    <s v=""/>
    <s v=""/>
    <s v=""/>
    <m/>
    <m/>
    <m/>
    <m/>
    <m/>
    <x v="0"/>
    <m/>
  </r>
  <r>
    <x v="0"/>
    <x v="1"/>
    <x v="0"/>
    <s v="lt003_entity"/>
    <s v="enblng_capex_ccm"/>
    <x v="2"/>
    <s v="1. Concluído"/>
    <m/>
    <m/>
    <m/>
    <m/>
    <s v=""/>
    <s v=""/>
    <s v=""/>
    <m/>
    <m/>
    <m/>
    <m/>
    <m/>
    <x v="0"/>
    <m/>
  </r>
  <r>
    <x v="0"/>
    <x v="1"/>
    <x v="0"/>
    <s v="lt003_entity"/>
    <s v="enblng_capex_cca"/>
    <x v="2"/>
    <s v="1. Concluído"/>
    <m/>
    <m/>
    <m/>
    <m/>
    <s v=""/>
    <s v=""/>
    <s v=""/>
    <m/>
    <m/>
    <m/>
    <m/>
    <m/>
    <x v="0"/>
    <m/>
  </r>
  <r>
    <x v="0"/>
    <x v="1"/>
    <x v="0"/>
    <s v="lt003_entity"/>
    <s v="trnstnl_capex"/>
    <x v="2"/>
    <s v="1. Concluído"/>
    <m/>
    <m/>
    <m/>
    <m/>
    <s v=""/>
    <s v=""/>
    <s v=""/>
    <m/>
    <m/>
    <m/>
    <m/>
    <m/>
    <x v="0"/>
    <m/>
  </r>
  <r>
    <x v="0"/>
    <x v="1"/>
    <x v="0"/>
    <s v="lt003_entity"/>
    <s v="pure_capex_ccm"/>
    <x v="2"/>
    <s v="1. Concluído"/>
    <m/>
    <m/>
    <m/>
    <m/>
    <s v=""/>
    <s v=""/>
    <s v=""/>
    <m/>
    <m/>
    <m/>
    <m/>
    <m/>
    <x v="0"/>
    <m/>
  </r>
  <r>
    <x v="0"/>
    <x v="1"/>
    <x v="0"/>
    <s v="lt003_entity"/>
    <s v="pure_capex_cca"/>
    <x v="2"/>
    <s v="1. Concluído"/>
    <m/>
    <m/>
    <m/>
    <m/>
    <s v=""/>
    <s v=""/>
    <s v=""/>
    <m/>
    <m/>
    <m/>
    <m/>
    <m/>
    <x v="0"/>
    <m/>
  </r>
  <r>
    <x v="0"/>
    <x v="1"/>
    <x v="0"/>
    <s v="lt003_entity"/>
    <s v="enblng_trnvr_ccm"/>
    <x v="2"/>
    <s v="1. Concluído"/>
    <m/>
    <m/>
    <m/>
    <m/>
    <s v=""/>
    <s v=""/>
    <s v=""/>
    <m/>
    <m/>
    <m/>
    <m/>
    <m/>
    <x v="0"/>
    <m/>
  </r>
  <r>
    <x v="0"/>
    <x v="1"/>
    <x v="0"/>
    <s v="lt003_entity"/>
    <s v="enblng_trnvr_cca"/>
    <x v="2"/>
    <s v="1. Concluído"/>
    <m/>
    <m/>
    <m/>
    <m/>
    <s v=""/>
    <s v=""/>
    <s v=""/>
    <m/>
    <m/>
    <m/>
    <m/>
    <m/>
    <x v="0"/>
    <m/>
  </r>
  <r>
    <x v="0"/>
    <x v="1"/>
    <x v="0"/>
    <s v="lt003_entity"/>
    <s v="trnstnl_trnvr"/>
    <x v="2"/>
    <s v="1. Concluído"/>
    <m/>
    <m/>
    <m/>
    <m/>
    <s v=""/>
    <s v=""/>
    <s v=""/>
    <m/>
    <m/>
    <m/>
    <m/>
    <m/>
    <x v="0"/>
    <m/>
  </r>
  <r>
    <x v="0"/>
    <x v="1"/>
    <x v="0"/>
    <s v="lt003_entity"/>
    <s v="pure_trnvr_ccm"/>
    <x v="2"/>
    <s v="1. Concluído"/>
    <m/>
    <m/>
    <m/>
    <m/>
    <s v=""/>
    <s v=""/>
    <s v=""/>
    <m/>
    <m/>
    <m/>
    <m/>
    <m/>
    <x v="0"/>
    <m/>
  </r>
  <r>
    <x v="0"/>
    <x v="1"/>
    <x v="0"/>
    <s v="lt003_entity"/>
    <s v="pure_trnvr_cca"/>
    <x v="2"/>
    <s v="1. Concluído"/>
    <m/>
    <m/>
    <m/>
    <m/>
    <s v=""/>
    <s v=""/>
    <s v=""/>
    <m/>
    <m/>
    <m/>
    <m/>
    <m/>
    <x v="0"/>
    <m/>
  </r>
  <r>
    <x v="0"/>
    <x v="1"/>
    <x v="0"/>
    <s v="lt003_entity"/>
    <s v="flg_nfrd_applcblty"/>
    <x v="2"/>
    <s v="1. Concluído"/>
    <m/>
    <m/>
    <m/>
    <m/>
    <s v=""/>
    <s v=""/>
    <s v=""/>
    <m/>
    <m/>
    <m/>
    <m/>
    <m/>
    <x v="0"/>
    <m/>
  </r>
  <r>
    <x v="0"/>
    <x v="1"/>
    <x v="0"/>
    <s v="lt003_entity"/>
    <s v="cntrprty_emssns_scp1"/>
    <x v="2"/>
    <s v="1. Concluído"/>
    <m/>
    <m/>
    <m/>
    <m/>
    <s v=""/>
    <s v=""/>
    <s v=""/>
    <m/>
    <m/>
    <m/>
    <m/>
    <m/>
    <x v="0"/>
    <m/>
  </r>
  <r>
    <x v="0"/>
    <x v="1"/>
    <x v="0"/>
    <s v="lt003_entity"/>
    <s v="cntrprty_emssns_scp2"/>
    <x v="2"/>
    <s v="1. Concluído"/>
    <m/>
    <m/>
    <m/>
    <m/>
    <s v=""/>
    <s v=""/>
    <s v=""/>
    <m/>
    <m/>
    <m/>
    <m/>
    <m/>
    <x v="0"/>
    <m/>
  </r>
  <r>
    <x v="0"/>
    <x v="1"/>
    <x v="0"/>
    <s v="lt003_entity"/>
    <s v="cntrprty_emssns_scp3"/>
    <x v="2"/>
    <s v="1. Concluído"/>
    <m/>
    <m/>
    <m/>
    <m/>
    <s v=""/>
    <s v=""/>
    <s v=""/>
    <m/>
    <m/>
    <m/>
    <m/>
    <m/>
    <x v="0"/>
    <m/>
  </r>
  <r>
    <x v="0"/>
    <x v="1"/>
    <x v="0"/>
    <s v="lt003_entity"/>
    <s v="flg_excldd_eu_prs_algnd_bnchmrk"/>
    <x v="2"/>
    <s v="1. Concluído"/>
    <m/>
    <m/>
    <m/>
    <m/>
    <s v=""/>
    <s v=""/>
    <s v=""/>
    <m/>
    <m/>
    <m/>
    <m/>
    <m/>
    <x v="0"/>
    <m/>
  </r>
  <r>
    <x v="0"/>
    <x v="1"/>
    <x v="0"/>
    <s v="lt003_entity"/>
    <s v="pst_cd"/>
    <x v="2"/>
    <s v="1. Concluído"/>
    <m/>
    <m/>
    <m/>
    <m/>
    <s v=""/>
    <s v=""/>
    <s v=""/>
    <m/>
    <m/>
    <m/>
    <m/>
    <m/>
    <x v="0"/>
    <m/>
  </r>
  <r>
    <x v="0"/>
    <x v="1"/>
    <x v="0"/>
    <s v="lt003_entity"/>
    <s v="ttl_lblty"/>
    <x v="2"/>
    <s v="1. Concluído"/>
    <m/>
    <m/>
    <m/>
    <m/>
    <s v=""/>
    <s v=""/>
    <s v=""/>
    <d v="2024-10-28T00:00:00"/>
    <m/>
    <m/>
    <m/>
    <m/>
    <x v="0"/>
    <m/>
  </r>
  <r>
    <x v="0"/>
    <x v="1"/>
    <x v="0"/>
    <s v="lt003_entity"/>
    <s v="isin"/>
    <x v="2"/>
    <s v="1. Concluído"/>
    <m/>
    <m/>
    <m/>
    <m/>
    <s v=""/>
    <s v=""/>
    <s v=""/>
    <d v="2024-10-23T00:00:00"/>
    <m/>
    <m/>
    <m/>
    <m/>
    <x v="0"/>
    <m/>
  </r>
  <r>
    <x v="0"/>
    <x v="1"/>
    <x v="0"/>
    <s v="lt003_entity"/>
    <s v="grp_annl_trnvr_le"/>
    <x v="2"/>
    <s v="1. Concluído"/>
    <m/>
    <m/>
    <m/>
    <m/>
    <s v=""/>
    <s v=""/>
    <s v=""/>
    <d v="2024-10-28T00:00:00"/>
    <m/>
    <m/>
    <m/>
    <m/>
    <x v="0"/>
    <m/>
  </r>
  <r>
    <x v="0"/>
    <x v="1"/>
    <x v="0"/>
    <s v="lt003_entity"/>
    <s v="grp_ttl_lblty"/>
    <x v="2"/>
    <s v="1. Concluído"/>
    <m/>
    <m/>
    <m/>
    <m/>
    <s v=""/>
    <s v=""/>
    <s v=""/>
    <d v="2024-10-28T00:00:00"/>
    <m/>
    <m/>
    <m/>
    <m/>
    <x v="0"/>
    <m/>
  </r>
  <r>
    <x v="0"/>
    <x v="1"/>
    <x v="0"/>
    <s v="lt003_entity"/>
    <s v="flg_grp_nfrd_applcblty"/>
    <x v="2"/>
    <s v="1. Concluído"/>
    <m/>
    <m/>
    <m/>
    <m/>
    <s v=""/>
    <s v=""/>
    <s v=""/>
    <d v="2024-10-23T00:00:00"/>
    <m/>
    <m/>
    <m/>
    <m/>
    <x v="0"/>
    <m/>
  </r>
  <r>
    <x v="0"/>
    <x v="1"/>
    <x v="0"/>
    <s v="lt003_entity"/>
    <s v="grp_emssns_scp1"/>
    <x v="2"/>
    <s v="1. Concluído"/>
    <m/>
    <m/>
    <m/>
    <m/>
    <s v=""/>
    <s v=""/>
    <s v=""/>
    <d v="2024-10-23T00:00:00"/>
    <m/>
    <m/>
    <m/>
    <m/>
    <x v="0"/>
    <m/>
  </r>
  <r>
    <x v="0"/>
    <x v="1"/>
    <x v="0"/>
    <s v="lt003_entity"/>
    <s v="grp_emssns_scp2"/>
    <x v="2"/>
    <s v="1. Concluído"/>
    <m/>
    <m/>
    <m/>
    <m/>
    <s v=""/>
    <s v=""/>
    <s v=""/>
    <d v="2024-10-23T00:00:00"/>
    <m/>
    <m/>
    <m/>
    <m/>
    <x v="0"/>
    <m/>
  </r>
  <r>
    <x v="0"/>
    <x v="1"/>
    <x v="0"/>
    <s v="lt003_entity"/>
    <s v="grp_emssns_scp3"/>
    <x v="2"/>
    <s v="1. Concluído"/>
    <m/>
    <m/>
    <m/>
    <m/>
    <s v=""/>
    <s v=""/>
    <s v=""/>
    <d v="2024-10-23T00:00:00"/>
    <m/>
    <m/>
    <m/>
    <m/>
    <x v="0"/>
    <m/>
  </r>
  <r>
    <x v="0"/>
    <x v="1"/>
    <x v="0"/>
    <s v="lt004_protection"/>
    <s v="typ_epc_lbl"/>
    <x v="2"/>
    <s v="1. Concluído"/>
    <m/>
    <m/>
    <m/>
    <s v="Package X"/>
    <s v=""/>
    <s v=""/>
    <s v=""/>
    <m/>
    <m/>
    <m/>
    <m/>
    <m/>
    <x v="0"/>
    <m/>
  </r>
  <r>
    <x v="0"/>
    <x v="1"/>
    <x v="0"/>
    <s v="lt004_protection"/>
    <s v="epc_lbl"/>
    <x v="2"/>
    <s v="1. Concluído"/>
    <m/>
    <m/>
    <m/>
    <s v="Package X"/>
    <s v=""/>
    <s v=""/>
    <s v=""/>
    <m/>
    <m/>
    <m/>
    <m/>
    <m/>
    <x v="0"/>
    <m/>
  </r>
  <r>
    <x v="0"/>
    <x v="1"/>
    <x v="0"/>
    <s v="lt004_protection"/>
    <s v="emssns_scp1_prtctn"/>
    <x v="2"/>
    <s v="1. Concluído"/>
    <m/>
    <m/>
    <m/>
    <s v="Package X"/>
    <s v=""/>
    <s v=""/>
    <s v=""/>
    <m/>
    <m/>
    <m/>
    <m/>
    <m/>
    <x v="0"/>
    <m/>
  </r>
  <r>
    <x v="0"/>
    <x v="1"/>
    <x v="0"/>
    <s v="lt004_protection"/>
    <s v="emssns_scp2_prtctn"/>
    <x v="2"/>
    <s v="1. Concluído"/>
    <m/>
    <m/>
    <m/>
    <s v="Package X"/>
    <s v=""/>
    <s v=""/>
    <s v=""/>
    <m/>
    <m/>
    <m/>
    <m/>
    <m/>
    <x v="0"/>
    <m/>
  </r>
  <r>
    <x v="0"/>
    <x v="1"/>
    <x v="0"/>
    <s v="lt004_protection"/>
    <s v="emssns_scp3_prtctn"/>
    <x v="2"/>
    <s v="1. Concluído"/>
    <m/>
    <m/>
    <m/>
    <s v="Package X"/>
    <s v=""/>
    <s v=""/>
    <s v=""/>
    <m/>
    <m/>
    <m/>
    <m/>
    <m/>
    <x v="0"/>
    <m/>
  </r>
  <r>
    <x v="0"/>
    <x v="1"/>
    <x v="0"/>
    <s v="lt004_protection"/>
    <s v="mthd_usd_prtctn_scp_1"/>
    <x v="2"/>
    <s v="1. Concluído"/>
    <m/>
    <m/>
    <m/>
    <s v="Package X"/>
    <s v=""/>
    <s v=""/>
    <s v=""/>
    <m/>
    <m/>
    <m/>
    <m/>
    <m/>
    <x v="0"/>
    <m/>
  </r>
  <r>
    <x v="0"/>
    <x v="1"/>
    <x v="0"/>
    <s v="lt004_protection"/>
    <s v="mthd_usd_prtctn_scp_2"/>
    <x v="2"/>
    <s v="1. Concluído"/>
    <m/>
    <m/>
    <m/>
    <s v="Package X"/>
    <s v=""/>
    <s v=""/>
    <s v=""/>
    <m/>
    <m/>
    <m/>
    <m/>
    <m/>
    <x v="0"/>
    <m/>
  </r>
  <r>
    <x v="0"/>
    <x v="1"/>
    <x v="0"/>
    <s v="lt004_protection"/>
    <s v="mthd_usd_prtctn_scp_3"/>
    <x v="2"/>
    <s v="1. Concluído"/>
    <m/>
    <m/>
    <m/>
    <s v="Package X"/>
    <s v=""/>
    <s v=""/>
    <s v=""/>
    <m/>
    <m/>
    <m/>
    <m/>
    <m/>
    <x v="0"/>
    <m/>
  </r>
  <r>
    <x v="0"/>
    <x v="1"/>
    <x v="0"/>
    <s v="lt002_instrument"/>
    <s v="rsk_mtgtd_cct"/>
    <x v="2"/>
    <s v="1. Concluído"/>
    <m/>
    <m/>
    <m/>
    <m/>
    <s v=""/>
    <s v=""/>
    <s v=""/>
    <d v="2024-10-30T00:00:00"/>
    <m/>
    <m/>
    <m/>
    <m/>
    <x v="0"/>
    <m/>
  </r>
  <r>
    <x v="0"/>
    <x v="1"/>
    <x v="0"/>
    <s v="lt007_instr_activity"/>
    <s v="envrnmntl_objctv"/>
    <x v="2"/>
    <s v="1. Concluído"/>
    <m/>
    <m/>
    <m/>
    <m/>
    <s v=""/>
    <s v=""/>
    <s v=""/>
    <d v="2024-10-28T00:00:00"/>
    <m/>
    <m/>
    <m/>
    <m/>
    <x v="0"/>
    <s v="Voltar a ver"/>
  </r>
  <r>
    <x v="0"/>
    <x v="1"/>
    <x v="0"/>
    <s v="lt007_instr_activity"/>
    <s v="typ_actvty"/>
    <x v="2"/>
    <s v="1. Concluído"/>
    <m/>
    <m/>
    <m/>
    <m/>
    <s v=""/>
    <s v=""/>
    <s v=""/>
    <d v="2024-10-28T00:00:00"/>
    <m/>
    <m/>
    <m/>
    <m/>
    <x v="0"/>
    <s v="Voltar a ver"/>
  </r>
  <r>
    <x v="0"/>
    <x v="1"/>
    <x v="0"/>
    <s v="lt002_instrument"/>
    <s v="lns_clltrlzd_clssfctn"/>
    <x v="2"/>
    <s v="1. Concluído"/>
    <m/>
    <m/>
    <m/>
    <m/>
    <s v=""/>
    <s v=""/>
    <s v=""/>
    <m/>
    <m/>
    <m/>
    <m/>
    <m/>
    <x v="0"/>
    <m/>
  </r>
  <r>
    <x v="0"/>
    <x v="1"/>
    <x v="0"/>
    <s v="lt827_mthd_usd_instrmnt"/>
    <s v="ambito"/>
    <x v="2"/>
    <s v="1. Concluído"/>
    <m/>
    <m/>
    <m/>
    <m/>
    <s v=""/>
    <s v=""/>
    <s v=""/>
    <d v="2024-10-28T00:00:00"/>
    <m/>
    <m/>
    <m/>
    <m/>
    <x v="0"/>
    <m/>
  </r>
  <r>
    <x v="0"/>
    <x v="1"/>
    <x v="0"/>
    <s v="lt827_mthd_usd_instrmnt"/>
    <s v="ref_date"/>
    <x v="2"/>
    <s v="1. Concluído"/>
    <m/>
    <m/>
    <m/>
    <m/>
    <s v=""/>
    <s v=""/>
    <s v=""/>
    <d v="2024-10-28T00:00:00"/>
    <m/>
    <m/>
    <m/>
    <m/>
    <x v="0"/>
    <m/>
  </r>
  <r>
    <x v="0"/>
    <x v="1"/>
    <x v="0"/>
    <s v="lt827_mthd_usd_instrmnt"/>
    <s v="ordem"/>
    <x v="2"/>
    <s v="1. Concluído"/>
    <m/>
    <m/>
    <m/>
    <m/>
    <s v=""/>
    <s v=""/>
    <s v=""/>
    <d v="2024-10-28T00:00:00"/>
    <m/>
    <m/>
    <m/>
    <m/>
    <x v="0"/>
    <m/>
  </r>
  <r>
    <x v="0"/>
    <x v="1"/>
    <x v="0"/>
    <s v="lt827_mthd_usd_instrmnt"/>
    <s v="tabela"/>
    <x v="2"/>
    <s v="1. Concluído"/>
    <m/>
    <m/>
    <m/>
    <m/>
    <s v=""/>
    <s v=""/>
    <s v=""/>
    <d v="2024-10-28T00:00:00"/>
    <m/>
    <m/>
    <m/>
    <m/>
    <x v="0"/>
    <m/>
  </r>
  <r>
    <x v="0"/>
    <x v="1"/>
    <x v="0"/>
    <s v="lt827_mthd_usd_instrmnt"/>
    <s v="origem_scp1_emss"/>
    <x v="2"/>
    <s v="1. Concluído"/>
    <m/>
    <m/>
    <m/>
    <m/>
    <s v=""/>
    <s v=""/>
    <s v=""/>
    <d v="2024-10-28T00:00:00"/>
    <m/>
    <m/>
    <m/>
    <m/>
    <x v="0"/>
    <m/>
  </r>
  <r>
    <x v="0"/>
    <x v="1"/>
    <x v="0"/>
    <s v="lt827_mthd_usd_instrmnt"/>
    <s v="origem_scp2_emss"/>
    <x v="2"/>
    <s v="1. Concluído"/>
    <m/>
    <m/>
    <m/>
    <m/>
    <s v=""/>
    <s v=""/>
    <s v=""/>
    <d v="2024-10-28T00:00:00"/>
    <m/>
    <m/>
    <m/>
    <m/>
    <x v="0"/>
    <m/>
  </r>
  <r>
    <x v="0"/>
    <x v="1"/>
    <x v="0"/>
    <s v="lt827_mthd_usd_instrmnt"/>
    <s v="origem_scp3_emss"/>
    <x v="2"/>
    <s v="1. Concluído"/>
    <m/>
    <m/>
    <m/>
    <m/>
    <s v=""/>
    <s v=""/>
    <s v=""/>
    <d v="2024-10-28T00:00:00"/>
    <m/>
    <m/>
    <m/>
    <m/>
    <x v="0"/>
    <m/>
  </r>
  <r>
    <x v="0"/>
    <x v="1"/>
    <x v="0"/>
    <s v="lt827_mthd_usd_instrmnt"/>
    <s v="mthd_usd_instrmnt_scp_1"/>
    <x v="2"/>
    <s v="1. Concluído"/>
    <m/>
    <m/>
    <m/>
    <m/>
    <s v=""/>
    <s v=""/>
    <s v=""/>
    <d v="2024-10-28T00:00:00"/>
    <m/>
    <m/>
    <m/>
    <m/>
    <x v="0"/>
    <m/>
  </r>
  <r>
    <x v="0"/>
    <x v="1"/>
    <x v="0"/>
    <s v="lt827_mthd_usd_instrmnt"/>
    <s v="mthd_usd_instrmnt_scp_2"/>
    <x v="2"/>
    <s v="1. Concluído"/>
    <m/>
    <m/>
    <m/>
    <m/>
    <e v="#REF!"/>
    <e v="#REF!"/>
    <e v="#REF!"/>
    <d v="2024-10-28T00:00:00"/>
    <m/>
    <m/>
    <m/>
    <m/>
    <x v="0"/>
    <m/>
  </r>
  <r>
    <x v="0"/>
    <x v="1"/>
    <x v="0"/>
    <s v="lt827_mthd_usd_instrmnt"/>
    <s v="mthd_usd_instrmnt_scp_3"/>
    <x v="2"/>
    <s v="1. Concluído"/>
    <m/>
    <m/>
    <m/>
    <m/>
    <s v=""/>
    <s v=""/>
    <s v=""/>
    <d v="2024-10-28T00:00:00"/>
    <m/>
    <m/>
    <m/>
    <m/>
    <x v="0"/>
    <m/>
  </r>
  <r>
    <x v="0"/>
    <x v="1"/>
    <x v="0"/>
    <s v="lt827_mthd_usd_instrmnt"/>
    <s v="purpose_code"/>
    <x v="2"/>
    <s v="1. Concluído"/>
    <m/>
    <m/>
    <m/>
    <m/>
    <s v=""/>
    <s v=""/>
    <s v=""/>
    <m/>
    <m/>
    <m/>
    <m/>
    <m/>
    <x v="0"/>
    <m/>
  </r>
  <r>
    <x v="0"/>
    <x v="1"/>
    <x v="0"/>
    <s v="lt827_mthd_usd_instrmnt"/>
    <s v="flg_fin"/>
    <x v="2"/>
    <s v="1. Concluído"/>
    <m/>
    <m/>
    <m/>
    <m/>
    <s v=""/>
    <s v=""/>
    <s v=""/>
    <m/>
    <m/>
    <m/>
    <m/>
    <m/>
    <x v="0"/>
    <m/>
  </r>
  <r>
    <x v="0"/>
    <x v="1"/>
    <x v="0"/>
    <s v="lt827_mthd_usd_instrmnt"/>
    <s v="flg_exec"/>
    <x v="2"/>
    <s v="1. Concluído"/>
    <m/>
    <m/>
    <m/>
    <m/>
    <s v=""/>
    <s v=""/>
    <s v=""/>
    <m/>
    <m/>
    <m/>
    <m/>
    <m/>
    <x v="0"/>
    <m/>
  </r>
  <r>
    <x v="0"/>
    <x v="1"/>
    <x v="0"/>
    <s v="lt827_mthd_usd_instrmnt"/>
    <s v="flg_col"/>
    <x v="2"/>
    <s v="1. Concluído"/>
    <m/>
    <m/>
    <m/>
    <m/>
    <s v=""/>
    <s v=""/>
    <s v=""/>
    <m/>
    <m/>
    <m/>
    <m/>
    <m/>
    <x v="0"/>
    <m/>
  </r>
  <r>
    <x v="0"/>
    <x v="1"/>
    <x v="0"/>
    <s v="lt827_mthd_usd_instrmnt"/>
    <s v="flg_pro"/>
    <x v="2"/>
    <s v="1. Concluído"/>
    <m/>
    <m/>
    <m/>
    <m/>
    <s v=""/>
    <s v=""/>
    <s v=""/>
    <m/>
    <m/>
    <m/>
    <m/>
    <m/>
    <x v="0"/>
    <m/>
  </r>
  <r>
    <x v="0"/>
    <x v="1"/>
    <x v="0"/>
    <s v="lt826_esg_sbsctr"/>
    <s v="ambito"/>
    <x v="2"/>
    <s v="1. Concluído"/>
    <m/>
    <m/>
    <m/>
    <m/>
    <s v=""/>
    <s v=""/>
    <s v=""/>
    <m/>
    <m/>
    <m/>
    <m/>
    <m/>
    <x v="0"/>
    <m/>
  </r>
  <r>
    <x v="0"/>
    <x v="1"/>
    <x v="0"/>
    <s v="lt826_esg_sbsctr"/>
    <s v="ref_date"/>
    <x v="2"/>
    <s v="1. Concluído"/>
    <m/>
    <m/>
    <m/>
    <m/>
    <s v=""/>
    <s v=""/>
    <s v=""/>
    <m/>
    <m/>
    <m/>
    <m/>
    <m/>
    <x v="0"/>
    <m/>
  </r>
  <r>
    <x v="0"/>
    <x v="1"/>
    <x v="0"/>
    <s v="lt826_esg_sbsctr"/>
    <s v="ordem"/>
    <x v="2"/>
    <s v="1. Concluído"/>
    <m/>
    <m/>
    <m/>
    <m/>
    <s v=""/>
    <s v=""/>
    <s v=""/>
    <m/>
    <m/>
    <m/>
    <m/>
    <m/>
    <x v="0"/>
    <m/>
  </r>
  <r>
    <x v="0"/>
    <x v="1"/>
    <x v="0"/>
    <s v="lt826_esg_sbsctr"/>
    <s v="nace_code"/>
    <x v="2"/>
    <s v="1. Concluído"/>
    <m/>
    <m/>
    <m/>
    <m/>
    <s v=""/>
    <s v=""/>
    <s v=""/>
    <m/>
    <m/>
    <m/>
    <m/>
    <m/>
    <x v="0"/>
    <m/>
  </r>
  <r>
    <x v="0"/>
    <x v="1"/>
    <x v="0"/>
    <s v="lt826_esg_sbsctr"/>
    <s v="contraparte"/>
    <x v="2"/>
    <s v="1. Concluído"/>
    <m/>
    <m/>
    <m/>
    <m/>
    <s v=""/>
    <s v=""/>
    <s v=""/>
    <m/>
    <m/>
    <m/>
    <m/>
    <m/>
    <x v="0"/>
    <m/>
  </r>
  <r>
    <x v="0"/>
    <x v="1"/>
    <x v="0"/>
    <s v="lt826_esg_sbsctr"/>
    <s v="cnatureza_juri"/>
    <x v="2"/>
    <s v="1. Concluído"/>
    <m/>
    <m/>
    <m/>
    <m/>
    <s v=""/>
    <s v=""/>
    <s v=""/>
    <m/>
    <m/>
    <m/>
    <m/>
    <m/>
    <x v="0"/>
    <m/>
  </r>
  <r>
    <x v="0"/>
    <x v="1"/>
    <x v="0"/>
    <s v="lt826_esg_sbsctr"/>
    <s v="idcomb"/>
    <x v="2"/>
    <s v="1. Concluído"/>
    <m/>
    <m/>
    <m/>
    <m/>
    <s v=""/>
    <s v=""/>
    <s v=""/>
    <m/>
    <m/>
    <m/>
    <m/>
    <m/>
    <x v="0"/>
    <m/>
  </r>
  <r>
    <x v="0"/>
    <x v="1"/>
    <x v="0"/>
    <s v="lt826_esg_sbsctr"/>
    <s v="esg_sbsctr"/>
    <x v="2"/>
    <s v="1. Concluído"/>
    <m/>
    <m/>
    <m/>
    <m/>
    <s v=""/>
    <s v=""/>
    <s v=""/>
    <m/>
    <m/>
    <m/>
    <m/>
    <m/>
    <x v="0"/>
    <m/>
  </r>
  <r>
    <x v="0"/>
    <x v="1"/>
    <x v="0"/>
    <s v="lt826_esg_sbsctr"/>
    <s v="descrição"/>
    <x v="2"/>
    <s v="1. Concluído"/>
    <m/>
    <m/>
    <m/>
    <m/>
    <s v=""/>
    <s v=""/>
    <s v=""/>
    <m/>
    <m/>
    <m/>
    <m/>
    <m/>
    <x v="0"/>
    <m/>
  </r>
  <r>
    <x v="0"/>
    <x v="1"/>
    <x v="0"/>
    <s v="lt002_instrument"/>
    <s v="dt_rfrnc"/>
    <x v="2"/>
    <s v="1. Concluído"/>
    <m/>
    <m/>
    <m/>
    <m/>
    <s v=""/>
    <s v=""/>
    <s v=""/>
    <m/>
    <m/>
    <m/>
    <m/>
    <m/>
    <x v="0"/>
    <m/>
  </r>
  <r>
    <x v="0"/>
    <x v="1"/>
    <x v="0"/>
    <s v="lt002_instrument"/>
    <s v="instrmnt_id"/>
    <x v="2"/>
    <s v="1. Concluído"/>
    <m/>
    <m/>
    <m/>
    <m/>
    <s v=""/>
    <s v=""/>
    <s v=""/>
    <m/>
    <m/>
    <m/>
    <m/>
    <m/>
    <x v="0"/>
    <m/>
  </r>
  <r>
    <x v="0"/>
    <x v="1"/>
    <x v="0"/>
    <s v="lt002_instrument"/>
    <s v="dt_incptn"/>
    <x v="2"/>
    <s v="1. Concluído"/>
    <m/>
    <m/>
    <m/>
    <m/>
    <s v=""/>
    <s v=""/>
    <s v=""/>
    <m/>
    <m/>
    <m/>
    <m/>
    <m/>
    <x v="0"/>
    <m/>
  </r>
  <r>
    <x v="0"/>
    <x v="1"/>
    <x v="0"/>
    <s v="lt002_instrument"/>
    <s v="dflt_stts_instrmnt"/>
    <x v="2"/>
    <s v="1. Concluído"/>
    <m/>
    <m/>
    <m/>
    <m/>
    <s v=""/>
    <s v=""/>
    <s v=""/>
    <m/>
    <m/>
    <m/>
    <m/>
    <m/>
    <x v="0"/>
    <m/>
  </r>
  <r>
    <x v="0"/>
    <x v="1"/>
    <x v="0"/>
    <s v="lt002_instrument"/>
    <s v="imprmnt_stts"/>
    <x v="2"/>
    <s v="1. Concluído"/>
    <m/>
    <m/>
    <m/>
    <m/>
    <s v=""/>
    <s v=""/>
    <s v=""/>
    <m/>
    <m/>
    <m/>
    <m/>
    <m/>
    <x v="0"/>
    <m/>
  </r>
  <r>
    <x v="0"/>
    <x v="1"/>
    <x v="0"/>
    <s v="lt002_instrument"/>
    <s v="prfrmng_stts"/>
    <x v="2"/>
    <s v="1. Concluído"/>
    <m/>
    <m/>
    <m/>
    <m/>
    <s v=""/>
    <s v=""/>
    <s v=""/>
    <m/>
    <m/>
    <m/>
    <m/>
    <m/>
    <x v="0"/>
    <m/>
  </r>
  <r>
    <x v="0"/>
    <x v="1"/>
    <x v="0"/>
    <s v="lt002_instrument"/>
    <s v="prjct_fnnc_ln"/>
    <x v="2"/>
    <s v="1. Concluído"/>
    <m/>
    <m/>
    <m/>
    <m/>
    <s v=""/>
    <s v=""/>
    <s v=""/>
    <m/>
    <m/>
    <m/>
    <m/>
    <m/>
    <x v="0"/>
    <m/>
  </r>
  <r>
    <x v="0"/>
    <x v="1"/>
    <x v="0"/>
    <s v="lt002_instrument"/>
    <s v="typ_instrmnt"/>
    <x v="2"/>
    <s v="1. Concluído"/>
    <m/>
    <m/>
    <m/>
    <m/>
    <s v=""/>
    <s v=""/>
    <s v=""/>
    <m/>
    <m/>
    <m/>
    <m/>
    <m/>
    <x v="0"/>
    <m/>
  </r>
  <r>
    <x v="0"/>
    <x v="1"/>
    <x v="0"/>
    <s v="lt002_instrument"/>
    <s v="grss_crryng_amnt_instrmnt"/>
    <x v="2"/>
    <s v="1. Concluído"/>
    <m/>
    <m/>
    <m/>
    <m/>
    <s v=""/>
    <s v=""/>
    <s v=""/>
    <m/>
    <m/>
    <m/>
    <m/>
    <m/>
    <x v="0"/>
    <m/>
  </r>
  <r>
    <x v="0"/>
    <x v="1"/>
    <x v="0"/>
    <s v="lt002_instrument"/>
    <s v="accmltd_chngs_fv_cr_instrmnt"/>
    <x v="2"/>
    <s v="1. Concluído"/>
    <m/>
    <m/>
    <m/>
    <m/>
    <s v=""/>
    <s v=""/>
    <s v=""/>
    <m/>
    <m/>
    <m/>
    <m/>
    <m/>
    <x v="0"/>
    <m/>
  </r>
  <r>
    <x v="0"/>
    <x v="1"/>
    <x v="0"/>
    <s v="lt002_instrument"/>
    <s v="accntng_clssfctn"/>
    <x v="2"/>
    <s v="1. Concluído"/>
    <m/>
    <m/>
    <m/>
    <m/>
    <s v=""/>
    <s v=""/>
    <s v=""/>
    <m/>
    <m/>
    <m/>
    <m/>
    <m/>
    <x v="0"/>
    <m/>
  </r>
  <r>
    <x v="0"/>
    <x v="1"/>
    <x v="0"/>
    <s v="lt002_instrument"/>
    <s v="dt_lgl_fnl_mtrty"/>
    <x v="2"/>
    <s v="1. Concluído"/>
    <m/>
    <m/>
    <m/>
    <m/>
    <s v=""/>
    <s v=""/>
    <s v=""/>
    <m/>
    <m/>
    <m/>
    <m/>
    <m/>
    <x v="0"/>
    <m/>
  </r>
  <r>
    <x v="0"/>
    <x v="1"/>
    <x v="0"/>
    <s v="lt002_instrument"/>
    <s v="accmltd_imprmnt_instrmnt"/>
    <x v="2"/>
    <s v="1. Concluído"/>
    <m/>
    <m/>
    <m/>
    <m/>
    <s v=""/>
    <s v=""/>
    <s v=""/>
    <m/>
    <m/>
    <m/>
    <m/>
    <m/>
    <x v="0"/>
    <m/>
  </r>
  <r>
    <x v="0"/>
    <x v="1"/>
    <x v="0"/>
    <s v="lt002_instrument"/>
    <s v="issr_cntry"/>
    <x v="2"/>
    <s v="1. Concluído"/>
    <m/>
    <m/>
    <m/>
    <m/>
    <s v=""/>
    <s v=""/>
    <s v=""/>
    <m/>
    <m/>
    <m/>
    <m/>
    <m/>
    <x v="0"/>
    <m/>
  </r>
  <r>
    <x v="0"/>
    <x v="1"/>
    <x v="0"/>
    <s v="lt002_instrument"/>
    <s v="issr_nace_sctr"/>
    <x v="2"/>
    <s v="1. Concluído"/>
    <m/>
    <m/>
    <m/>
    <m/>
    <s v=""/>
    <s v=""/>
    <s v=""/>
    <m/>
    <m/>
    <m/>
    <m/>
    <m/>
    <x v="0"/>
    <m/>
  </r>
  <r>
    <x v="0"/>
    <x v="1"/>
    <x v="0"/>
    <s v="lt002_instrument"/>
    <s v="prmry_asst_clssf"/>
    <x v="2"/>
    <s v="1. Concluído"/>
    <m/>
    <m/>
    <m/>
    <m/>
    <s v=""/>
    <s v=""/>
    <s v=""/>
    <m/>
    <m/>
    <m/>
    <m/>
    <m/>
    <x v="0"/>
    <m/>
  </r>
  <r>
    <x v="0"/>
    <x v="1"/>
    <x v="0"/>
    <s v="lt002_instrument"/>
    <s v="subportfolio_id"/>
    <x v="2"/>
    <s v="1. Concluído"/>
    <m/>
    <m/>
    <m/>
    <m/>
    <s v=""/>
    <s v=""/>
    <s v=""/>
    <m/>
    <m/>
    <m/>
    <m/>
    <m/>
    <x v="0"/>
    <m/>
  </r>
  <r>
    <x v="0"/>
    <x v="1"/>
    <x v="0"/>
    <s v="lt002_instrument"/>
    <s v="cod_soc"/>
    <x v="2"/>
    <s v="1. Concluído"/>
    <m/>
    <m/>
    <m/>
    <m/>
    <s v=""/>
    <s v=""/>
    <s v=""/>
    <m/>
    <m/>
    <m/>
    <m/>
    <m/>
    <x v="0"/>
    <m/>
  </r>
  <r>
    <x v="0"/>
    <x v="1"/>
    <x v="0"/>
    <s v="lt002_instrument"/>
    <s v="lcl_instmrnt_id"/>
    <x v="2"/>
    <s v="1. Concluído"/>
    <m/>
    <m/>
    <m/>
    <m/>
    <s v=""/>
    <s v=""/>
    <s v=""/>
    <m/>
    <m/>
    <m/>
    <m/>
    <m/>
    <x v="0"/>
    <m/>
  </r>
  <r>
    <x v="0"/>
    <x v="1"/>
    <x v="0"/>
    <s v="lt002_instrument"/>
    <s v="idcmb"/>
    <x v="2"/>
    <s v="1. Concluído"/>
    <m/>
    <m/>
    <m/>
    <m/>
    <s v=""/>
    <s v=""/>
    <s v=""/>
    <m/>
    <m/>
    <m/>
    <m/>
    <m/>
    <x v="0"/>
    <m/>
  </r>
  <r>
    <x v="0"/>
    <x v="1"/>
    <x v="0"/>
    <s v="lt003_entity"/>
    <s v="cntry"/>
    <x v="2"/>
    <s v="1. Concluído"/>
    <m/>
    <m/>
    <m/>
    <m/>
    <s v=""/>
    <s v=""/>
    <s v=""/>
    <m/>
    <m/>
    <m/>
    <m/>
    <m/>
    <x v="0"/>
    <m/>
  </r>
  <r>
    <x v="0"/>
    <x v="1"/>
    <x v="0"/>
    <s v="lt003_entity"/>
    <s v="dt_rfrnc"/>
    <x v="2"/>
    <s v="1. Concluído"/>
    <m/>
    <m/>
    <m/>
    <m/>
    <s v=""/>
    <s v=""/>
    <s v=""/>
    <m/>
    <m/>
    <m/>
    <m/>
    <m/>
    <x v="0"/>
    <m/>
  </r>
  <r>
    <x v="0"/>
    <x v="1"/>
    <x v="0"/>
    <s v="lt003_entity"/>
    <s v="entty_id"/>
    <x v="2"/>
    <s v="1. Concluído"/>
    <m/>
    <m/>
    <m/>
    <m/>
    <s v=""/>
    <s v=""/>
    <s v=""/>
    <m/>
    <m/>
    <m/>
    <m/>
    <m/>
    <x v="0"/>
    <m/>
  </r>
  <r>
    <x v="0"/>
    <x v="1"/>
    <x v="0"/>
    <s v="lt003_entity"/>
    <s v="lei"/>
    <x v="2"/>
    <s v="1. Concluído"/>
    <m/>
    <m/>
    <m/>
    <m/>
    <s v=""/>
    <s v=""/>
    <s v=""/>
    <m/>
    <m/>
    <m/>
    <m/>
    <m/>
    <x v="0"/>
    <m/>
  </r>
  <r>
    <x v="0"/>
    <x v="1"/>
    <x v="0"/>
    <s v="lt003_entity"/>
    <s v="ecnmc_actvty"/>
    <x v="2"/>
    <s v="1. Concluído"/>
    <m/>
    <m/>
    <m/>
    <m/>
    <s v=""/>
    <s v=""/>
    <s v=""/>
    <m/>
    <m/>
    <m/>
    <m/>
    <m/>
    <x v="0"/>
    <m/>
  </r>
  <r>
    <x v="0"/>
    <x v="1"/>
    <x v="0"/>
    <s v="lt003_entity"/>
    <s v="grp_eqty"/>
    <x v="2"/>
    <s v="1. Concluído"/>
    <m/>
    <m/>
    <m/>
    <m/>
    <s v=""/>
    <s v=""/>
    <s v=""/>
    <m/>
    <m/>
    <m/>
    <m/>
    <m/>
    <x v="0"/>
    <m/>
  </r>
  <r>
    <x v="0"/>
    <x v="1"/>
    <x v="0"/>
    <s v="lt003_entity"/>
    <s v="annl_trnvr_le"/>
    <x v="2"/>
    <s v="1. Concluído"/>
    <m/>
    <m/>
    <m/>
    <m/>
    <s v=""/>
    <s v=""/>
    <s v=""/>
    <m/>
    <m/>
    <m/>
    <m/>
    <m/>
    <x v="0"/>
    <m/>
  </r>
  <r>
    <x v="0"/>
    <x v="1"/>
    <x v="0"/>
    <s v="lt003_entity"/>
    <s v="eqty"/>
    <x v="2"/>
    <s v="1. Concluído"/>
    <m/>
    <m/>
    <m/>
    <m/>
    <s v=""/>
    <s v=""/>
    <s v=""/>
    <m/>
    <m/>
    <m/>
    <m/>
    <m/>
    <x v="0"/>
    <m/>
  </r>
  <r>
    <x v="0"/>
    <x v="1"/>
    <x v="0"/>
    <s v="lt003_entity"/>
    <s v="grp_ttl_dbt"/>
    <x v="2"/>
    <s v="1. Concluído"/>
    <m/>
    <m/>
    <m/>
    <m/>
    <s v=""/>
    <s v=""/>
    <s v=""/>
    <m/>
    <m/>
    <m/>
    <m/>
    <m/>
    <x v="0"/>
    <m/>
  </r>
  <r>
    <x v="0"/>
    <x v="1"/>
    <x v="0"/>
    <s v="lt003_entity"/>
    <s v="ttl_dbt"/>
    <x v="2"/>
    <s v="1. Concluído"/>
    <m/>
    <m/>
    <m/>
    <m/>
    <s v=""/>
    <s v=""/>
    <s v=""/>
    <m/>
    <m/>
    <m/>
    <m/>
    <m/>
    <x v="0"/>
    <m/>
  </r>
  <r>
    <x v="0"/>
    <x v="1"/>
    <x v="0"/>
    <s v="lt003_entity"/>
    <s v="cod_soc"/>
    <x v="2"/>
    <s v="1. Concluído"/>
    <m/>
    <m/>
    <m/>
    <m/>
    <s v=""/>
    <s v=""/>
    <s v=""/>
    <m/>
    <m/>
    <m/>
    <m/>
    <m/>
    <x v="0"/>
    <m/>
  </r>
  <r>
    <x v="0"/>
    <x v="1"/>
    <x v="0"/>
    <s v="lt004_protection"/>
    <s v="dt_rfrnc"/>
    <x v="2"/>
    <s v="1. Concluído"/>
    <m/>
    <m/>
    <m/>
    <m/>
    <s v=""/>
    <s v=""/>
    <s v=""/>
    <m/>
    <m/>
    <m/>
    <m/>
    <m/>
    <x v="0"/>
    <m/>
  </r>
  <r>
    <x v="0"/>
    <x v="1"/>
    <x v="0"/>
    <s v="lt004_protection"/>
    <s v="prtctn_id"/>
    <x v="2"/>
    <s v="1. Concluído"/>
    <m/>
    <m/>
    <m/>
    <m/>
    <s v=""/>
    <s v=""/>
    <s v=""/>
    <d v="2024-10-23T00:00:00"/>
    <m/>
    <m/>
    <m/>
    <m/>
    <x v="0"/>
    <m/>
  </r>
  <r>
    <x v="0"/>
    <x v="1"/>
    <x v="0"/>
    <s v="lt004_protection"/>
    <s v="rl_estt_clltrl_lctn"/>
    <x v="2"/>
    <s v="1. Concluído"/>
    <m/>
    <m/>
    <m/>
    <s v="Package X"/>
    <s v=""/>
    <s v=""/>
    <s v=""/>
    <d v="2024-10-23T00:00:00"/>
    <m/>
    <m/>
    <m/>
    <m/>
    <x v="0"/>
    <m/>
  </r>
  <r>
    <x v="0"/>
    <x v="1"/>
    <x v="0"/>
    <s v="lt004_protection"/>
    <s v="rl_estt_pst_cd"/>
    <x v="2"/>
    <s v="1. Concluído"/>
    <m/>
    <m/>
    <m/>
    <m/>
    <s v=""/>
    <s v=""/>
    <s v=""/>
    <d v="2024-10-23T00:00:00"/>
    <m/>
    <m/>
    <m/>
    <m/>
    <x v="0"/>
    <m/>
  </r>
  <r>
    <x v="0"/>
    <x v="1"/>
    <x v="0"/>
    <s v="lt004_protection"/>
    <s v="typ_prtctn"/>
    <x v="2"/>
    <s v="1. Concluído"/>
    <m/>
    <m/>
    <m/>
    <m/>
    <s v=""/>
    <s v=""/>
    <s v=""/>
    <d v="2024-10-30T00:00:00"/>
    <m/>
    <m/>
    <m/>
    <m/>
    <x v="0"/>
    <m/>
  </r>
  <r>
    <x v="0"/>
    <x v="1"/>
    <x v="0"/>
    <s v="lt004_protection"/>
    <s v="orgnl_prtctn_vl"/>
    <x v="2"/>
    <s v="1. Concluído"/>
    <m/>
    <m/>
    <m/>
    <m/>
    <s v=""/>
    <s v=""/>
    <s v=""/>
    <d v="2024-10-30T00:00:00"/>
    <m/>
    <m/>
    <m/>
    <m/>
    <x v="0"/>
    <m/>
  </r>
  <r>
    <x v="0"/>
    <x v="1"/>
    <x v="0"/>
    <s v="lt004_protection"/>
    <s v="prtctn_vl"/>
    <x v="2"/>
    <s v="1. Concluído"/>
    <m/>
    <m/>
    <m/>
    <m/>
    <s v=""/>
    <s v=""/>
    <s v=""/>
    <d v="2024-10-23T00:00:00"/>
    <m/>
    <m/>
    <m/>
    <m/>
    <x v="0"/>
    <m/>
  </r>
  <r>
    <x v="0"/>
    <x v="1"/>
    <x v="0"/>
    <s v="lt004_protection"/>
    <s v="cod_soc"/>
    <x v="2"/>
    <s v="1. Concluído"/>
    <m/>
    <m/>
    <m/>
    <m/>
    <s v=""/>
    <s v=""/>
    <s v=""/>
    <m/>
    <m/>
    <m/>
    <m/>
    <m/>
    <x v="0"/>
    <m/>
  </r>
  <r>
    <x v="0"/>
    <x v="1"/>
    <x v="0"/>
    <s v="lt005_instr_ent"/>
    <s v="dt_rfrnc"/>
    <x v="2"/>
    <s v="1. Concluído"/>
    <m/>
    <m/>
    <m/>
    <m/>
    <s v=""/>
    <s v=""/>
    <s v=""/>
    <m/>
    <m/>
    <m/>
    <m/>
    <m/>
    <x v="0"/>
    <m/>
  </r>
  <r>
    <x v="0"/>
    <x v="1"/>
    <x v="0"/>
    <s v="lt005_instr_ent"/>
    <s v="entty_id"/>
    <x v="2"/>
    <s v="1. Concluído"/>
    <m/>
    <m/>
    <m/>
    <m/>
    <s v=""/>
    <s v=""/>
    <s v=""/>
    <m/>
    <m/>
    <m/>
    <m/>
    <m/>
    <x v="0"/>
    <m/>
  </r>
  <r>
    <x v="0"/>
    <x v="1"/>
    <x v="0"/>
    <s v="lt005_instr_ent"/>
    <s v="instrmnt_id"/>
    <x v="2"/>
    <s v="1. Concluído"/>
    <m/>
    <m/>
    <m/>
    <m/>
    <s v=""/>
    <s v=""/>
    <s v=""/>
    <m/>
    <m/>
    <m/>
    <m/>
    <m/>
    <x v="0"/>
    <m/>
  </r>
  <r>
    <x v="0"/>
    <x v="1"/>
    <x v="0"/>
    <s v="lt005_instr_ent"/>
    <s v="cod_soc"/>
    <x v="2"/>
    <s v="1. Concluído"/>
    <m/>
    <m/>
    <m/>
    <m/>
    <s v=""/>
    <s v=""/>
    <s v=""/>
    <m/>
    <m/>
    <m/>
    <m/>
    <m/>
    <x v="0"/>
    <m/>
  </r>
  <r>
    <x v="0"/>
    <x v="1"/>
    <x v="0"/>
    <s v="lt005_instr_ent"/>
    <s v="mn_entty_id"/>
    <x v="2"/>
    <s v="1. Concluído"/>
    <m/>
    <m/>
    <m/>
    <m/>
    <s v=""/>
    <s v=""/>
    <s v=""/>
    <m/>
    <m/>
    <m/>
    <m/>
    <m/>
    <x v="0"/>
    <m/>
  </r>
  <r>
    <x v="0"/>
    <x v="1"/>
    <x v="0"/>
    <s v="lt006_instr_prot"/>
    <s v="dt_rfrnc"/>
    <x v="2"/>
    <s v="1. Concluído"/>
    <m/>
    <m/>
    <m/>
    <m/>
    <s v=""/>
    <s v=""/>
    <s v=""/>
    <m/>
    <m/>
    <m/>
    <m/>
    <m/>
    <x v="0"/>
    <m/>
  </r>
  <r>
    <x v="0"/>
    <x v="1"/>
    <x v="0"/>
    <s v="lt006_instr_prot"/>
    <s v="instrmnt_id"/>
    <x v="2"/>
    <s v="1. Concluído"/>
    <m/>
    <m/>
    <m/>
    <m/>
    <s v=""/>
    <s v=""/>
    <s v=""/>
    <m/>
    <m/>
    <m/>
    <m/>
    <m/>
    <x v="0"/>
    <m/>
  </r>
  <r>
    <x v="0"/>
    <x v="1"/>
    <x v="0"/>
    <s v="lt006_instr_prot"/>
    <s v="prtctn_id"/>
    <x v="2"/>
    <s v="1. Concluído"/>
    <m/>
    <m/>
    <m/>
    <m/>
    <s v=""/>
    <s v=""/>
    <s v=""/>
    <m/>
    <m/>
    <m/>
    <m/>
    <m/>
    <x v="0"/>
    <m/>
  </r>
  <r>
    <x v="0"/>
    <x v="1"/>
    <x v="0"/>
    <s v="lt006_instr_prot"/>
    <s v="cod_soc"/>
    <x v="2"/>
    <s v="1. Concluído"/>
    <m/>
    <m/>
    <m/>
    <m/>
    <s v=""/>
    <s v=""/>
    <s v=""/>
    <m/>
    <m/>
    <m/>
    <m/>
    <m/>
    <x v="0"/>
    <s v="JB"/>
  </r>
  <r>
    <x v="0"/>
    <x v="1"/>
    <x v="0"/>
    <s v="lt004_protection"/>
    <s v="flg_fin"/>
    <x v="5"/>
    <s v="0. Cancelado"/>
    <m/>
    <m/>
    <m/>
    <m/>
    <s v=""/>
    <s v=""/>
    <s v=""/>
    <m/>
    <m/>
    <m/>
    <m/>
    <m/>
    <x v="0"/>
    <s v="JB"/>
  </r>
  <r>
    <x v="0"/>
    <x v="1"/>
    <x v="0"/>
    <s v="lt004_protection"/>
    <s v="flg_exec"/>
    <x v="5"/>
    <s v="0. Cancelado"/>
    <m/>
    <m/>
    <m/>
    <m/>
    <s v=""/>
    <s v=""/>
    <s v=""/>
    <m/>
    <m/>
    <m/>
    <m/>
    <m/>
    <x v="0"/>
    <s v="JB"/>
  </r>
  <r>
    <x v="0"/>
    <x v="1"/>
    <x v="0"/>
    <s v="lt004_protection"/>
    <s v="flg_col"/>
    <x v="5"/>
    <s v="0. Cancelado"/>
    <m/>
    <m/>
    <m/>
    <m/>
    <s v=""/>
    <s v=""/>
    <s v=""/>
    <m/>
    <m/>
    <m/>
    <m/>
    <m/>
    <x v="0"/>
    <m/>
  </r>
  <r>
    <x v="0"/>
    <x v="1"/>
    <x v="0"/>
    <s v="lt004_protection"/>
    <s v="flg_pro"/>
    <x v="5"/>
    <s v="0. Cancelado"/>
    <m/>
    <m/>
    <m/>
    <m/>
    <s v=""/>
    <s v=""/>
    <s v=""/>
    <m/>
    <m/>
    <m/>
    <m/>
    <m/>
    <x v="0"/>
    <m/>
  </r>
  <r>
    <x v="0"/>
    <x v="4"/>
    <x v="0"/>
    <s v="modesg_inp_emss_nace"/>
    <s v="nome_regiao"/>
    <x v="5"/>
    <s v="0. Cancelado"/>
    <m/>
    <m/>
    <m/>
    <s v="Package X"/>
    <s v=""/>
    <s v=""/>
    <s v=""/>
    <m/>
    <m/>
    <m/>
    <m/>
    <m/>
    <x v="0"/>
    <m/>
  </r>
  <r>
    <x v="0"/>
    <x v="4"/>
    <x v="0"/>
    <s v="modesg_inp_emss_nace"/>
    <s v="area_atividade"/>
    <x v="5"/>
    <s v="0. Cancelado"/>
    <m/>
    <m/>
    <m/>
    <s v="Package X"/>
    <s v=""/>
    <s v=""/>
    <s v=""/>
    <m/>
    <m/>
    <m/>
    <m/>
    <m/>
    <x v="0"/>
    <m/>
  </r>
  <r>
    <x v="0"/>
    <x v="4"/>
    <x v="0"/>
    <s v="modesg_inp_emss_nace"/>
    <s v="tipo_atividade"/>
    <x v="5"/>
    <s v="0. Cancelado"/>
    <m/>
    <m/>
    <m/>
    <s v="Package X"/>
    <s v=""/>
    <s v=""/>
    <s v=""/>
    <m/>
    <m/>
    <m/>
    <m/>
    <m/>
    <x v="0"/>
    <m/>
  </r>
  <r>
    <x v="0"/>
    <x v="4"/>
    <x v="0"/>
    <s v="modesg_inp_emss_nace"/>
    <s v="sub_tipo_atividade_1"/>
    <x v="5"/>
    <s v="0. Cancelado"/>
    <m/>
    <m/>
    <m/>
    <s v="Package X"/>
    <s v=""/>
    <s v=""/>
    <s v=""/>
    <m/>
    <m/>
    <m/>
    <m/>
    <m/>
    <x v="0"/>
    <m/>
  </r>
  <r>
    <x v="0"/>
    <x v="4"/>
    <x v="0"/>
    <s v="modesg_inp_emss_nace"/>
    <s v="sub_tipo_atividade_2"/>
    <x v="5"/>
    <s v="0. Cancelado"/>
    <m/>
    <m/>
    <m/>
    <s v="Package X"/>
    <s v=""/>
    <s v=""/>
    <s v=""/>
    <m/>
    <m/>
    <m/>
    <m/>
    <m/>
    <x v="0"/>
    <m/>
  </r>
  <r>
    <x v="0"/>
    <x v="4"/>
    <x v="0"/>
    <s v="modesg_inp_emss_nace"/>
    <s v="unidades_unidade_funcional"/>
    <x v="5"/>
    <s v="0. Cancelado"/>
    <m/>
    <m/>
    <m/>
    <s v="Package X"/>
    <s v=""/>
    <s v=""/>
    <s v=""/>
    <m/>
    <m/>
    <m/>
    <m/>
    <m/>
    <x v="0"/>
    <m/>
  </r>
  <r>
    <x v="0"/>
    <x v="4"/>
    <x v="0"/>
    <s v="modesg_inp_emss_nace"/>
    <s v="fator_emissao"/>
    <x v="5"/>
    <s v="0. Cancelado"/>
    <m/>
    <m/>
    <m/>
    <s v="Package X"/>
    <s v=""/>
    <s v=""/>
    <s v=""/>
    <m/>
    <m/>
    <m/>
    <m/>
    <m/>
    <x v="0"/>
    <m/>
  </r>
  <r>
    <x v="0"/>
    <x v="4"/>
    <x v="0"/>
    <s v="modesg_inp_km_medios_emss_vcls"/>
    <s v="media_scp1_emss"/>
    <x v="5"/>
    <s v="0. Cancelado"/>
    <m/>
    <m/>
    <m/>
    <m/>
    <s v=""/>
    <s v=""/>
    <s v=""/>
    <m/>
    <m/>
    <m/>
    <m/>
    <m/>
    <x v="0"/>
    <m/>
  </r>
  <r>
    <x v="0"/>
    <x v="4"/>
    <x v="0"/>
    <s v="modesg_inp_km_medios_emss_vcls"/>
    <s v="media_scp2_emss"/>
    <x v="5"/>
    <s v="0. Cancelado"/>
    <m/>
    <m/>
    <m/>
    <m/>
    <s v=""/>
    <s v=""/>
    <s v=""/>
    <m/>
    <m/>
    <m/>
    <m/>
    <m/>
    <x v="0"/>
    <m/>
  </r>
  <r>
    <x v="0"/>
    <x v="4"/>
    <x v="0"/>
    <s v="modesg_inp_km_medios_emss_vcls"/>
    <s v="media_scp3_emss"/>
    <x v="5"/>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24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6">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0" series="1">
      <pivotArea type="data" outline="0" fieldPosition="0">
        <references count="2">
          <reference field="4294967294" count="1" selected="0">
            <x v="0"/>
          </reference>
          <reference field="5" count="1" selected="0">
            <x v="4"/>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8" cacheId="25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ll]" cap="All"/>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13">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14"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24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6"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2"/>
    </i>
    <i>
      <x v="6"/>
    </i>
    <i>
      <x v="8"/>
    </i>
    <i t="grand">
      <x/>
    </i>
  </rowItems>
  <colItems count="1">
    <i/>
  </colItems>
  <pageFields count="2">
    <pageField fld="1" hier="-1"/>
    <pageField fld="19" hier="-1"/>
  </pageFields>
  <dataFields count="1">
    <dataField name="Count of Status Atual" fld="5" subtotal="count" baseField="0" baseItem="0"/>
  </dataFields>
  <chartFormats count="11">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24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5"/>
        <item x="2"/>
        <item x="3"/>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1" cacheId="25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6">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4"/>
          </reference>
        </references>
      </pivotArea>
    </chartFormat>
    <chartFormat chart="6" format="58" series="1">
      <pivotArea type="data" outline="0" fieldPosition="0">
        <references count="2">
          <reference field="4294967294" count="1" selected="0">
            <x v="0"/>
          </reference>
          <reference field="5" count="1" selected="0">
            <x v="5"/>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0"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5" cacheId="23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6">
        <item x="0"/>
        <item x="1"/>
        <item x="3"/>
        <item x="4"/>
        <item x="5"/>
        <item x="2"/>
      </items>
    </pivotField>
  </pivotFields>
  <rowFields count="1">
    <field x="6"/>
  </rowFields>
  <rowItems count="5">
    <i>
      <x/>
    </i>
    <i>
      <x v="1"/>
    </i>
    <i>
      <x v="2"/>
    </i>
    <i>
      <x v="5"/>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10">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5"/>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10.xml><?xml version="1.0" encoding="utf-8"?>
<pivotTableDefinition xmlns="http://schemas.openxmlformats.org/spreadsheetml/2006/main" name="PivotTable12"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3"/>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23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0" totalsRowShown="0" headerRowDxfId="268" tableBorderDxfId="267">
  <autoFilter ref="B6:V740">
    <filterColumn colId="1">
      <filters>
        <filter val="Bens Imóveis - Input"/>
        <filter val="Bens Imóveis - Output"/>
      </filters>
    </filterColumn>
    <filterColumn colId="5">
      <filters>
        <filter val="2.2 Em especificação"/>
        <filter val="6. Em implementação"/>
      </filters>
    </filterColumn>
  </autoFilter>
  <tableColumns count="21">
    <tableColumn id="1" name="Âmbito" dataDxfId="266"/>
    <tableColumn id="2" name="Sub-âmbito" dataDxfId="265"/>
    <tableColumn id="3" name="Tipo de teste" dataDxfId="264"/>
    <tableColumn id="4" name="Tabela" dataDxfId="263"/>
    <tableColumn id="5" name="Campo" dataDxfId="262"/>
    <tableColumn id="6" name="Status Atual" dataDxfId="261">
      <calculatedColumnFormula>VLOOKUP(A7,Plano_V3!$A$26:$G$768,7,0)</calculatedColumnFormula>
    </tableColumn>
    <tableColumn id="7" name="Status Anterior" dataDxfId="260"/>
    <tableColumn id="14" name="Fase" dataDxfId="259"/>
    <tableColumn id="8" name="Observações - Especificações" dataDxfId="258"/>
    <tableColumn id="20" name="Observações - Testes" dataDxfId="257"/>
    <tableColumn id="19" name="Observações - Testes sem visibilidade" dataDxfId="256"/>
    <tableColumn id="9" name="Data de Pedido correção/esclarecimento" dataDxfId="255">
      <calculatedColumnFormula>IF(VLOOKUP(A7,'Aux - pivots1'!$A:$E,3,0)=0, "",VLOOKUP(A7,'Aux - pivots1'!$A:$E,3,0))</calculatedColumnFormula>
    </tableColumn>
    <tableColumn id="10" name="Data de correção prevista" dataDxfId="254">
      <calculatedColumnFormula>IF(VLOOKUP(A7,'Aux - pivots1'!$A:$E,4,0)=0, "",VLOOKUP(A7,'Aux - pivots1'!$A:$E,4,0))</calculatedColumnFormula>
    </tableColumn>
    <tableColumn id="11" name="Data de correção efetiva" dataDxfId="253">
      <calculatedColumnFormula>IF(VLOOKUP(A7,'Aux - pivots1'!$A:$E,5,0)=0, "",VLOOKUP(A7,'Aux - pivots1'!$A:$E,5,0))</calculatedColumnFormula>
    </tableColumn>
    <tableColumn id="12" name="Data Prevista de Re-especificação" dataDxfId="252"/>
    <tableColumn id="13" name="Data Prevista de Teste" dataDxfId="251"/>
    <tableColumn id="15" name="Projeto (Aux JB)" dataDxfId="250"/>
    <tableColumn id="18" name="LT Âmbito" dataDxfId="249"/>
    <tableColumn id="21" name="LT Âmbito- Aux" dataDxfId="248"/>
    <tableColumn id="16" name="Plano" dataDxfId="247"/>
    <tableColumn id="17" name="Owner" dataDxfId="246"/>
  </tableColumns>
  <tableStyleInfo showFirstColumn="0" showLastColumn="0" showRowStripes="1" showColumnStripes="0"/>
</table>
</file>

<file path=xl/tables/table2.xml><?xml version="1.0" encoding="utf-8"?>
<table xmlns="http://schemas.openxmlformats.org/spreadsheetml/2006/main" id="1" name="Table1" displayName="Table1" ref="B8:X1532" headerRowDxfId="107" dataDxfId="105" totalsRowDxfId="103" headerRowBorderDxfId="106" tableBorderDxfId="104" totalsRowBorderDxfId="102">
  <autoFilter ref="B8:X1532"/>
  <tableColumns count="23">
    <tableColumn id="1" name="Âmbito" dataDxfId="101" totalsRowDxfId="100"/>
    <tableColumn id="12" name="Sub-âmbito" dataDxfId="99" totalsRowDxfId="98"/>
    <tableColumn id="2" name="Origem" dataDxfId="97" totalsRowDxfId="96"/>
    <tableColumn id="18" name="Campo Origem" dataDxfId="95" totalsRowDxfId="94"/>
    <tableColumn id="5" name="Tabela" dataDxfId="93" totalsRowDxfId="92"/>
    <tableColumn id="3" name="Campo" dataDxfId="91" totalsRowDxfId="90"/>
    <tableColumn id="20" name="concat" dataDxfId="89" totalsRowDxfId="88">
      <calculatedColumnFormula>Table1[[#This Row],[Tabela]]&amp;Table1[[#This Row],[Campo]]</calculatedColumnFormula>
    </tableColumn>
    <tableColumn id="4" name="Status" dataDxfId="87" totalsRowDxfId="86"/>
    <tableColumn id="19" name="Status2" dataDxfId="85">
      <calculatedColumnFormula>VLOOKUP(Table1[[#This Row],[Status]],Auxiliar!$B$16:$C$24,2,0)</calculatedColumnFormula>
    </tableColumn>
    <tableColumn id="6" name="Tipologia_Testes" dataDxfId="84" totalsRowDxfId="83"/>
    <tableColumn id="10" name="Necessidade de re-especificação? (campo)" dataDxfId="82" totalsRowDxfId="81"/>
    <tableColumn id="9" name="Complexidade" dataDxfId="80" totalsRowDxfId="79"/>
    <tableColumn id="17" name="Data de Alteração Status" dataDxfId="78" totalsRowDxfId="77"/>
    <tableColumn id="8" name="Estimação (horas)" totalsRowFunction="custom" dataDxfId="76" totalsRowDxfId="75">
      <calculatedColumnFormula>INDEX(Auxiliar!$D$5:$F$11,MATCH(Table1[[#This Row],[Tipologia_Testes]],Auxiliar!$B$5:$B$11,0),MATCH(Table1[[#This Row],[Complexidade]],Auxiliar!$D$4:$F$4,0))</calculatedColumnFormula>
      <totalsRowFormula>SUMIF(Table1[Estimação (horas)],"&gt;0")</totalsRowFormula>
    </tableColumn>
    <tableColumn id="7" name="Notas" dataDxfId="74" totalsRowDxfId="73"/>
    <tableColumn id="11" name="Owner" dataDxfId="72" totalsRowDxfId="71"/>
    <tableColumn id="21" name="Data alteração especificação" dataDxfId="70" totalsRowDxfId="69"/>
    <tableColumn id="13" name="Data de inicio testes" dataDxfId="68" totalsRowDxfId="67"/>
    <tableColumn id="14" name="Data de incidência / pedido esclarecimento" dataDxfId="66" totalsRowDxfId="65"/>
    <tableColumn id="15" name="Data de correção/resposta prevista" dataDxfId="64" totalsRowDxfId="63"/>
    <tableColumn id="22" name="Data de correção/resposta efetiva" dataDxfId="62" totalsRowDxfId="61"/>
    <tableColumn id="23" name="Horas efetivas" dataDxfId="60" totalsRowDxfId="59">
      <calculatedColumnFormula>VLOOKUP(Table1[[#This Row],[Status]],Auxiliar!$B$16:$D$24,3,0)*Table1[[#This Row],[Estimação (horas)]]</calculatedColumnFormula>
    </tableColumn>
    <tableColumn id="16" name="Query" dataDxfId="58" totalsRowDxfId="57">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2.1 Em Teste</v>
      </c>
      <c r="H397" s="64">
        <f>VLOOKUP(A397,'Aux - pivots1'!$A:$B,2,0)</f>
        <v>2</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 xml:space="preserve">6. Em implementação </v>
      </c>
      <c r="H480" s="64">
        <f>VLOOKUP(A480,'Aux - pivots1'!$A:$B,2,0)</f>
        <v>7</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 xml:space="preserve">6. Em implementação </v>
      </c>
      <c r="H481" s="64">
        <f>VLOOKUP(A481,'Aux - pivots1'!$A:$B,2,0)</f>
        <v>7</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 xml:space="preserve">6. Em implementação </v>
      </c>
      <c r="H497" s="64">
        <f>VLOOKUP(A497,'Aux - pivots1'!$A:$B,2,0)</f>
        <v>7</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 xml:space="preserve">6. Em implementação </v>
      </c>
      <c r="H498" s="64">
        <f>VLOOKUP(A498,'Aux - pivots1'!$A:$B,2,0)</f>
        <v>7</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 xml:space="preserve">6. Em implementação </v>
      </c>
      <c r="H499" s="64">
        <f>VLOOKUP(A499,'Aux - pivots1'!$A:$B,2,0)</f>
        <v>7</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2.1 Em Teste</v>
      </c>
      <c r="H572" s="64">
        <f>VLOOKUP(A572,'Aux - pivots1'!$A:$B,2,0)</f>
        <v>2</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91" priority="11" operator="notEqual">
      <formula>0</formula>
    </cfRule>
  </conditionalFormatting>
  <conditionalFormatting sqref="L21:L23">
    <cfRule type="cellIs" dxfId="290" priority="3" operator="notEqual">
      <formula>0</formula>
    </cfRule>
  </conditionalFormatting>
  <conditionalFormatting sqref="L577:L579">
    <cfRule type="cellIs" dxfId="289" priority="2" operator="notEqual">
      <formula>0</formula>
    </cfRule>
  </conditionalFormatting>
  <conditionalFormatting sqref="L582:L636">
    <cfRule type="cellIs" dxfId="288" priority="1" operator="notEqual">
      <formula>0</formula>
    </cfRule>
  </conditionalFormatting>
  <conditionalFormatting sqref="M5:M6 N6:FK6">
    <cfRule type="cellIs" dxfId="287" priority="12" operator="notEqual">
      <formula>0</formula>
    </cfRule>
  </conditionalFormatting>
  <conditionalFormatting sqref="M15:FK18 M21:FK23 M577:FK579 M636:FK636">
    <cfRule type="cellIs" dxfId="286" priority="10" operator="greaterThan">
      <formula>0</formula>
    </cfRule>
  </conditionalFormatting>
  <conditionalFormatting sqref="M26:FK27">
    <cfRule type="cellIs" dxfId="285" priority="9" operator="greaterThan">
      <formula>0</formula>
    </cfRule>
  </conditionalFormatting>
  <conditionalFormatting sqref="M42:FK42">
    <cfRule type="cellIs" dxfId="284" priority="8" operator="greaterThan">
      <formula>0</formula>
    </cfRule>
  </conditionalFormatting>
  <conditionalFormatting sqref="M198:FK198">
    <cfRule type="cellIs" dxfId="283" priority="7" operator="greaterThan">
      <formula>0</formula>
    </cfRule>
  </conditionalFormatting>
  <conditionalFormatting sqref="M362:FK362">
    <cfRule type="cellIs" dxfId="282" priority="6" operator="greaterThan">
      <formula>0</formula>
    </cfRule>
  </conditionalFormatting>
  <conditionalFormatting sqref="M447:FK447">
    <cfRule type="cellIs" dxfId="281" priority="5" operator="greaterThan">
      <formula>0</formula>
    </cfRule>
  </conditionalFormatting>
  <conditionalFormatting sqref="M582:FK583">
    <cfRule type="cellIs" dxfId="28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opLeftCell="A7" zoomScale="50" zoomScaleNormal="50" zoomScalePageLayoutView="90" workbookViewId="0">
      <selection activeCell="Q34" sqref="Q34"/>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2448</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0.5">
      <c r="A9" s="116"/>
      <c r="B9" s="326"/>
      <c r="C9" s="401" t="s">
        <v>2344</v>
      </c>
      <c r="D9" s="333"/>
      <c r="E9" s="333"/>
      <c r="F9" s="333"/>
      <c r="G9" s="333"/>
      <c r="H9" s="333"/>
      <c r="I9" s="333"/>
      <c r="J9" s="333"/>
      <c r="K9" s="333"/>
      <c r="L9" s="333"/>
      <c r="M9" s="333"/>
      <c r="N9" s="333"/>
      <c r="O9" s="154"/>
      <c r="P9" s="154" t="s">
        <v>2333</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0</v>
      </c>
      <c r="M10" s="333"/>
      <c r="N10" s="333"/>
      <c r="O10" s="333"/>
      <c r="P10" s="333"/>
      <c r="Q10" s="333"/>
      <c r="R10" s="333"/>
      <c r="S10" s="333"/>
      <c r="T10" s="333"/>
      <c r="U10" s="333"/>
      <c r="V10" s="333"/>
      <c r="W10" s="333"/>
      <c r="X10" s="518" t="s">
        <v>2455</v>
      </c>
      <c r="Y10" s="519"/>
      <c r="Z10" s="519"/>
      <c r="AA10" s="519"/>
      <c r="AB10" s="519"/>
      <c r="AC10" s="519"/>
      <c r="AD10" s="519"/>
      <c r="AE10" s="519"/>
      <c r="AF10" s="520"/>
      <c r="AG10" s="334"/>
      <c r="AH10" s="116"/>
    </row>
    <row r="11" spans="1:34" ht="18.75" customHeight="1">
      <c r="A11" s="116"/>
      <c r="B11" s="326"/>
      <c r="C11" s="511" t="s">
        <v>8</v>
      </c>
      <c r="D11" s="512"/>
      <c r="E11" s="515" t="s">
        <v>2358</v>
      </c>
      <c r="F11" s="516"/>
      <c r="G11" s="517"/>
      <c r="H11" s="508" t="s">
        <v>2359</v>
      </c>
      <c r="I11" s="509"/>
      <c r="J11" s="509"/>
      <c r="K11" s="510"/>
      <c r="L11" s="505" t="s">
        <v>2360</v>
      </c>
      <c r="M11" s="506"/>
      <c r="N11" s="507"/>
      <c r="O11" s="388"/>
      <c r="P11" s="421"/>
      <c r="Q11" s="423" t="s">
        <v>2369</v>
      </c>
      <c r="R11" s="550" t="s">
        <v>2367</v>
      </c>
      <c r="S11" s="550"/>
      <c r="T11" s="550" t="s">
        <v>2368</v>
      </c>
      <c r="U11" s="550"/>
      <c r="V11" s="422" t="s">
        <v>13</v>
      </c>
      <c r="W11" s="333"/>
      <c r="X11" s="521"/>
      <c r="Y11" s="522"/>
      <c r="Z11" s="522"/>
      <c r="AA11" s="522"/>
      <c r="AB11" s="522"/>
      <c r="AC11" s="522"/>
      <c r="AD11" s="522"/>
      <c r="AE11" s="522"/>
      <c r="AF11" s="523"/>
      <c r="AG11" s="334"/>
      <c r="AH11" s="116"/>
    </row>
    <row r="12" spans="1:34" ht="18.75" customHeight="1">
      <c r="A12" s="116"/>
      <c r="B12" s="326"/>
      <c r="C12" s="513"/>
      <c r="D12" s="514"/>
      <c r="E12" s="397" t="s">
        <v>1960</v>
      </c>
      <c r="F12" s="391" t="s">
        <v>2308</v>
      </c>
      <c r="G12" s="398" t="s">
        <v>2330</v>
      </c>
      <c r="H12" s="397" t="s">
        <v>2340</v>
      </c>
      <c r="I12" s="390" t="s">
        <v>1960</v>
      </c>
      <c r="J12" s="391" t="s">
        <v>2308</v>
      </c>
      <c r="K12" s="398" t="s">
        <v>2330</v>
      </c>
      <c r="L12" s="397" t="s">
        <v>2340</v>
      </c>
      <c r="M12" s="399" t="s">
        <v>1960</v>
      </c>
      <c r="N12" s="392" t="s">
        <v>2326</v>
      </c>
      <c r="O12" s="388">
        <v>1</v>
      </c>
      <c r="P12" s="333" t="s">
        <v>2334</v>
      </c>
      <c r="Q12" s="404" t="s">
        <v>2350</v>
      </c>
      <c r="R12" s="494">
        <v>20</v>
      </c>
      <c r="S12" s="494"/>
      <c r="T12" s="498">
        <f>+COUNTIFS('2. Status Detalhe Campos FY24'!$C:$C,"*Pilar*",'2. Status Detalhe Campos FY24'!$J:$J,"*"&amp;O12&amp;"*",'2. Status Detalhe Campos FY24'!U:U,"*Novo Plano*")</f>
        <v>20</v>
      </c>
      <c r="U12" s="498"/>
      <c r="V12" s="161" t="s">
        <v>621</v>
      </c>
      <c r="W12" s="333"/>
      <c r="X12" s="521"/>
      <c r="Y12" s="522"/>
      <c r="Z12" s="522"/>
      <c r="AA12" s="522"/>
      <c r="AB12" s="522"/>
      <c r="AC12" s="522"/>
      <c r="AD12" s="522"/>
      <c r="AE12" s="522"/>
      <c r="AF12" s="523"/>
      <c r="AG12" s="334"/>
      <c r="AH12" s="116"/>
    </row>
    <row r="13" spans="1:34" ht="18.75" customHeight="1">
      <c r="A13" s="116"/>
      <c r="B13" s="326"/>
      <c r="C13" s="501" t="s">
        <v>2331</v>
      </c>
      <c r="D13" s="502"/>
      <c r="E13" s="409">
        <v>2</v>
      </c>
      <c r="F13" s="408">
        <v>0</v>
      </c>
      <c r="G13" s="432">
        <v>-2</v>
      </c>
      <c r="H13" s="405">
        <v>2</v>
      </c>
      <c r="I13" s="409">
        <f>+COUNTIFS('2. Status Detalhe Campos FY24'!$C:$C,"*Bens Imóveis*",'2. Status Detalhe Campos FY24'!$J:$J,"*"&amp;$L$10&amp;"*")</f>
        <v>0</v>
      </c>
      <c r="J13" s="431">
        <v>2</v>
      </c>
      <c r="K13" s="432">
        <f>J13-(I13+H13)</f>
        <v>0</v>
      </c>
      <c r="L13" s="405">
        <f t="shared" ref="L13:L21" si="0">+IF(K13&lt;0,-K13,0)</f>
        <v>0</v>
      </c>
      <c r="M13" s="409">
        <v>1</v>
      </c>
      <c r="N13" s="432">
        <f>+M13+L13</f>
        <v>1</v>
      </c>
      <c r="O13" s="388">
        <v>2</v>
      </c>
      <c r="P13" s="333" t="s">
        <v>2335</v>
      </c>
      <c r="Q13" s="404" t="s">
        <v>2351</v>
      </c>
      <c r="R13" s="494">
        <v>15</v>
      </c>
      <c r="S13" s="494"/>
      <c r="T13" s="499">
        <f>+COUNTIFS('2. Status Detalhe Campos FY24'!$C:$C,"*Pilar*",'2. Status Detalhe Campos FY24'!$J:$J,"*"&amp;O13&amp;"*",'2. Status Detalhe Campos FY24'!U:U,"*Novo Plano*")</f>
        <v>14</v>
      </c>
      <c r="U13" s="499"/>
      <c r="V13" s="161" t="s">
        <v>621</v>
      </c>
      <c r="W13" s="333"/>
      <c r="X13" s="521"/>
      <c r="Y13" s="522"/>
      <c r="Z13" s="522"/>
      <c r="AA13" s="522"/>
      <c r="AB13" s="522"/>
      <c r="AC13" s="522"/>
      <c r="AD13" s="522"/>
      <c r="AE13" s="522"/>
      <c r="AF13" s="523"/>
      <c r="AG13" s="334"/>
      <c r="AH13" s="116"/>
    </row>
    <row r="14" spans="1:34" ht="18.75" customHeight="1">
      <c r="A14" s="116"/>
      <c r="B14" s="326"/>
      <c r="C14" s="389" t="s">
        <v>2366</v>
      </c>
      <c r="D14" s="394"/>
      <c r="E14" s="414">
        <v>2</v>
      </c>
      <c r="F14" s="387">
        <v>0</v>
      </c>
      <c r="G14" s="436">
        <v>-2</v>
      </c>
      <c r="H14" s="413">
        <v>2</v>
      </c>
      <c r="I14" s="414">
        <f>+COUNTIFS('2. Status Detalhe Campos FY24'!$C:$C,"*Bens Imóveis*",'2. Status Detalhe Campos FY24'!$J:$J,"*"&amp;$L$10&amp;"*",'2. Status Detalhe Campos FY24'!Q:Q,"*anterior*")</f>
        <v>0</v>
      </c>
      <c r="J14" s="435">
        <v>2</v>
      </c>
      <c r="K14" s="436">
        <f t="shared" ref="K14:K22" si="1">J14-(I14+H14)</f>
        <v>0</v>
      </c>
      <c r="L14" s="413">
        <f t="shared" si="0"/>
        <v>0</v>
      </c>
      <c r="M14" s="414">
        <v>1</v>
      </c>
      <c r="N14" s="436">
        <f t="shared" ref="N14:N21" si="2">+M14+L14</f>
        <v>1</v>
      </c>
      <c r="O14" s="388">
        <v>3</v>
      </c>
      <c r="P14" s="333" t="s">
        <v>2336</v>
      </c>
      <c r="Q14" s="404" t="s">
        <v>2352</v>
      </c>
      <c r="R14" s="494">
        <v>14</v>
      </c>
      <c r="S14" s="494"/>
      <c r="T14" s="499">
        <f>+COUNTIFS('2. Status Detalhe Campos FY24'!$C:$C,"*Pilar*",'2. Status Detalhe Campos FY24'!$J:$J,"*"&amp;O14&amp;"*",'2. Status Detalhe Campos FY24'!U:U,"*Novo Plano*")</f>
        <v>16</v>
      </c>
      <c r="U14" s="499"/>
      <c r="V14" s="161" t="s">
        <v>621</v>
      </c>
      <c r="W14" s="333"/>
      <c r="X14" s="521"/>
      <c r="Y14" s="522"/>
      <c r="Z14" s="522"/>
      <c r="AA14" s="522"/>
      <c r="AB14" s="522"/>
      <c r="AC14" s="522"/>
      <c r="AD14" s="522"/>
      <c r="AE14" s="522"/>
      <c r="AF14" s="523"/>
      <c r="AG14" s="334"/>
      <c r="AH14" s="116"/>
    </row>
    <row r="15" spans="1:34" ht="18.75" customHeight="1">
      <c r="A15" s="116"/>
      <c r="B15" s="326"/>
      <c r="C15" s="393" t="s">
        <v>2356</v>
      </c>
      <c r="D15" s="395"/>
      <c r="E15" s="417">
        <v>0</v>
      </c>
      <c r="F15" s="416">
        <v>0</v>
      </c>
      <c r="G15" s="438">
        <v>0</v>
      </c>
      <c r="H15" s="415">
        <v>0</v>
      </c>
      <c r="I15" s="417">
        <f>+COUNTIFS('2. Status Detalhe Campos FY24'!$C:$C,"*Bens Imóveis*",'2. Status Detalhe Campos FY24'!$J:$J,"*"&amp;$L$10&amp;"*",'2. Status Detalhe Campos FY24'!Q:Q,"*Novo Plano*")</f>
        <v>0</v>
      </c>
      <c r="J15" s="437">
        <v>0</v>
      </c>
      <c r="K15" s="438">
        <f t="shared" si="1"/>
        <v>0</v>
      </c>
      <c r="L15" s="415">
        <f t="shared" si="0"/>
        <v>0</v>
      </c>
      <c r="M15" s="417">
        <f>+COUNTIFS('2. Status Detalhe Campos FY24'!$C:$C,"*Bens Imóveis*",'2. Status Detalhe Campos FY24'!$J:$J,"*"&amp;$L$10&amp;"*",'2. Status Detalhe Campos FY24'!U:U,"*Novo Plano*")</f>
        <v>0</v>
      </c>
      <c r="N15" s="438">
        <f t="shared" si="2"/>
        <v>0</v>
      </c>
      <c r="O15" s="388">
        <v>4</v>
      </c>
      <c r="P15" s="333" t="s">
        <v>2337</v>
      </c>
      <c r="Q15" s="404" t="s">
        <v>2353</v>
      </c>
      <c r="R15" s="494">
        <v>13</v>
      </c>
      <c r="S15" s="494"/>
      <c r="T15" s="499">
        <f>+COUNTIFS('2. Status Detalhe Campos FY24'!$C:$C,"*Pilar*",'2. Status Detalhe Campos FY24'!$J:$J,"*"&amp;O15&amp;"*",'2. Status Detalhe Campos FY24'!U:U,"*Novo Plano*")</f>
        <v>14</v>
      </c>
      <c r="U15" s="499"/>
      <c r="V15" s="161" t="s">
        <v>2450</v>
      </c>
      <c r="W15" s="333"/>
      <c r="X15" s="521"/>
      <c r="Y15" s="522"/>
      <c r="Z15" s="522"/>
      <c r="AA15" s="522"/>
      <c r="AB15" s="522"/>
      <c r="AC15" s="522"/>
      <c r="AD15" s="522"/>
      <c r="AE15" s="522"/>
      <c r="AF15" s="523"/>
      <c r="AG15" s="334"/>
      <c r="AH15" s="116"/>
    </row>
    <row r="16" spans="1:34" ht="18.75" customHeight="1">
      <c r="A16" s="116"/>
      <c r="B16" s="326"/>
      <c r="C16" s="501" t="s">
        <v>29</v>
      </c>
      <c r="D16" s="502"/>
      <c r="E16" s="412">
        <v>1</v>
      </c>
      <c r="F16" s="411">
        <v>1</v>
      </c>
      <c r="G16" s="434">
        <v>0</v>
      </c>
      <c r="H16" s="410">
        <v>0</v>
      </c>
      <c r="I16" s="412">
        <f>+COUNTIFS('2. Status Detalhe Campos FY24'!$C:$C,"*Verde*",'2. Status Detalhe Campos FY24'!$J:$J,"*"&amp;$L$10&amp;"*")</f>
        <v>0</v>
      </c>
      <c r="J16" s="433">
        <v>0</v>
      </c>
      <c r="K16" s="434">
        <f t="shared" si="1"/>
        <v>0</v>
      </c>
      <c r="L16" s="410">
        <f t="shared" si="0"/>
        <v>0</v>
      </c>
      <c r="M16" s="412">
        <v>1</v>
      </c>
      <c r="N16" s="434">
        <f t="shared" si="2"/>
        <v>1</v>
      </c>
      <c r="O16" s="388">
        <v>5</v>
      </c>
      <c r="P16" s="421" t="s">
        <v>2338</v>
      </c>
      <c r="Q16" s="425" t="s">
        <v>2354</v>
      </c>
      <c r="R16" s="495">
        <v>6</v>
      </c>
      <c r="S16" s="495"/>
      <c r="T16" s="500">
        <f>+COUNTIFS('2. Status Detalhe Campos FY24'!$C:$C,"*Pilar*",'2. Status Detalhe Campos FY24'!$J:$J,"*"&amp;O16&amp;"*",'2. Status Detalhe Campos FY24'!U:U,"*Novo Plano*")</f>
        <v>7</v>
      </c>
      <c r="U16" s="500"/>
      <c r="V16" s="475" t="s">
        <v>2424</v>
      </c>
      <c r="W16" s="333"/>
      <c r="X16" s="521"/>
      <c r="Y16" s="522"/>
      <c r="Z16" s="522"/>
      <c r="AA16" s="522"/>
      <c r="AB16" s="522"/>
      <c r="AC16" s="522"/>
      <c r="AD16" s="522"/>
      <c r="AE16" s="522"/>
      <c r="AF16" s="523"/>
      <c r="AG16" s="334"/>
      <c r="AH16" s="116"/>
    </row>
    <row r="17" spans="1:34" ht="18.75" customHeight="1">
      <c r="A17" s="116"/>
      <c r="B17" s="326"/>
      <c r="C17" s="389" t="s">
        <v>2366</v>
      </c>
      <c r="D17" s="394"/>
      <c r="E17" s="414">
        <v>1</v>
      </c>
      <c r="F17" s="387">
        <v>1</v>
      </c>
      <c r="G17" s="436">
        <v>0</v>
      </c>
      <c r="H17" s="413">
        <v>0</v>
      </c>
      <c r="I17" s="414">
        <f>+COUNTIFS('2. Status Detalhe Campos FY24'!$C:$C,"*Verde*",'2. Status Detalhe Campos FY24'!$J:$J,"*"&amp;$L$10&amp;"*",'2. Status Detalhe Campos FY24'!Q:Q,"*anterior*")</f>
        <v>0</v>
      </c>
      <c r="J17" s="435">
        <v>0</v>
      </c>
      <c r="K17" s="436">
        <f t="shared" si="1"/>
        <v>0</v>
      </c>
      <c r="L17" s="413">
        <f t="shared" si="0"/>
        <v>0</v>
      </c>
      <c r="M17" s="414">
        <v>1</v>
      </c>
      <c r="N17" s="436">
        <f t="shared" si="2"/>
        <v>1</v>
      </c>
      <c r="O17" s="333"/>
      <c r="P17" s="424" t="s">
        <v>2370</v>
      </c>
      <c r="Q17" s="333"/>
      <c r="R17" s="496">
        <f>+SUM(R12:S16)</f>
        <v>68</v>
      </c>
      <c r="S17" s="496"/>
      <c r="T17" s="497">
        <f>+SUM(T12:T16)</f>
        <v>71</v>
      </c>
      <c r="U17" s="497"/>
      <c r="V17" s="426"/>
      <c r="W17" s="333"/>
      <c r="X17" s="521"/>
      <c r="Y17" s="522"/>
      <c r="Z17" s="522"/>
      <c r="AA17" s="522"/>
      <c r="AB17" s="522"/>
      <c r="AC17" s="522"/>
      <c r="AD17" s="522"/>
      <c r="AE17" s="522"/>
      <c r="AF17" s="523"/>
      <c r="AG17" s="334"/>
      <c r="AH17" s="116"/>
    </row>
    <row r="18" spans="1:34" ht="18.75" customHeight="1">
      <c r="A18" s="116"/>
      <c r="B18" s="326"/>
      <c r="C18" s="393" t="s">
        <v>2356</v>
      </c>
      <c r="D18" s="395"/>
      <c r="E18" s="417">
        <v>0</v>
      </c>
      <c r="F18" s="416">
        <v>0</v>
      </c>
      <c r="G18" s="438">
        <v>0</v>
      </c>
      <c r="H18" s="415">
        <v>0</v>
      </c>
      <c r="I18" s="417">
        <f>+COUNTIFS('2. Status Detalhe Campos FY24'!$C:$C,"*Verde*",'2. Status Detalhe Campos FY24'!$J:$J,"*"&amp;$L$10&amp;"*",'2. Status Detalhe Campos FY24'!Q:Q,"*Novo Plano*")</f>
        <v>0</v>
      </c>
      <c r="J18" s="437">
        <v>0</v>
      </c>
      <c r="K18" s="438">
        <f t="shared" si="1"/>
        <v>0</v>
      </c>
      <c r="L18" s="415">
        <f t="shared" si="0"/>
        <v>0</v>
      </c>
      <c r="M18" s="417">
        <f>+COUNTIFS('2. Status Detalhe Campos FY24'!$C:$C,"*Verde*",'2. Status Detalhe Campos FY24'!$J:$J,"*"&amp;$L$10&amp;"*",'2. Status Detalhe Campos FY24'!U:U,"*Novo Plano*")</f>
        <v>0</v>
      </c>
      <c r="N18" s="438">
        <f t="shared" si="2"/>
        <v>0</v>
      </c>
      <c r="O18" s="333"/>
      <c r="P18" s="370"/>
      <c r="Q18" s="403"/>
      <c r="R18" s="420"/>
      <c r="S18" s="333"/>
      <c r="T18" s="333"/>
      <c r="U18" s="333"/>
      <c r="V18" s="333"/>
      <c r="W18" s="333"/>
      <c r="X18" s="521"/>
      <c r="Y18" s="522"/>
      <c r="Z18" s="522"/>
      <c r="AA18" s="522"/>
      <c r="AB18" s="522"/>
      <c r="AC18" s="522"/>
      <c r="AD18" s="522"/>
      <c r="AE18" s="522"/>
      <c r="AF18" s="523"/>
      <c r="AG18" s="334"/>
      <c r="AH18" s="116"/>
    </row>
    <row r="19" spans="1:34" ht="18.649999999999999" customHeight="1">
      <c r="A19" s="116"/>
      <c r="B19" s="326"/>
      <c r="C19" s="501" t="s">
        <v>2332</v>
      </c>
      <c r="D19" s="502"/>
      <c r="E19" s="412">
        <v>8</v>
      </c>
      <c r="F19" s="411">
        <v>8</v>
      </c>
      <c r="G19" s="434">
        <v>-5</v>
      </c>
      <c r="H19" s="410">
        <v>5</v>
      </c>
      <c r="I19" s="412">
        <f>+COUNTIFS('2. Status Detalhe Campos FY24'!$C:$C,"*Verde*",'2. Status Detalhe Campos FY24'!$J:$J,"*"&amp;$L$10&amp;"*")</f>
        <v>0</v>
      </c>
      <c r="J19" s="433">
        <v>4</v>
      </c>
      <c r="K19" s="434">
        <f t="shared" si="1"/>
        <v>-1</v>
      </c>
      <c r="L19" s="410">
        <v>1</v>
      </c>
      <c r="M19" s="412">
        <f>+COUNTIFS('2. Status Detalhe Campos FY24'!$C:$C,"*Verde*",'2. Status Detalhe Campos FY24'!$J:$J,"*"&amp;$L$10&amp;"*")</f>
        <v>0</v>
      </c>
      <c r="N19" s="434">
        <f t="shared" si="2"/>
        <v>1</v>
      </c>
      <c r="O19" s="333"/>
      <c r="P19" s="370"/>
      <c r="Q19" s="333"/>
      <c r="R19" s="333"/>
      <c r="S19" s="333"/>
      <c r="T19" s="333"/>
      <c r="U19" s="333"/>
      <c r="V19" s="333"/>
      <c r="W19" s="333"/>
      <c r="X19" s="521"/>
      <c r="Y19" s="522"/>
      <c r="Z19" s="522"/>
      <c r="AA19" s="522"/>
      <c r="AB19" s="522"/>
      <c r="AC19" s="522"/>
      <c r="AD19" s="522"/>
      <c r="AE19" s="522"/>
      <c r="AF19" s="523"/>
      <c r="AG19" s="334"/>
      <c r="AH19" s="116"/>
    </row>
    <row r="20" spans="1:34" ht="18.75" customHeight="1">
      <c r="A20" s="116"/>
      <c r="B20" s="326"/>
      <c r="C20" s="389" t="s">
        <v>2366</v>
      </c>
      <c r="D20" s="396"/>
      <c r="E20" s="414">
        <v>8</v>
      </c>
      <c r="F20" s="419">
        <v>7</v>
      </c>
      <c r="G20" s="440">
        <v>-2</v>
      </c>
      <c r="H20" s="418">
        <v>2</v>
      </c>
      <c r="I20" s="414">
        <f>+COUNTIFS('2. Status Detalhe Campos FY24'!$C:$C,"*Verde*",'2. Status Detalhe Campos FY24'!$J:$J,"*"&amp;$L$10&amp;"*",'2. Status Detalhe Campos FY24'!Q:Q,"*anterior*")</f>
        <v>0</v>
      </c>
      <c r="J20" s="439">
        <v>2</v>
      </c>
      <c r="K20" s="440">
        <f t="shared" si="1"/>
        <v>0</v>
      </c>
      <c r="L20" s="418">
        <f t="shared" si="0"/>
        <v>0</v>
      </c>
      <c r="M20" s="414">
        <f>+COUNTIFS('2. Status Detalhe Campos FY24'!$C:$C,"*Verde*",'2. Status Detalhe Campos FY24'!$J:$J,"*"&amp;$L$10&amp;"*",'2. Status Detalhe Campos FY24'!U:U,"*anterior*")</f>
        <v>0</v>
      </c>
      <c r="N20" s="436">
        <f t="shared" si="2"/>
        <v>0</v>
      </c>
      <c r="O20" s="333"/>
      <c r="P20" s="370"/>
      <c r="Q20" s="333"/>
      <c r="R20" s="333"/>
      <c r="S20" s="333"/>
      <c r="T20" s="333"/>
      <c r="U20" s="333"/>
      <c r="V20" s="333"/>
      <c r="W20" s="333"/>
      <c r="X20" s="521"/>
      <c r="Y20" s="522"/>
      <c r="Z20" s="522"/>
      <c r="AA20" s="522"/>
      <c r="AB20" s="522"/>
      <c r="AC20" s="522"/>
      <c r="AD20" s="522"/>
      <c r="AE20" s="522"/>
      <c r="AF20" s="523"/>
      <c r="AG20" s="334"/>
      <c r="AH20" s="116"/>
    </row>
    <row r="21" spans="1:34" ht="18.75" customHeight="1">
      <c r="A21" s="116"/>
      <c r="B21" s="326"/>
      <c r="C21" s="393" t="s">
        <v>2356</v>
      </c>
      <c r="D21" s="395"/>
      <c r="E21" s="417">
        <v>0</v>
      </c>
      <c r="F21" s="416">
        <v>1</v>
      </c>
      <c r="G21" s="438">
        <v>-3</v>
      </c>
      <c r="H21" s="441">
        <v>3</v>
      </c>
      <c r="I21" s="417">
        <v>0</v>
      </c>
      <c r="J21" s="437">
        <v>2</v>
      </c>
      <c r="K21" s="438">
        <f t="shared" si="1"/>
        <v>-1</v>
      </c>
      <c r="L21" s="441">
        <f t="shared" si="0"/>
        <v>1</v>
      </c>
      <c r="M21" s="417">
        <v>0</v>
      </c>
      <c r="N21" s="438">
        <f t="shared" si="2"/>
        <v>1</v>
      </c>
      <c r="O21" s="333"/>
      <c r="P21" s="370"/>
      <c r="Q21" s="333"/>
      <c r="R21" s="333"/>
      <c r="S21" s="333"/>
      <c r="T21" s="333"/>
      <c r="U21" s="333"/>
      <c r="V21" s="333"/>
      <c r="W21" s="333"/>
      <c r="X21" s="521"/>
      <c r="Y21" s="522"/>
      <c r="Z21" s="522"/>
      <c r="AA21" s="522"/>
      <c r="AB21" s="522"/>
      <c r="AC21" s="522"/>
      <c r="AD21" s="522"/>
      <c r="AE21" s="522"/>
      <c r="AF21" s="523"/>
      <c r="AG21" s="334"/>
      <c r="AH21" s="116"/>
    </row>
    <row r="22" spans="1:34" ht="18.75" customHeight="1">
      <c r="A22" s="116"/>
      <c r="B22" s="326"/>
      <c r="C22" s="503" t="s">
        <v>2326</v>
      </c>
      <c r="D22" s="504"/>
      <c r="E22" s="464">
        <f>SUM(E13,E16,E19)</f>
        <v>11</v>
      </c>
      <c r="F22" s="470">
        <f>SUM(F13,F16,F19)</f>
        <v>9</v>
      </c>
      <c r="G22" s="470">
        <f>SUM(G13,G16,G19)</f>
        <v>-7</v>
      </c>
      <c r="H22" s="463">
        <f>SUM(H13,H16,H19)</f>
        <v>7</v>
      </c>
      <c r="I22" s="465">
        <v>0</v>
      </c>
      <c r="J22" s="468">
        <f>SUM(J13,J16,J19)</f>
        <v>6</v>
      </c>
      <c r="K22" s="470">
        <f t="shared" si="1"/>
        <v>-1</v>
      </c>
      <c r="L22" s="463">
        <f>+SUM(L13,L16,L19)</f>
        <v>1</v>
      </c>
      <c r="M22" s="465">
        <f>+SUM(M13,M16,M19)</f>
        <v>2</v>
      </c>
      <c r="N22" s="470">
        <f>+SUM(N13,N16,N19)</f>
        <v>3</v>
      </c>
      <c r="O22" s="333"/>
      <c r="P22" s="370"/>
      <c r="Q22" s="333"/>
      <c r="R22" s="333"/>
      <c r="S22" s="333"/>
      <c r="T22" s="333"/>
      <c r="U22" s="333"/>
      <c r="V22" s="333"/>
      <c r="W22" s="333"/>
      <c r="X22" s="521"/>
      <c r="Y22" s="522"/>
      <c r="Z22" s="522"/>
      <c r="AA22" s="522"/>
      <c r="AB22" s="522"/>
      <c r="AC22" s="522"/>
      <c r="AD22" s="522"/>
      <c r="AE22" s="522"/>
      <c r="AF22" s="523"/>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521"/>
      <c r="Y23" s="522"/>
      <c r="Z23" s="522"/>
      <c r="AA23" s="522"/>
      <c r="AB23" s="522"/>
      <c r="AC23" s="522"/>
      <c r="AD23" s="522"/>
      <c r="AE23" s="522"/>
      <c r="AF23" s="523"/>
      <c r="AG23" s="334"/>
      <c r="AH23" s="116"/>
    </row>
    <row r="24" spans="1:34" ht="18.75" customHeight="1">
      <c r="A24" s="116"/>
      <c r="B24" s="326"/>
      <c r="C24" s="401" t="s">
        <v>2343</v>
      </c>
      <c r="D24" s="333"/>
      <c r="E24" s="333"/>
      <c r="F24" s="333"/>
      <c r="G24" s="333"/>
      <c r="H24" s="333"/>
      <c r="I24" s="333"/>
      <c r="J24" s="333"/>
      <c r="K24" s="333"/>
      <c r="L24" s="333"/>
      <c r="M24" s="333"/>
      <c r="N24" s="333"/>
      <c r="O24" s="333"/>
      <c r="P24" s="333"/>
      <c r="Q24" s="333"/>
      <c r="R24" s="154"/>
      <c r="S24" s="333"/>
      <c r="T24" s="333"/>
      <c r="U24" s="333"/>
      <c r="V24" s="333"/>
      <c r="W24" s="333"/>
      <c r="X24" s="521"/>
      <c r="Y24" s="522"/>
      <c r="Z24" s="522"/>
      <c r="AA24" s="522"/>
      <c r="AB24" s="522"/>
      <c r="AC24" s="522"/>
      <c r="AD24" s="522"/>
      <c r="AE24" s="522"/>
      <c r="AF24" s="523"/>
      <c r="AG24" s="334"/>
      <c r="AH24" s="116"/>
    </row>
    <row r="25" spans="1:34" ht="18.75" customHeight="1">
      <c r="A25" s="116"/>
      <c r="B25" s="326"/>
      <c r="C25" s="333"/>
      <c r="D25" s="333"/>
      <c r="E25" s="388">
        <v>1</v>
      </c>
      <c r="F25" s="388"/>
      <c r="G25" s="388"/>
      <c r="H25" s="388"/>
      <c r="I25" s="388">
        <v>1</v>
      </c>
      <c r="J25" s="388"/>
      <c r="K25" s="333"/>
      <c r="L25" s="333"/>
      <c r="M25" s="333"/>
      <c r="N25" s="333"/>
      <c r="O25" s="333"/>
      <c r="P25" s="388" t="s">
        <v>2449</v>
      </c>
      <c r="Q25" s="333"/>
      <c r="R25" s="333"/>
      <c r="S25" s="333"/>
      <c r="T25" s="333"/>
      <c r="U25" s="333"/>
      <c r="V25" s="333"/>
      <c r="W25" s="333"/>
      <c r="X25" s="521"/>
      <c r="Y25" s="522"/>
      <c r="Z25" s="522"/>
      <c r="AA25" s="522"/>
      <c r="AB25" s="522"/>
      <c r="AC25" s="522"/>
      <c r="AD25" s="522"/>
      <c r="AE25" s="522"/>
      <c r="AF25" s="523"/>
      <c r="AG25" s="334"/>
      <c r="AH25" s="116"/>
    </row>
    <row r="26" spans="1:34" ht="18.75" customHeight="1">
      <c r="A26" s="116"/>
      <c r="B26" s="326"/>
      <c r="C26" s="511" t="s">
        <v>8</v>
      </c>
      <c r="D26" s="512"/>
      <c r="E26" s="505" t="s">
        <v>2339</v>
      </c>
      <c r="F26" s="506"/>
      <c r="G26" s="506"/>
      <c r="H26" s="506"/>
      <c r="I26" s="507"/>
      <c r="J26" s="508" t="s">
        <v>2345</v>
      </c>
      <c r="K26" s="509"/>
      <c r="L26" s="509"/>
      <c r="M26" s="509"/>
      <c r="N26" s="509"/>
      <c r="O26" s="510"/>
      <c r="P26" s="505" t="s">
        <v>2346</v>
      </c>
      <c r="Q26" s="506"/>
      <c r="R26" s="507"/>
      <c r="S26" s="333"/>
      <c r="T26" s="333"/>
      <c r="U26" s="161"/>
      <c r="V26" s="333"/>
      <c r="W26" s="333"/>
      <c r="X26" s="521"/>
      <c r="Y26" s="522"/>
      <c r="Z26" s="522"/>
      <c r="AA26" s="522"/>
      <c r="AB26" s="522"/>
      <c r="AC26" s="522"/>
      <c r="AD26" s="522"/>
      <c r="AE26" s="522"/>
      <c r="AF26" s="523"/>
      <c r="AG26" s="334"/>
      <c r="AH26" s="116"/>
    </row>
    <row r="27" spans="1:34" ht="18.75" customHeight="1">
      <c r="A27" s="116"/>
      <c r="B27" s="326"/>
      <c r="C27" s="513"/>
      <c r="D27" s="514"/>
      <c r="E27" s="397" t="s">
        <v>1960</v>
      </c>
      <c r="F27" s="391" t="s">
        <v>2347</v>
      </c>
      <c r="G27" s="400" t="s">
        <v>2348</v>
      </c>
      <c r="H27" s="402" t="s">
        <v>2349</v>
      </c>
      <c r="I27" s="398" t="s">
        <v>2330</v>
      </c>
      <c r="J27" s="397" t="s">
        <v>2340</v>
      </c>
      <c r="K27" s="390" t="s">
        <v>1960</v>
      </c>
      <c r="L27" s="391" t="s">
        <v>2347</v>
      </c>
      <c r="M27" s="400" t="s">
        <v>2348</v>
      </c>
      <c r="N27" s="402" t="s">
        <v>2349</v>
      </c>
      <c r="O27" s="398" t="s">
        <v>2330</v>
      </c>
      <c r="P27" s="397" t="s">
        <v>2340</v>
      </c>
      <c r="Q27" s="399" t="s">
        <v>1960</v>
      </c>
      <c r="R27" s="392" t="s">
        <v>2326</v>
      </c>
      <c r="S27" s="333"/>
      <c r="T27" s="333"/>
      <c r="U27" s="370"/>
      <c r="V27" s="333"/>
      <c r="W27" s="333"/>
      <c r="X27" s="521"/>
      <c r="Y27" s="522"/>
      <c r="Z27" s="522"/>
      <c r="AA27" s="522"/>
      <c r="AB27" s="522"/>
      <c r="AC27" s="522"/>
      <c r="AD27" s="522"/>
      <c r="AE27" s="522"/>
      <c r="AF27" s="523"/>
      <c r="AG27" s="334"/>
      <c r="AH27" s="116"/>
    </row>
    <row r="28" spans="1:34" ht="18.75" customHeight="1">
      <c r="A28" s="116"/>
      <c r="B28" s="326"/>
      <c r="C28" s="501" t="s">
        <v>2331</v>
      </c>
      <c r="D28" s="502"/>
      <c r="E28" s="442">
        <v>47</v>
      </c>
      <c r="F28" s="443">
        <v>0</v>
      </c>
      <c r="G28" s="444">
        <v>45</v>
      </c>
      <c r="H28" s="444">
        <v>0</v>
      </c>
      <c r="I28" s="445">
        <v>-2</v>
      </c>
      <c r="J28" s="442">
        <v>2</v>
      </c>
      <c r="K28" s="444">
        <v>0</v>
      </c>
      <c r="L28" s="406">
        <v>0</v>
      </c>
      <c r="M28" s="431">
        <v>2</v>
      </c>
      <c r="N28" s="407">
        <v>0</v>
      </c>
      <c r="O28" s="432">
        <f>+SUM(J28:K28)-SUM(L28:N28)</f>
        <v>0</v>
      </c>
      <c r="P28" s="444">
        <f>+COUNTIFS('2. Status Detalhe Campos FY24'!$C:$C,"*Bens Imóveis*",'2. Status Detalhe Campos FY24'!$K:$K,"*"&amp;$P$25&amp;"*")</f>
        <v>0</v>
      </c>
      <c r="Q28" s="444">
        <f>+COUNTIFS('2. Status Detalhe Campos FY24'!$C:$C,"*Bens Imóveis*",'2. Status Detalhe Campos FY24'!$K:$K,"*"&amp;$P$25&amp;"*")</f>
        <v>0</v>
      </c>
      <c r="R28" s="445">
        <f>+Q28+P28</f>
        <v>0</v>
      </c>
      <c r="S28" s="333"/>
      <c r="T28" s="333"/>
      <c r="U28" s="370"/>
      <c r="V28" s="333"/>
      <c r="W28" s="333"/>
      <c r="X28" s="521"/>
      <c r="Y28" s="522"/>
      <c r="Z28" s="522"/>
      <c r="AA28" s="522"/>
      <c r="AB28" s="522"/>
      <c r="AC28" s="522"/>
      <c r="AD28" s="522"/>
      <c r="AE28" s="522"/>
      <c r="AF28" s="523"/>
      <c r="AG28" s="334"/>
      <c r="AH28" s="116"/>
    </row>
    <row r="29" spans="1:34" ht="18.75" customHeight="1">
      <c r="A29" s="116"/>
      <c r="B29" s="326"/>
      <c r="C29" s="389" t="s">
        <v>2357</v>
      </c>
      <c r="D29" s="394"/>
      <c r="E29" s="451">
        <v>47</v>
      </c>
      <c r="F29" s="452">
        <v>0</v>
      </c>
      <c r="G29" s="453">
        <v>45</v>
      </c>
      <c r="H29" s="453">
        <v>0</v>
      </c>
      <c r="I29" s="454">
        <v>-2</v>
      </c>
      <c r="J29" s="451">
        <v>2</v>
      </c>
      <c r="K29" s="453">
        <v>0</v>
      </c>
      <c r="L29" s="455">
        <v>0</v>
      </c>
      <c r="M29" s="435">
        <v>2</v>
      </c>
      <c r="N29" s="456">
        <v>0</v>
      </c>
      <c r="O29" s="436">
        <f t="shared" ref="O29:O36" si="3">+SUM(J29:K29)-SUM(L29:N29)</f>
        <v>0</v>
      </c>
      <c r="P29" s="453">
        <f>+COUNTIFS('2. Status Detalhe Campos FY24'!$C:$C,"*Bens Imóveis*",'2. Status Detalhe Campos FY24'!$K:$K,"*"&amp;$P$25&amp;"*",'2. Status Detalhe Campos FY24'!T:T,"*anterior*")</f>
        <v>0</v>
      </c>
      <c r="Q29" s="453">
        <f>+COUNTIFS('2. Status Detalhe Campos FY24'!$C:$C,"*Bens Imóveis*",'2. Status Detalhe Campos FY24'!$K:$K,"*"&amp;$P$25&amp;"*",'2. Status Detalhe Campos FY24'!U:U,"*anterior*")</f>
        <v>0</v>
      </c>
      <c r="R29" s="454">
        <f t="shared" ref="R29:R36" si="4">+Q29+P29</f>
        <v>0</v>
      </c>
      <c r="S29" s="333"/>
      <c r="T29" s="333"/>
      <c r="U29" s="333"/>
      <c r="V29" s="333"/>
      <c r="W29" s="333"/>
      <c r="X29" s="521"/>
      <c r="Y29" s="522"/>
      <c r="Z29" s="522"/>
      <c r="AA29" s="522"/>
      <c r="AB29" s="522"/>
      <c r="AC29" s="522"/>
      <c r="AD29" s="522"/>
      <c r="AE29" s="522"/>
      <c r="AF29" s="523"/>
      <c r="AG29" s="334"/>
      <c r="AH29" s="116"/>
    </row>
    <row r="30" spans="1:34" ht="18.75" customHeight="1">
      <c r="A30" s="116"/>
      <c r="B30" s="326"/>
      <c r="C30" s="393" t="s">
        <v>2356</v>
      </c>
      <c r="D30" s="395"/>
      <c r="E30" s="457">
        <v>0</v>
      </c>
      <c r="F30" s="458">
        <v>0</v>
      </c>
      <c r="G30" s="459">
        <v>0</v>
      </c>
      <c r="H30" s="459">
        <v>0</v>
      </c>
      <c r="I30" s="460">
        <v>0</v>
      </c>
      <c r="J30" s="457">
        <v>0</v>
      </c>
      <c r="K30" s="459">
        <v>0</v>
      </c>
      <c r="L30" s="461">
        <v>0</v>
      </c>
      <c r="M30" s="493">
        <v>0</v>
      </c>
      <c r="N30" s="462">
        <v>0</v>
      </c>
      <c r="O30" s="438">
        <f t="shared" si="3"/>
        <v>0</v>
      </c>
      <c r="P30" s="453">
        <f>+COUNTIFS('2. Status Detalhe Campos FY24'!$C:$C,"*Bens Imóveis*",'2. Status Detalhe Campos FY24'!$K:$K,"*"&amp;$P$25&amp;"*",'2. Status Detalhe Campos FY24'!T:T,"*anterior*")</f>
        <v>0</v>
      </c>
      <c r="Q30" s="459">
        <f>+COUNTIFS('2. Status Detalhe Campos FY24'!$C:$C,"*Bens Imóveis*",'2. Status Detalhe Campos FY24'!$K:$K,"*"&amp;$P$25&amp;"*",'2. Status Detalhe Campos FY24'!U:U,"*Novo Plano*")</f>
        <v>0</v>
      </c>
      <c r="R30" s="460">
        <f t="shared" si="4"/>
        <v>0</v>
      </c>
      <c r="S30" s="333"/>
      <c r="T30" s="333"/>
      <c r="U30" s="333"/>
      <c r="V30" s="333"/>
      <c r="W30" s="333"/>
      <c r="X30" s="521"/>
      <c r="Y30" s="522"/>
      <c r="Z30" s="522"/>
      <c r="AA30" s="522"/>
      <c r="AB30" s="522"/>
      <c r="AC30" s="522"/>
      <c r="AD30" s="522"/>
      <c r="AE30" s="522"/>
      <c r="AF30" s="523"/>
      <c r="AG30" s="334"/>
      <c r="AH30" s="116"/>
    </row>
    <row r="31" spans="1:34" ht="18.75" customHeight="1">
      <c r="A31" s="116"/>
      <c r="B31" s="326"/>
      <c r="C31" s="501" t="s">
        <v>29</v>
      </c>
      <c r="D31" s="502"/>
      <c r="E31" s="442">
        <v>17</v>
      </c>
      <c r="F31" s="443">
        <v>0</v>
      </c>
      <c r="G31" s="444">
        <v>17</v>
      </c>
      <c r="H31" s="444">
        <v>0</v>
      </c>
      <c r="I31" s="445">
        <v>0</v>
      </c>
      <c r="J31" s="442">
        <v>0</v>
      </c>
      <c r="K31" s="444">
        <v>5</v>
      </c>
      <c r="L31" s="406">
        <v>1</v>
      </c>
      <c r="M31" s="433">
        <v>4</v>
      </c>
      <c r="N31" s="407">
        <v>0</v>
      </c>
      <c r="O31" s="432">
        <f t="shared" si="3"/>
        <v>0</v>
      </c>
      <c r="P31" s="444">
        <v>1</v>
      </c>
      <c r="Q31" s="444">
        <f>+COUNTIFS('2. Status Detalhe Campos FY24'!$C:$C,"*Verde*",'2. Status Detalhe Campos FY24'!$K:$K,"*"&amp;$P$25&amp;"*")</f>
        <v>0</v>
      </c>
      <c r="R31" s="445">
        <f t="shared" si="4"/>
        <v>1</v>
      </c>
      <c r="S31" s="333"/>
      <c r="T31" s="333"/>
      <c r="U31" s="333"/>
      <c r="V31" s="333"/>
      <c r="W31" s="333"/>
      <c r="X31" s="521"/>
      <c r="Y31" s="522"/>
      <c r="Z31" s="522"/>
      <c r="AA31" s="522"/>
      <c r="AB31" s="522"/>
      <c r="AC31" s="522"/>
      <c r="AD31" s="522"/>
      <c r="AE31" s="522"/>
      <c r="AF31" s="523"/>
      <c r="AG31" s="334"/>
      <c r="AH31" s="116"/>
    </row>
    <row r="32" spans="1:34" ht="18.75" customHeight="1">
      <c r="A32" s="116"/>
      <c r="B32" s="326"/>
      <c r="C32" s="389" t="s">
        <v>2357</v>
      </c>
      <c r="D32" s="394"/>
      <c r="E32" s="451">
        <v>12</v>
      </c>
      <c r="F32" s="452">
        <v>0</v>
      </c>
      <c r="G32" s="453">
        <v>12</v>
      </c>
      <c r="H32" s="453">
        <v>0</v>
      </c>
      <c r="I32" s="454">
        <v>0</v>
      </c>
      <c r="J32" s="451">
        <v>0</v>
      </c>
      <c r="K32" s="453">
        <v>5</v>
      </c>
      <c r="L32" s="455">
        <v>1</v>
      </c>
      <c r="M32" s="435">
        <v>4</v>
      </c>
      <c r="N32" s="456">
        <v>0</v>
      </c>
      <c r="O32" s="436">
        <f t="shared" si="3"/>
        <v>0</v>
      </c>
      <c r="P32" s="453">
        <v>1</v>
      </c>
      <c r="Q32" s="453">
        <f>+COUNTIFS('2. Status Detalhe Campos FY24'!$C:$C,"*Verde*",'2. Status Detalhe Campos FY24'!$K:$K,"*"&amp;$P$25&amp;"*",'2. Status Detalhe Campos FY24'!U:U,"*anterior*")</f>
        <v>0</v>
      </c>
      <c r="R32" s="454">
        <f t="shared" si="4"/>
        <v>1</v>
      </c>
      <c r="S32" s="333"/>
      <c r="T32" s="333"/>
      <c r="U32" s="333"/>
      <c r="V32" s="333"/>
      <c r="W32" s="333"/>
      <c r="X32" s="521"/>
      <c r="Y32" s="522"/>
      <c r="Z32" s="522"/>
      <c r="AA32" s="522"/>
      <c r="AB32" s="522"/>
      <c r="AC32" s="522"/>
      <c r="AD32" s="522"/>
      <c r="AE32" s="522"/>
      <c r="AF32" s="523"/>
      <c r="AG32" s="334"/>
      <c r="AH32" s="116"/>
    </row>
    <row r="33" spans="1:34" ht="18.75" customHeight="1">
      <c r="A33" s="116"/>
      <c r="B33" s="326"/>
      <c r="C33" s="393" t="s">
        <v>2356</v>
      </c>
      <c r="D33" s="395"/>
      <c r="E33" s="457">
        <v>5</v>
      </c>
      <c r="F33" s="458">
        <v>0</v>
      </c>
      <c r="G33" s="459">
        <v>5</v>
      </c>
      <c r="H33" s="459">
        <v>0</v>
      </c>
      <c r="I33" s="460">
        <v>0</v>
      </c>
      <c r="J33" s="457">
        <v>0</v>
      </c>
      <c r="K33" s="459">
        <v>0</v>
      </c>
      <c r="L33" s="461">
        <v>0</v>
      </c>
      <c r="M33" s="437">
        <v>0</v>
      </c>
      <c r="N33" s="462">
        <v>0</v>
      </c>
      <c r="O33" s="438">
        <f t="shared" si="3"/>
        <v>0</v>
      </c>
      <c r="P33" s="453">
        <f>+COUNTIFS('2. Status Detalhe Campos FY24'!$C:$C,"*Verde*",'2. Status Detalhe Campos FY24'!$K:$K,"*"&amp;$P$25&amp;"*",'2. Status Detalhe Campos FY24'!T:T,"*anterior*")</f>
        <v>0</v>
      </c>
      <c r="Q33" s="459">
        <f>+COUNTIFS('2. Status Detalhe Campos FY24'!$C:$C,"*Verde*",'2. Status Detalhe Campos FY24'!$K:$K,"*"&amp;$P$25&amp;"*",'2. Status Detalhe Campos FY24'!U:U,"*Novo Plano*")</f>
        <v>0</v>
      </c>
      <c r="R33" s="460">
        <f t="shared" si="4"/>
        <v>0</v>
      </c>
      <c r="S33" s="333"/>
      <c r="T33" s="333"/>
      <c r="U33" s="333"/>
      <c r="V33" s="333"/>
      <c r="W33" s="333"/>
      <c r="X33" s="521"/>
      <c r="Y33" s="522"/>
      <c r="Z33" s="522"/>
      <c r="AA33" s="522"/>
      <c r="AB33" s="522"/>
      <c r="AC33" s="522"/>
      <c r="AD33" s="522"/>
      <c r="AE33" s="522"/>
      <c r="AF33" s="523"/>
      <c r="AG33" s="334"/>
      <c r="AH33" s="116"/>
    </row>
    <row r="34" spans="1:34" ht="18.75" customHeight="1">
      <c r="A34" s="116"/>
      <c r="B34" s="326"/>
      <c r="C34" s="501" t="s">
        <v>2332</v>
      </c>
      <c r="D34" s="502"/>
      <c r="E34" s="442">
        <v>2</v>
      </c>
      <c r="F34" s="443">
        <v>0</v>
      </c>
      <c r="G34" s="444">
        <v>2</v>
      </c>
      <c r="H34" s="444">
        <v>0</v>
      </c>
      <c r="I34" s="445">
        <v>0</v>
      </c>
      <c r="J34" s="442">
        <v>0</v>
      </c>
      <c r="K34" s="444">
        <v>0</v>
      </c>
      <c r="L34" s="406">
        <v>0</v>
      </c>
      <c r="M34" s="433">
        <v>0</v>
      </c>
      <c r="N34" s="407">
        <v>0</v>
      </c>
      <c r="O34" s="432">
        <f t="shared" si="3"/>
        <v>0</v>
      </c>
      <c r="P34" s="444">
        <f>+COUNTIFS('2. Status Detalhe Campos FY24'!$C:$C,"*Bens Imóveis*",'2. Status Detalhe Campos FY24'!$K:$K,"*"&amp;$P$25&amp;"*")</f>
        <v>0</v>
      </c>
      <c r="Q34" s="444">
        <f>+COUNTIFS('2. Status Detalhe Campos FY24'!$C:$C,"*Pilar*",'2. Status Detalhe Campos FY24'!$K:$K,"*"&amp;$P$25&amp;"*")</f>
        <v>33</v>
      </c>
      <c r="R34" s="445">
        <f t="shared" si="4"/>
        <v>33</v>
      </c>
      <c r="S34" s="333"/>
      <c r="T34" s="333"/>
      <c r="U34" s="333"/>
      <c r="V34" s="333"/>
      <c r="W34" s="333"/>
      <c r="X34" s="521"/>
      <c r="Y34" s="522"/>
      <c r="Z34" s="522"/>
      <c r="AA34" s="522"/>
      <c r="AB34" s="522"/>
      <c r="AC34" s="522"/>
      <c r="AD34" s="522"/>
      <c r="AE34" s="522"/>
      <c r="AF34" s="523"/>
      <c r="AG34" s="334"/>
      <c r="AH34" s="116"/>
    </row>
    <row r="35" spans="1:34" ht="18.75" customHeight="1">
      <c r="A35" s="116"/>
      <c r="B35" s="326"/>
      <c r="C35" s="389" t="s">
        <v>2357</v>
      </c>
      <c r="D35" s="396"/>
      <c r="E35" s="451">
        <v>2</v>
      </c>
      <c r="F35" s="452">
        <v>0</v>
      </c>
      <c r="G35" s="453">
        <v>2</v>
      </c>
      <c r="H35" s="453">
        <v>0</v>
      </c>
      <c r="I35" s="454">
        <v>0</v>
      </c>
      <c r="J35" s="451">
        <v>0</v>
      </c>
      <c r="K35" s="453">
        <v>0</v>
      </c>
      <c r="L35" s="455">
        <v>0</v>
      </c>
      <c r="M35" s="439">
        <v>0</v>
      </c>
      <c r="N35" s="456">
        <v>0</v>
      </c>
      <c r="O35" s="436">
        <f t="shared" si="3"/>
        <v>0</v>
      </c>
      <c r="P35" s="453">
        <f>+COUNTIFS('2. Status Detalhe Campos FY24'!$C:$C,"*Pilar*",'2. Status Detalhe Campos FY24'!$K:$K,"*"&amp;$P$25&amp;"*",'2. Status Detalhe Campos FY24'!T:T,"*anterior*")</f>
        <v>0</v>
      </c>
      <c r="Q35" s="453">
        <f>+COUNTIFS('2. Status Detalhe Campos FY24'!$C:$C,"*Pilar*",'2. Status Detalhe Campos FY24'!$K:$K,"*"&amp;$P$25&amp;"*",'2. Status Detalhe Campos FY24'!U:U,"*anterior*")</f>
        <v>1</v>
      </c>
      <c r="R35" s="454">
        <f t="shared" si="4"/>
        <v>1</v>
      </c>
      <c r="S35" s="333"/>
      <c r="T35" s="333"/>
      <c r="U35" s="333"/>
      <c r="V35" s="333"/>
      <c r="W35" s="333"/>
      <c r="X35" s="521"/>
      <c r="Y35" s="522"/>
      <c r="Z35" s="522"/>
      <c r="AA35" s="522"/>
      <c r="AB35" s="522"/>
      <c r="AC35" s="522"/>
      <c r="AD35" s="522"/>
      <c r="AE35" s="522"/>
      <c r="AF35" s="523"/>
      <c r="AG35" s="334"/>
      <c r="AH35" s="116"/>
    </row>
    <row r="36" spans="1:34" ht="18.75" customHeight="1">
      <c r="A36" s="116"/>
      <c r="B36" s="326"/>
      <c r="C36" s="393" t="s">
        <v>2356</v>
      </c>
      <c r="D36" s="395"/>
      <c r="E36" s="457">
        <v>0</v>
      </c>
      <c r="F36" s="458">
        <v>0</v>
      </c>
      <c r="G36" s="459">
        <v>0</v>
      </c>
      <c r="H36" s="459">
        <v>0</v>
      </c>
      <c r="I36" s="460">
        <v>0</v>
      </c>
      <c r="J36" s="457">
        <v>0</v>
      </c>
      <c r="K36" s="459">
        <v>0</v>
      </c>
      <c r="L36" s="461">
        <v>0</v>
      </c>
      <c r="M36" s="437">
        <v>0</v>
      </c>
      <c r="N36" s="462">
        <v>0</v>
      </c>
      <c r="O36" s="438">
        <f t="shared" si="3"/>
        <v>0</v>
      </c>
      <c r="P36" s="453">
        <f>+COUNTIFS('2. Status Detalhe Campos FY24'!$C:$C,"*Pilar*",'2. Status Detalhe Campos FY24'!$K:$K,"*"&amp;$P$25&amp;"*",'2. Status Detalhe Campos FY24'!T:T,"*anterior*")</f>
        <v>0</v>
      </c>
      <c r="Q36" s="459">
        <f>+COUNTIFS('2. Status Detalhe Campos FY24'!$C:$C,"*Pilar*",'2. Status Detalhe Campos FY24'!$K:$K,"*"&amp;$P$25&amp;"*",'2. Status Detalhe Campos FY24'!U:U,"*Novo Plano*")</f>
        <v>32</v>
      </c>
      <c r="R36" s="460">
        <f t="shared" si="4"/>
        <v>32</v>
      </c>
      <c r="S36" s="333"/>
      <c r="T36" s="333"/>
      <c r="U36" s="333"/>
      <c r="V36" s="333"/>
      <c r="W36" s="333"/>
      <c r="X36" s="521"/>
      <c r="Y36" s="522"/>
      <c r="Z36" s="522"/>
      <c r="AA36" s="522"/>
      <c r="AB36" s="522"/>
      <c r="AC36" s="522"/>
      <c r="AD36" s="522"/>
      <c r="AE36" s="522"/>
      <c r="AF36" s="523"/>
      <c r="AG36" s="334"/>
      <c r="AH36" s="116"/>
    </row>
    <row r="37" spans="1:34" ht="18.75" customHeight="1">
      <c r="A37" s="116"/>
      <c r="B37" s="326"/>
      <c r="C37" s="503" t="s">
        <v>2326</v>
      </c>
      <c r="D37" s="504"/>
      <c r="E37" s="463">
        <f>SUM(E28,E31,E34)</f>
        <v>66</v>
      </c>
      <c r="F37" s="464">
        <v>0</v>
      </c>
      <c r="G37" s="465">
        <f>SUM(G28,G31,G34)</f>
        <v>64</v>
      </c>
      <c r="H37" s="466">
        <v>0</v>
      </c>
      <c r="I37" s="466">
        <v>-2</v>
      </c>
      <c r="J37" s="463">
        <f>SUM(J28,J31,J34)</f>
        <v>2</v>
      </c>
      <c r="K37" s="465">
        <f>SUM(K28,K31,K34)</f>
        <v>5</v>
      </c>
      <c r="L37" s="467">
        <f t="shared" ref="L37:R37" si="5">+SUM(L28,L31,L34)</f>
        <v>1</v>
      </c>
      <c r="M37" s="468">
        <f t="shared" si="5"/>
        <v>6</v>
      </c>
      <c r="N37" s="469">
        <f t="shared" si="5"/>
        <v>0</v>
      </c>
      <c r="O37" s="466">
        <f t="shared" si="5"/>
        <v>0</v>
      </c>
      <c r="P37" s="463">
        <f>SUM(P28,P31,P34)</f>
        <v>1</v>
      </c>
      <c r="Q37" s="465">
        <f t="shared" si="5"/>
        <v>33</v>
      </c>
      <c r="R37" s="470">
        <f t="shared" si="5"/>
        <v>34</v>
      </c>
      <c r="S37" s="333"/>
      <c r="T37" s="333"/>
      <c r="U37" s="333"/>
      <c r="V37" s="333"/>
      <c r="W37" s="333"/>
      <c r="X37" s="521"/>
      <c r="Y37" s="522"/>
      <c r="Z37" s="522"/>
      <c r="AA37" s="522"/>
      <c r="AB37" s="522"/>
      <c r="AC37" s="522"/>
      <c r="AD37" s="522"/>
      <c r="AE37" s="522"/>
      <c r="AF37" s="523"/>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521"/>
      <c r="Y38" s="522"/>
      <c r="Z38" s="522"/>
      <c r="AA38" s="522"/>
      <c r="AB38" s="522"/>
      <c r="AC38" s="522"/>
      <c r="AD38" s="522"/>
      <c r="AE38" s="522"/>
      <c r="AF38" s="523"/>
      <c r="AG38" s="334"/>
      <c r="AH38" s="116"/>
    </row>
    <row r="39" spans="1:34" ht="19.75"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521"/>
      <c r="Y39" s="522"/>
      <c r="Z39" s="522"/>
      <c r="AA39" s="522"/>
      <c r="AB39" s="522"/>
      <c r="AC39" s="522"/>
      <c r="AD39" s="522"/>
      <c r="AE39" s="522"/>
      <c r="AF39" s="523"/>
      <c r="AG39" s="334"/>
      <c r="AH39" s="116"/>
    </row>
    <row r="40" spans="1:34" ht="19.75"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521"/>
      <c r="Y40" s="522"/>
      <c r="Z40" s="522"/>
      <c r="AA40" s="522"/>
      <c r="AB40" s="522"/>
      <c r="AC40" s="522"/>
      <c r="AD40" s="522"/>
      <c r="AE40" s="522"/>
      <c r="AF40" s="523"/>
      <c r="AG40" s="334"/>
      <c r="AH40" s="116"/>
    </row>
    <row r="41" spans="1:34" ht="19.75"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521"/>
      <c r="Y41" s="522"/>
      <c r="Z41" s="522"/>
      <c r="AA41" s="522"/>
      <c r="AB41" s="522"/>
      <c r="AC41" s="522"/>
      <c r="AD41" s="522"/>
      <c r="AE41" s="522"/>
      <c r="AF41" s="523"/>
      <c r="AG41" s="334"/>
      <c r="AH41" s="116"/>
    </row>
    <row r="42" spans="1:34" ht="19.75"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521"/>
      <c r="Y42" s="522"/>
      <c r="Z42" s="522"/>
      <c r="AA42" s="522"/>
      <c r="AB42" s="522"/>
      <c r="AC42" s="522"/>
      <c r="AD42" s="522"/>
      <c r="AE42" s="522"/>
      <c r="AF42" s="523"/>
      <c r="AG42" s="334"/>
      <c r="AH42" s="116"/>
    </row>
    <row r="43" spans="1:34" ht="18.75"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524"/>
      <c r="Y43" s="525"/>
      <c r="Z43" s="525"/>
      <c r="AA43" s="525"/>
      <c r="AB43" s="525"/>
      <c r="AC43" s="525"/>
      <c r="AD43" s="525"/>
      <c r="AE43" s="525"/>
      <c r="AF43" s="526"/>
      <c r="AG43" s="334"/>
      <c r="AH43" s="116"/>
    </row>
    <row r="44" spans="1:34">
      <c r="A44" s="116"/>
      <c r="B44" s="384">
        <v>1</v>
      </c>
      <c r="C44" s="327"/>
      <c r="D44" s="327"/>
      <c r="E44" s="327"/>
      <c r="F44" s="327"/>
      <c r="G44" s="327"/>
      <c r="H44" s="327"/>
      <c r="I44" s="327"/>
      <c r="J44" s="327"/>
      <c r="K44" s="327"/>
      <c r="L44" s="327"/>
      <c r="M44" s="327"/>
      <c r="N44" s="327"/>
      <c r="O44" s="327"/>
      <c r="P44" s="327"/>
      <c r="Q44" s="327"/>
      <c r="R44" s="327"/>
      <c r="S44" s="327"/>
      <c r="T44" s="327"/>
      <c r="U44" s="327"/>
      <c r="V44" s="327"/>
      <c r="W44" s="327"/>
      <c r="X44" s="327"/>
      <c r="Y44" s="327"/>
      <c r="Z44" s="327"/>
      <c r="AA44" s="327"/>
      <c r="AB44" s="327"/>
      <c r="AC44" s="327"/>
      <c r="AD44" s="327"/>
      <c r="AE44" s="327"/>
      <c r="AF44" s="327"/>
      <c r="AG44" s="385">
        <v>1</v>
      </c>
      <c r="AH44" s="116"/>
    </row>
    <row r="45" spans="1:34">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ht="23">
      <c r="A46" s="116"/>
      <c r="B46" s="126" t="s">
        <v>2327</v>
      </c>
      <c r="C46" s="116"/>
      <c r="D46" s="116"/>
      <c r="E46" s="116"/>
      <c r="F46" s="116"/>
      <c r="G46" s="128" t="s">
        <v>34</v>
      </c>
      <c r="H46" s="128" t="s">
        <v>54</v>
      </c>
      <c r="I46" s="128" t="s">
        <v>181</v>
      </c>
      <c r="J46" s="128" t="s">
        <v>310</v>
      </c>
      <c r="K46" s="128" t="s">
        <v>26</v>
      </c>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5.15" customHeight="1">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c r="A48" s="116"/>
      <c r="B48" s="118"/>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20"/>
      <c r="AH48" s="116"/>
    </row>
    <row r="49" spans="1:34">
      <c r="A49" s="116"/>
      <c r="B49" s="121"/>
      <c r="C49" s="154" t="s">
        <v>606</v>
      </c>
      <c r="G49" s="154" t="s">
        <v>607</v>
      </c>
      <c r="P49" s="129" t="s">
        <v>608</v>
      </c>
      <c r="Q49" s="130"/>
      <c r="R49" s="129"/>
      <c r="S49" s="130"/>
      <c r="T49" s="131">
        <v>45716</v>
      </c>
      <c r="U49" s="131">
        <f>T49+7</f>
        <v>45723</v>
      </c>
      <c r="V49" s="132" t="s">
        <v>609</v>
      </c>
      <c r="X49" s="155" t="s">
        <v>610</v>
      </c>
      <c r="AG49" s="122"/>
      <c r="AH49" s="116"/>
    </row>
    <row r="50" spans="1:34" ht="17.899999999999999" customHeight="1">
      <c r="A50" s="116"/>
      <c r="B50" s="121"/>
      <c r="P50" s="374" t="s">
        <v>611</v>
      </c>
      <c r="Q50" s="374"/>
      <c r="R50" s="374"/>
      <c r="S50" s="374"/>
      <c r="T50" s="374">
        <f>COUNTIFS('2. Status Detalhe Campos FY24'!$H$7:$H$740,'1. Status Resumo FY24'!$P50,'2. Status Detalhe Campos FY24'!$C$7:$C$740,'1. Status Resumo FY24'!$G$46,'2. Status Detalhe Campos FY24'!$D$7:$D$740,"2. Campo")+COUNTIFS('2. Status Detalhe Campos FY24'!$H$7:$H$740,'1. Status Resumo FY24'!$P50,'2. Status Detalhe Campos FY24'!$C$7:$C$740,'1. Status Resumo FY24'!$H$46,'2. Status Detalhe Campos FY24'!$D$7:$D$740,"2. Campo")</f>
        <v>12</v>
      </c>
      <c r="U50" s="374">
        <f>COUNTIFS('2. Status Detalhe Campos FY24'!$G$7:$G$740,'1. Status Resumo FY24'!$P50,'2. Status Detalhe Campos FY24'!$C$7:$C$740,'1. Status Resumo FY24'!$G$46,'2. Status Detalhe Campos FY24'!$D$7:$D$740,"2. Campo")+COUNTIFS('2. Status Detalhe Campos FY24'!$G$7:$G$740,'1. Status Resumo FY24'!$P50,'2. Status Detalhe Campos FY24'!$C$7:$C$740,'1. Status Resumo FY24'!$H$46,'2. Status Detalhe Campos FY24'!$D$7:$D$740,"2. Campo")</f>
        <v>12</v>
      </c>
      <c r="V50" s="374">
        <f t="shared" ref="V50:V76" si="6">U50-T50</f>
        <v>0</v>
      </c>
      <c r="X50" s="529" t="s">
        <v>2452</v>
      </c>
      <c r="Y50" s="530"/>
      <c r="Z50" s="530"/>
      <c r="AA50" s="530"/>
      <c r="AB50" s="530"/>
      <c r="AC50" s="530"/>
      <c r="AD50" s="530"/>
      <c r="AE50" s="530"/>
      <c r="AF50" s="531"/>
      <c r="AG50" s="163"/>
      <c r="AH50" s="116"/>
    </row>
    <row r="51" spans="1:34" ht="17.899999999999999" customHeight="1">
      <c r="A51" s="116"/>
      <c r="B51" s="121"/>
      <c r="P51" s="375" t="s">
        <v>2357</v>
      </c>
      <c r="Q51" s="376"/>
      <c r="R51" s="376"/>
      <c r="S51" s="376"/>
      <c r="T51" s="446">
        <f>COUNTIFS('2. Status Detalhe Campos FY24'!$H$7:$H$740,'1. Status Resumo FY24'!$P50,'2. Status Detalhe Campos FY24'!$C$7:$C$740,'1. Status Resumo FY24'!$G$46,'2. Status Detalhe Campos FY24'!$D$7:$D$740,"2. Campo",'2. Status Detalhe Campos FY24'!$U$7:$U$740,"*Plano anterior*")
+COUNTIFS('2. Status Detalhe Campos FY24'!$H$7:$H$740,'1. Status Resumo FY24'!$P50,'2. Status Detalhe Campos FY24'!$C$7:$C$740,'1. Status Resumo FY24'!$H$46,'2. Status Detalhe Campos FY24'!$D$7:$D$740,"2. Campo",'2. Status Detalhe Campos FY24'!$U$7:$U$740,"*Plano anterior*")</f>
        <v>12</v>
      </c>
      <c r="U51" s="446">
        <f>COUNTIFS('2. Status Detalhe Campos FY24'!$G$7:$G$740,'1. Status Resumo FY24'!$P50,'2. Status Detalhe Campos FY24'!$C$7:$C$740,'1. Status Resumo FY24'!$G$46,'2. Status Detalhe Campos FY24'!$D$7:$D$740,"2. Campo",'2. Status Detalhe Campos FY24'!$U$7:$U$740,"*Plano anterior*")
+COUNTIFS('2. Status Detalhe Campos FY24'!$G$7:$G$740,'1. Status Resumo FY24'!$P50,'2. Status Detalhe Campos FY24'!$C$7:$C$740,'1. Status Resumo FY24'!$H$46,'2. Status Detalhe Campos FY24'!$D$7:$D$740,"2. Campo",'2. Status Detalhe Campos FY24'!$U$7:$U$740,"*Plano anterior*")</f>
        <v>12</v>
      </c>
      <c r="V51" s="446">
        <f t="shared" si="6"/>
        <v>0</v>
      </c>
      <c r="X51" s="532"/>
      <c r="Y51" s="533"/>
      <c r="Z51" s="533"/>
      <c r="AA51" s="533"/>
      <c r="AB51" s="533"/>
      <c r="AC51" s="533"/>
      <c r="AD51" s="533"/>
      <c r="AE51" s="533"/>
      <c r="AF51" s="534"/>
      <c r="AG51" s="163"/>
      <c r="AH51" s="116"/>
    </row>
    <row r="52" spans="1:34" ht="17.899999999999999" customHeight="1">
      <c r="A52" s="116"/>
      <c r="B52" s="121"/>
      <c r="P52" s="375" t="s">
        <v>2356</v>
      </c>
      <c r="Q52" s="376"/>
      <c r="R52" s="376"/>
      <c r="S52" s="376"/>
      <c r="T52" s="446">
        <f>COUNTIFS('2. Status Detalhe Campos FY24'!$H$7:$H$740,'1. Status Resumo FY24'!$P51,'2. Status Detalhe Campos FY24'!$C$7:$C$740,'1. Status Resumo FY24'!$G$46,'2. Status Detalhe Campos FY24'!$D$7:$D$740,"2. Campo",'2. Status Detalhe Campos FY24'!$U$7:$U$740,"*Novo Plano*")
+COUNTIFS('2. Status Detalhe Campos FY24'!$H$7:$H$740,'1. Status Resumo FY24'!$P51,'2. Status Detalhe Campos FY24'!$C$7:$C$740,'1. Status Resumo FY24'!$H$46,'2. Status Detalhe Campos FY24'!$D$7:$D$740,"2. Campo",'2. Status Detalhe Campos FY24'!$U$7:$U$740,"*Novo Plano*")</f>
        <v>0</v>
      </c>
      <c r="U52" s="446">
        <f>COUNTIFS('2. Status Detalhe Campos FY24'!$G$7:$G$740,'1. Status Resumo FY24'!$P50,'2. Status Detalhe Campos FY24'!$C$7:$C$740,'1. Status Resumo FY24'!$G$46,'2. Status Detalhe Campos FY24'!$D$7:$D$740,"2. Campo",'2. Status Detalhe Campos FY24'!$U$7:$U$740,"*Novo Plano*")
+COUNTIFS('2. Status Detalhe Campos FY24'!$G$7:$G$740,'1. Status Resumo FY24'!$P50,'2. Status Detalhe Campos FY24'!$C$7:$C$740,'1. Status Resumo FY24'!$H$46,'2. Status Detalhe Campos FY24'!$D$7:$D$740,"2. Campo",'2. Status Detalhe Campos FY24'!$U$7:$U$740,"*Novo Plano*")</f>
        <v>0</v>
      </c>
      <c r="V52" s="446">
        <f t="shared" si="6"/>
        <v>0</v>
      </c>
      <c r="X52" s="532"/>
      <c r="Y52" s="533"/>
      <c r="Z52" s="533"/>
      <c r="AA52" s="533"/>
      <c r="AB52" s="533"/>
      <c r="AC52" s="533"/>
      <c r="AD52" s="533"/>
      <c r="AE52" s="533"/>
      <c r="AF52" s="534"/>
      <c r="AG52" s="163"/>
      <c r="AH52" s="116"/>
    </row>
    <row r="53" spans="1:34">
      <c r="A53" s="116"/>
      <c r="B53" s="121"/>
      <c r="P53" s="373" t="s">
        <v>612</v>
      </c>
      <c r="Q53" s="373"/>
      <c r="R53" s="373"/>
      <c r="S53" s="373"/>
      <c r="T53" s="373">
        <f>COUNTIFS('2. Status Detalhe Campos FY24'!$H$7:$H$740,'1. Status Resumo FY24'!$P53,'2. Status Detalhe Campos FY24'!$C$7:$C$740,'1. Status Resumo FY24'!$G$46,'2. Status Detalhe Campos FY24'!$D$7:$D$740,"2. Campo")+COUNTIFS('2. Status Detalhe Campos FY24'!$H$7:$H$740,'1. Status Resumo FY24'!$P53,'2. Status Detalhe Campos FY24'!$C$7:$C$740,'1. Status Resumo FY24'!$H$46,'2. Status Detalhe Campos FY24'!$D$7:$D$740,"2. Campo")</f>
        <v>192</v>
      </c>
      <c r="U53" s="373">
        <f>COUNTIFS('2. Status Detalhe Campos FY24'!$G$7:$G$740,'1. Status Resumo FY24'!$P53,'2. Status Detalhe Campos FY24'!$C$7:$C$740,'1. Status Resumo FY24'!$G$46,'2. Status Detalhe Campos FY24'!$D$7:$D$740,"2. Campo")+COUNTIFS('2. Status Detalhe Campos FY24'!$G$7:$G$740,'1. Status Resumo FY24'!$P53,'2. Status Detalhe Campos FY24'!$C$7:$C$740,'1. Status Resumo FY24'!$H$46,'2. Status Detalhe Campos FY24'!$D$7:$D$740,"2. Campo")</f>
        <v>192</v>
      </c>
      <c r="V53" s="373">
        <f t="shared" si="6"/>
        <v>0</v>
      </c>
      <c r="X53" s="532"/>
      <c r="Y53" s="533"/>
      <c r="Z53" s="533"/>
      <c r="AA53" s="533"/>
      <c r="AB53" s="533"/>
      <c r="AC53" s="533"/>
      <c r="AD53" s="533"/>
      <c r="AE53" s="533"/>
      <c r="AF53" s="534"/>
      <c r="AG53" s="163"/>
      <c r="AH53" s="116"/>
    </row>
    <row r="54" spans="1:34">
      <c r="A54" s="116"/>
      <c r="B54" s="121"/>
      <c r="P54" s="375" t="s">
        <v>2357</v>
      </c>
      <c r="Q54" s="376"/>
      <c r="R54" s="376"/>
      <c r="S54" s="376"/>
      <c r="T54" s="446">
        <f>COUNTIFS('2. Status Detalhe Campos FY24'!$H$7:$H$740,'1. Status Resumo FY24'!$P53,'2. Status Detalhe Campos FY24'!$C$7:$C$740,'1. Status Resumo FY24'!$G$46,'2. Status Detalhe Campos FY24'!$D$7:$D$740,"2. Campo",'2. Status Detalhe Campos FY24'!$U$7:$U$740,"*Plano anterior*")
+COUNTIFS('2. Status Detalhe Campos FY24'!$H$7:$H$740,'1. Status Resumo FY24'!$P53,'2. Status Detalhe Campos FY24'!$C$7:$C$740,'1. Status Resumo FY24'!$H$46,'2. Status Detalhe Campos FY24'!$D$7:$D$740,"2. Campo",'2. Status Detalhe Campos FY24'!$U$7:$U$740,"*Plano anterior*")</f>
        <v>192</v>
      </c>
      <c r="U54" s="446">
        <f>COUNTIFS('2. Status Detalhe Campos FY24'!$G$7:$G$740,'1. Status Resumo FY24'!$P53,'2. Status Detalhe Campos FY24'!$C$7:$C$740,'1. Status Resumo FY24'!$G$46,'2. Status Detalhe Campos FY24'!$D$7:$D$740,"2. Campo",'2. Status Detalhe Campos FY24'!$U$7:$U$740,"*Plano anterior*")
+COUNTIFS('2. Status Detalhe Campos FY24'!$G$7:$G$740,'1. Status Resumo FY24'!$P53,'2. Status Detalhe Campos FY24'!$C$7:$C$740,'1. Status Resumo FY24'!$H$46,'2. Status Detalhe Campos FY24'!$D$7:$D$740,"2. Campo",'2. Status Detalhe Campos FY24'!$U$7:$U$740,"*Plano anterior*")</f>
        <v>192</v>
      </c>
      <c r="V54" s="446">
        <f t="shared" si="6"/>
        <v>0</v>
      </c>
      <c r="X54" s="532"/>
      <c r="Y54" s="533"/>
      <c r="Z54" s="533"/>
      <c r="AA54" s="533"/>
      <c r="AB54" s="533"/>
      <c r="AC54" s="533"/>
      <c r="AD54" s="533"/>
      <c r="AE54" s="533"/>
      <c r="AF54" s="534"/>
      <c r="AG54" s="163"/>
      <c r="AH54" s="116"/>
    </row>
    <row r="55" spans="1:34">
      <c r="A55" s="116"/>
      <c r="B55" s="121"/>
      <c r="P55" s="375" t="s">
        <v>2356</v>
      </c>
      <c r="Q55" s="378"/>
      <c r="R55" s="378"/>
      <c r="S55" s="378"/>
      <c r="T55" s="447">
        <f>COUNTIFS('2. Status Detalhe Campos FY24'!$H$7:$H$740,'1. Status Resumo FY24'!$P54,'2. Status Detalhe Campos FY24'!$C$7:$C$740,'1. Status Resumo FY24'!$G$46,'2. Status Detalhe Campos FY24'!$D$7:$D$740,"2. Campo",'2. Status Detalhe Campos FY24'!$U$7:$U$740,"*Novo Plano*")
+COUNTIFS('2. Status Detalhe Campos FY24'!$H$7:$H$740,'1. Status Resumo FY24'!$P54,'2. Status Detalhe Campos FY24'!$C$7:$C$740,'1. Status Resumo FY24'!$H$46,'2. Status Detalhe Campos FY24'!$D$7:$D$740,"2. Campo",'2. Status Detalhe Campos FY24'!$U$7:$U$740,"*Novo Plano*")</f>
        <v>0</v>
      </c>
      <c r="U55" s="447">
        <f>COUNTIFS('2. Status Detalhe Campos FY24'!$G$7:$G$740,'1. Status Resumo FY24'!$P53,'2. Status Detalhe Campos FY24'!$C$7:$C$740,'1. Status Resumo FY24'!$G$46,'2. Status Detalhe Campos FY24'!$D$7:$D$740,"2. Campo",'2. Status Detalhe Campos FY24'!$U$7:$U$740,"*Novo Plano*")
+COUNTIFS('2. Status Detalhe Campos FY24'!$G$7:$G$740,'1. Status Resumo FY24'!$P53,'2. Status Detalhe Campos FY24'!$C$7:$C$740,'1. Status Resumo FY24'!$H$46,'2. Status Detalhe Campos FY24'!$D$7:$D$740,"2. Campo",'2. Status Detalhe Campos FY24'!$U$7:$U$740,"*Novo Plano*")</f>
        <v>0</v>
      </c>
      <c r="V55" s="447">
        <f t="shared" si="6"/>
        <v>0</v>
      </c>
      <c r="X55" s="532"/>
      <c r="Y55" s="533"/>
      <c r="Z55" s="533"/>
      <c r="AA55" s="533"/>
      <c r="AB55" s="533"/>
      <c r="AC55" s="533"/>
      <c r="AD55" s="533"/>
      <c r="AE55" s="533"/>
      <c r="AF55" s="534"/>
      <c r="AG55" s="163"/>
      <c r="AH55" s="116"/>
    </row>
    <row r="56" spans="1:34">
      <c r="A56" s="116"/>
      <c r="B56" s="121"/>
      <c r="P56" s="373" t="s">
        <v>1840</v>
      </c>
      <c r="Q56" s="373"/>
      <c r="R56" s="373"/>
      <c r="S56" s="373"/>
      <c r="T56" s="373">
        <f>COUNTIFS('2. Status Detalhe Campos FY24'!$H$7:$H$740,'1. Status Resumo FY24'!$P56,'2. Status Detalhe Campos FY24'!$C$7:$C$740,'1. Status Resumo FY24'!$G$46,'2. Status Detalhe Campos FY24'!$D$7:$D$740,"2. Campo")+COUNTIFS('2. Status Detalhe Campos FY24'!$H$7:$H$740,'1. Status Resumo FY24'!$P56,'2. Status Detalhe Campos FY24'!$C$7:$C$740,'1. Status Resumo FY24'!$H$46,'2. Status Detalhe Campos FY24'!$D$7:$D$740,"2. Campo")</f>
        <v>0</v>
      </c>
      <c r="U56" s="373">
        <f>COUNTIFS('2. Status Detalhe Campos FY24'!$G$7:$G$740,'1. Status Resumo FY24'!$P56,'2. Status Detalhe Campos FY24'!$C$7:$C$740,'1. Status Resumo FY24'!$G$46,'2. Status Detalhe Campos FY24'!$D$7:$D$740,"2. Campo")+COUNTIFS('2. Status Detalhe Campos FY24'!$G$7:$G$740,'1. Status Resumo FY24'!$P56,'2. Status Detalhe Campos FY24'!$C$7:$C$740,'1. Status Resumo FY24'!$H$46,'2. Status Detalhe Campos FY24'!$D$7:$D$740,"2. Campo")</f>
        <v>0</v>
      </c>
      <c r="V56" s="373">
        <f t="shared" si="6"/>
        <v>0</v>
      </c>
      <c r="X56" s="532"/>
      <c r="Y56" s="533"/>
      <c r="Z56" s="533"/>
      <c r="AA56" s="533"/>
      <c r="AB56" s="533"/>
      <c r="AC56" s="533"/>
      <c r="AD56" s="533"/>
      <c r="AE56" s="533"/>
      <c r="AF56" s="534"/>
      <c r="AG56" s="163"/>
      <c r="AH56" s="116"/>
    </row>
    <row r="57" spans="1:34">
      <c r="A57" s="116"/>
      <c r="B57" s="121"/>
      <c r="P57" s="375" t="s">
        <v>2357</v>
      </c>
      <c r="Q57" s="376"/>
      <c r="R57" s="376"/>
      <c r="S57" s="376"/>
      <c r="T57" s="446">
        <f>COUNTIFS('2. Status Detalhe Campos FY24'!$H$7:$H$740,'1. Status Resumo FY24'!$P56,'2. Status Detalhe Campos FY24'!$C$7:$C$740,'1. Status Resumo FY24'!$G$46,'2. Status Detalhe Campos FY24'!$D$7:$D$740,"2. Campo",'2. Status Detalhe Campos FY24'!$U$7:$U$740,"*Plano anterior*")
+COUNTIFS('2. Status Detalhe Campos FY24'!$H$7:$H$740,'1. Status Resumo FY24'!$P56,'2. Status Detalhe Campos FY24'!$C$7:$C$740,'1. Status Resumo FY24'!$H$46,'2. Status Detalhe Campos FY24'!$D$7:$D$740,"2. Campo",'2. Status Detalhe Campos FY24'!$U$7:$U$740,"*Plano anterior*")</f>
        <v>0</v>
      </c>
      <c r="U57" s="446">
        <f>COUNTIFS('2. Status Detalhe Campos FY24'!$G$7:$G$740,'1. Status Resumo FY24'!$P56,'2. Status Detalhe Campos FY24'!$C$7:$C$740,'1. Status Resumo FY24'!$G$46,'2. Status Detalhe Campos FY24'!$D$7:$D$740,"2. Campo",'2. Status Detalhe Campos FY24'!$U$7:$U$740,"*Plano anterior*")
+COUNTIFS('2. Status Detalhe Campos FY24'!$G$7:$G$740,'1. Status Resumo FY24'!$P56,'2. Status Detalhe Campos FY24'!$C$7:$C$740,'1. Status Resumo FY24'!$H$46,'2. Status Detalhe Campos FY24'!$D$7:$D$740,"2. Campo",'2. Status Detalhe Campos FY24'!$U$7:$U$740,"*Plano anterior*")</f>
        <v>0</v>
      </c>
      <c r="V57" s="446">
        <f t="shared" si="6"/>
        <v>0</v>
      </c>
      <c r="X57" s="532"/>
      <c r="Y57" s="533"/>
      <c r="Z57" s="533"/>
      <c r="AA57" s="533"/>
      <c r="AB57" s="533"/>
      <c r="AC57" s="533"/>
      <c r="AD57" s="533"/>
      <c r="AE57" s="533"/>
      <c r="AF57" s="534"/>
      <c r="AG57" s="163"/>
      <c r="AH57" s="116"/>
    </row>
    <row r="58" spans="1:34">
      <c r="A58" s="116"/>
      <c r="B58" s="121"/>
      <c r="P58" s="375" t="s">
        <v>2356</v>
      </c>
      <c r="Q58" s="378"/>
      <c r="R58" s="378"/>
      <c r="S58" s="378"/>
      <c r="T58" s="447">
        <f>COUNTIFS('2. Status Detalhe Campos FY24'!$H$7:$H$740,'1. Status Resumo FY24'!$P57,'2. Status Detalhe Campos FY24'!$C$7:$C$740,'1. Status Resumo FY24'!$G$46,'2. Status Detalhe Campos FY24'!$D$7:$D$740,"2. Campo",'2. Status Detalhe Campos FY24'!$U$7:$U$740,"*Novo Plano*")
+COUNTIFS('2. Status Detalhe Campos FY24'!$H$7:$H$740,'1. Status Resumo FY24'!$P57,'2. Status Detalhe Campos FY24'!$C$7:$C$740,'1. Status Resumo FY24'!$H$46,'2. Status Detalhe Campos FY24'!$D$7:$D$740,"2. Campo",'2. Status Detalhe Campos FY24'!$U$7:$U$740,"*Novo Plano*")</f>
        <v>0</v>
      </c>
      <c r="U58" s="447">
        <f>COUNTIFS('2. Status Detalhe Campos FY24'!$G$7:$G$740,'1. Status Resumo FY24'!$P56,'2. Status Detalhe Campos FY24'!$C$7:$C$740,'1. Status Resumo FY24'!$G$46,'2. Status Detalhe Campos FY24'!$D$7:$D$740,"2. Campo",'2. Status Detalhe Campos FY24'!$U$7:$U$740,"*Novo Plano*")
+COUNTIFS('2. Status Detalhe Campos FY24'!$G$7:$G$740,'1. Status Resumo FY24'!$P56,'2. Status Detalhe Campos FY24'!$C$7:$C$740,'1. Status Resumo FY24'!$H$46,'2. Status Detalhe Campos FY24'!$D$7:$D$740,"2. Campo",'2. Status Detalhe Campos FY24'!$U$7:$U$740,"*Novo Plano*")</f>
        <v>0</v>
      </c>
      <c r="V58" s="447">
        <f t="shared" si="6"/>
        <v>0</v>
      </c>
      <c r="X58" s="532"/>
      <c r="Y58" s="533"/>
      <c r="Z58" s="533"/>
      <c r="AA58" s="533"/>
      <c r="AB58" s="533"/>
      <c r="AC58" s="533"/>
      <c r="AD58" s="533"/>
      <c r="AE58" s="533"/>
      <c r="AF58" s="534"/>
      <c r="AG58" s="163"/>
      <c r="AH58" s="116"/>
    </row>
    <row r="59" spans="1:34">
      <c r="A59" s="116"/>
      <c r="B59" s="121"/>
      <c r="D59" s="538" t="str">
        <f>"# "&amp;U77</f>
        <v># 208</v>
      </c>
      <c r="E59" s="538"/>
      <c r="P59" s="373" t="s">
        <v>2319</v>
      </c>
      <c r="Q59" s="373"/>
      <c r="R59" s="373"/>
      <c r="S59" s="373"/>
      <c r="T59" s="373">
        <f>COUNTIFS('2. Status Detalhe Campos FY24'!$H$7:$H$740,'1. Status Resumo FY24'!$P59,'2. Status Detalhe Campos FY24'!$C$7:$C$740,'1. Status Resumo FY24'!$G$46,'2. Status Detalhe Campos FY24'!$D$7:$D$740,"2. Campo")+COUNTIFS('2. Status Detalhe Campos FY24'!$H$7:$H$740,'1. Status Resumo FY24'!$P59,'2. Status Detalhe Campos FY24'!$C$7:$C$740,'1. Status Resumo FY24'!$H$46,'2. Status Detalhe Campos FY24'!$D$7:$D$740,"2. Campo")</f>
        <v>1</v>
      </c>
      <c r="U59" s="373">
        <f>COUNTIFS('2. Status Detalhe Campos FY24'!$G$7:$G$740,'1. Status Resumo FY24'!$P59,'2. Status Detalhe Campos FY24'!$C$7:$C$740,'1. Status Resumo FY24'!$G$46,'2. Status Detalhe Campos FY24'!$D$7:$D$740,"2. Campo")+COUNTIFS('2. Status Detalhe Campos FY24'!$G$7:$G$740,'1. Status Resumo FY24'!$P59,'2. Status Detalhe Campos FY24'!$C$7:$C$740,'1. Status Resumo FY24'!$H$46,'2. Status Detalhe Campos FY24'!$D$7:$D$740,"2. Campo")</f>
        <v>1</v>
      </c>
      <c r="V59" s="373">
        <f t="shared" si="6"/>
        <v>0</v>
      </c>
      <c r="X59" s="532"/>
      <c r="Y59" s="533"/>
      <c r="Z59" s="533"/>
      <c r="AA59" s="533"/>
      <c r="AB59" s="533"/>
      <c r="AC59" s="533"/>
      <c r="AD59" s="533"/>
      <c r="AE59" s="533"/>
      <c r="AF59" s="534"/>
      <c r="AG59" s="163"/>
      <c r="AH59" s="116"/>
    </row>
    <row r="60" spans="1:34">
      <c r="A60" s="116"/>
      <c r="B60" s="121"/>
      <c r="D60" s="538"/>
      <c r="E60" s="538"/>
      <c r="P60" s="375" t="s">
        <v>2357</v>
      </c>
      <c r="Q60" s="376"/>
      <c r="R60" s="376"/>
      <c r="S60" s="376"/>
      <c r="T60" s="446">
        <f>COUNTIFS('2. Status Detalhe Campos FY24'!$H$7:$H$740,'1. Status Resumo FY24'!$P59,'2. Status Detalhe Campos FY24'!$C$7:$C$740,'1. Status Resumo FY24'!$G$46,'2. Status Detalhe Campos FY24'!$D$7:$D$740,"2. Campo",'2. Status Detalhe Campos FY24'!$U$7:$U$740,"*Plano anterior*")
+COUNTIFS('2. Status Detalhe Campos FY24'!$H$7:$H$740,'1. Status Resumo FY24'!$P59,'2. Status Detalhe Campos FY24'!$C$7:$C$740,'1. Status Resumo FY24'!$H$46,'2. Status Detalhe Campos FY24'!$D$7:$D$740,"2. Campo",'2. Status Detalhe Campos FY24'!$U$7:$U$740,"*Plano anterior*")</f>
        <v>1</v>
      </c>
      <c r="U60" s="446">
        <f>COUNTIFS('2. Status Detalhe Campos FY24'!$G$7:$G$740,'1. Status Resumo FY24'!$P59,'2. Status Detalhe Campos FY24'!$C$7:$C$740,'1. Status Resumo FY24'!$G$46,'2. Status Detalhe Campos FY24'!$D$7:$D$740,"2. Campo",'2. Status Detalhe Campos FY24'!$U$7:$U$740,"*Plano anterior*")
+COUNTIFS('2. Status Detalhe Campos FY24'!$G$7:$G$740,'1. Status Resumo FY24'!$P59,'2. Status Detalhe Campos FY24'!$C$7:$C$740,'1. Status Resumo FY24'!$H$46,'2. Status Detalhe Campos FY24'!$D$7:$D$740,"2. Campo",'2. Status Detalhe Campos FY24'!$U$7:$U$740,"*Plano anterior*")</f>
        <v>1</v>
      </c>
      <c r="V60" s="446">
        <f t="shared" si="6"/>
        <v>0</v>
      </c>
      <c r="X60" s="532"/>
      <c r="Y60" s="533"/>
      <c r="Z60" s="533"/>
      <c r="AA60" s="533"/>
      <c r="AB60" s="533"/>
      <c r="AC60" s="533"/>
      <c r="AD60" s="533"/>
      <c r="AE60" s="533"/>
      <c r="AF60" s="534"/>
      <c r="AG60" s="163"/>
      <c r="AH60" s="116"/>
    </row>
    <row r="61" spans="1:34">
      <c r="A61" s="116"/>
      <c r="B61" s="121"/>
      <c r="D61" s="538"/>
      <c r="E61" s="538"/>
      <c r="P61" s="375" t="s">
        <v>2356</v>
      </c>
      <c r="Q61" s="378"/>
      <c r="R61" s="378"/>
      <c r="S61" s="378"/>
      <c r="T61" s="447">
        <f>COUNTIFS('2. Status Detalhe Campos FY24'!$H$7:$H$740,'1. Status Resumo FY24'!$P60,'2. Status Detalhe Campos FY24'!$C$7:$C$740,'1. Status Resumo FY24'!$G$46,'2. Status Detalhe Campos FY24'!$D$7:$D$740,"2. Campo",'2. Status Detalhe Campos FY24'!$U$7:$U$740,"*Novo Plano*")
+COUNTIFS('2. Status Detalhe Campos FY24'!$H$7:$H$740,'1. Status Resumo FY24'!$P60,'2. Status Detalhe Campos FY24'!$C$7:$C$740,'1. Status Resumo FY24'!$H$46,'2. Status Detalhe Campos FY24'!$D$7:$D$740,"2. Campo",'2. Status Detalhe Campos FY24'!$U$7:$U$740,"*Novo Plano*")</f>
        <v>0</v>
      </c>
      <c r="U61" s="447">
        <f>COUNTIFS('2. Status Detalhe Campos FY24'!$G$7:$G$740,'1. Status Resumo FY24'!$P59,'2. Status Detalhe Campos FY24'!$C$7:$C$740,'1. Status Resumo FY24'!$G$46,'2. Status Detalhe Campos FY24'!$D$7:$D$740,"2. Campo",'2. Status Detalhe Campos FY24'!$U$7:$U$740,"*Novo Plano*")
+COUNTIFS('2. Status Detalhe Campos FY24'!$G$7:$G$740,'1. Status Resumo FY24'!$P59,'2. Status Detalhe Campos FY24'!$C$7:$C$740,'1. Status Resumo FY24'!$H$46,'2. Status Detalhe Campos FY24'!$D$7:$D$740,"2. Campo",'2. Status Detalhe Campos FY24'!$U$7:$U$740,"*Novo Plano*")</f>
        <v>0</v>
      </c>
      <c r="V61" s="447">
        <f t="shared" si="6"/>
        <v>0</v>
      </c>
      <c r="X61" s="532"/>
      <c r="Y61" s="533"/>
      <c r="Z61" s="533"/>
      <c r="AA61" s="533"/>
      <c r="AB61" s="533"/>
      <c r="AC61" s="533"/>
      <c r="AD61" s="533"/>
      <c r="AE61" s="533"/>
      <c r="AF61" s="534"/>
      <c r="AG61" s="163"/>
      <c r="AH61" s="116"/>
    </row>
    <row r="62" spans="1:34" ht="17.899999999999999" customHeight="1">
      <c r="A62" s="116"/>
      <c r="B62" s="121"/>
      <c r="D62" s="538"/>
      <c r="E62" s="538"/>
      <c r="P62" s="373" t="s">
        <v>613</v>
      </c>
      <c r="Q62" s="373"/>
      <c r="R62" s="373"/>
      <c r="S62" s="373"/>
      <c r="T62" s="373">
        <f>COUNTIFS('2. Status Detalhe Campos FY24'!$H$7:$H$740,'1. Status Resumo FY24'!$P62,'2. Status Detalhe Campos FY24'!$C$7:$C$740,'1. Status Resumo FY24'!$G$46,'2. Status Detalhe Campos FY24'!$D$7:$D$740,"2. Campo")+COUNTIFS('2. Status Detalhe Campos FY24'!$H$7:$H$740,'1. Status Resumo FY24'!$P62,'2. Status Detalhe Campos FY24'!$C$7:$C$740,'1. Status Resumo FY24'!$H$46,'2. Status Detalhe Campos FY24'!$D$7:$D$740,"2. Campo")</f>
        <v>0</v>
      </c>
      <c r="U62" s="373">
        <f>COUNTIFS('2. Status Detalhe Campos FY24'!$G$7:$G$740,'1. Status Resumo FY24'!$P62,'2. Status Detalhe Campos FY24'!$C$7:$C$740,'1. Status Resumo FY24'!$G$46,'2. Status Detalhe Campos FY24'!$D$7:$D$740,"2. Campo")+COUNTIFS('2. Status Detalhe Campos FY24'!$G$7:$G$740,'1. Status Resumo FY24'!$P62,'2. Status Detalhe Campos FY24'!$C$7:$C$740,'1. Status Resumo FY24'!$H$46,'2. Status Detalhe Campos FY24'!$D$7:$D$740,"2. Campo")</f>
        <v>0</v>
      </c>
      <c r="V62" s="373">
        <f t="shared" si="6"/>
        <v>0</v>
      </c>
      <c r="X62" s="532"/>
      <c r="Y62" s="533"/>
      <c r="Z62" s="533"/>
      <c r="AA62" s="533"/>
      <c r="AB62" s="533"/>
      <c r="AC62" s="533"/>
      <c r="AD62" s="533"/>
      <c r="AE62" s="533"/>
      <c r="AF62" s="534"/>
      <c r="AG62" s="163"/>
      <c r="AH62" s="116"/>
    </row>
    <row r="63" spans="1:34" ht="17.899999999999999" customHeight="1">
      <c r="A63" s="116"/>
      <c r="B63" s="121"/>
      <c r="D63" s="538"/>
      <c r="E63" s="538"/>
      <c r="P63" s="375" t="s">
        <v>2357</v>
      </c>
      <c r="Q63" s="376"/>
      <c r="R63" s="376"/>
      <c r="S63" s="376"/>
      <c r="T63" s="446">
        <f>COUNTIFS('2. Status Detalhe Campos FY24'!$H$7:$H$740,'1. Status Resumo FY24'!$P62,'2. Status Detalhe Campos FY24'!$C$7:$C$740,'1. Status Resumo FY24'!$G$46,'2. Status Detalhe Campos FY24'!$D$7:$D$740,"2. Campo",'2. Status Detalhe Campos FY24'!$U$7:$U$740,"*Plano anterior*")
+COUNTIFS('2. Status Detalhe Campos FY24'!$H$7:$H$740,'1. Status Resumo FY24'!$P62,'2. Status Detalhe Campos FY24'!$C$7:$C$740,'1. Status Resumo FY24'!$H$46,'2. Status Detalhe Campos FY24'!$D$7:$D$740,"2. Campo",'2. Status Detalhe Campos FY24'!$U$7:$U$740,"*Plano anterior*")</f>
        <v>0</v>
      </c>
      <c r="U63" s="446">
        <f>COUNTIFS('2. Status Detalhe Campos FY24'!$G$7:$G$740,'1. Status Resumo FY24'!$P62,'2. Status Detalhe Campos FY24'!$C$7:$C$740,'1. Status Resumo FY24'!$G$46,'2. Status Detalhe Campos FY24'!$D$7:$D$740,"2. Campo",'2. Status Detalhe Campos FY24'!$U$7:$U$740,"*Plano anterior*")
+COUNTIFS('2. Status Detalhe Campos FY24'!$G$7:$G$740,'1. Status Resumo FY24'!$P62,'2. Status Detalhe Campos FY24'!$C$7:$C$740,'1. Status Resumo FY24'!$H$46,'2. Status Detalhe Campos FY24'!$D$7:$D$740,"2. Campo",'2. Status Detalhe Campos FY24'!$U$7:$U$740,"*Plano anterior*")</f>
        <v>0</v>
      </c>
      <c r="V63" s="446">
        <f t="shared" si="6"/>
        <v>0</v>
      </c>
      <c r="X63" s="532"/>
      <c r="Y63" s="533"/>
      <c r="Z63" s="533"/>
      <c r="AA63" s="533"/>
      <c r="AB63" s="533"/>
      <c r="AC63" s="533"/>
      <c r="AD63" s="533"/>
      <c r="AE63" s="533"/>
      <c r="AF63" s="534"/>
      <c r="AG63" s="163"/>
      <c r="AH63" s="116"/>
    </row>
    <row r="64" spans="1:34" ht="17.899999999999999" customHeight="1">
      <c r="A64" s="116"/>
      <c r="B64" s="121"/>
      <c r="D64" s="538"/>
      <c r="E64" s="538"/>
      <c r="P64" s="375" t="s">
        <v>2356</v>
      </c>
      <c r="Q64" s="378"/>
      <c r="R64" s="378"/>
      <c r="S64" s="378"/>
      <c r="T64" s="447">
        <f>COUNTIFS('2. Status Detalhe Campos FY24'!$H$7:$H$740,'1. Status Resumo FY24'!$P63,'2. Status Detalhe Campos FY24'!$C$7:$C$740,'1. Status Resumo FY24'!$G$46,'2. Status Detalhe Campos FY24'!$D$7:$D$740,"2. Campo",'2. Status Detalhe Campos FY24'!$U$7:$U$740,"*Novo Plano*")
+COUNTIFS('2. Status Detalhe Campos FY24'!$H$7:$H$740,'1. Status Resumo FY24'!$P63,'2. Status Detalhe Campos FY24'!$C$7:$C$740,'1. Status Resumo FY24'!$H$46,'2. Status Detalhe Campos FY24'!$D$7:$D$740,"2. Campo",'2. Status Detalhe Campos FY24'!$U$7:$U$740,"*Novo Plano*")</f>
        <v>0</v>
      </c>
      <c r="U64" s="447">
        <f>COUNTIFS('2. Status Detalhe Campos FY24'!$G$7:$G$740,'1. Status Resumo FY24'!$P62,'2. Status Detalhe Campos FY24'!$C$7:$C$740,'1. Status Resumo FY24'!$G$46,'2. Status Detalhe Campos FY24'!$D$7:$D$740,"2. Campo",'2. Status Detalhe Campos FY24'!$U$7:$U$740,"*Novo Plano*")
+COUNTIFS('2. Status Detalhe Campos FY24'!$G$7:$G$740,'1. Status Resumo FY24'!$P62,'2. Status Detalhe Campos FY24'!$C$7:$C$740,'1. Status Resumo FY24'!$H$46,'2. Status Detalhe Campos FY24'!$D$7:$D$740,"2. Campo",'2. Status Detalhe Campos FY24'!$U$7:$U$740,"*Novo Plano*")</f>
        <v>0</v>
      </c>
      <c r="V64" s="447">
        <f t="shared" si="6"/>
        <v>0</v>
      </c>
      <c r="X64" s="532"/>
      <c r="Y64" s="533"/>
      <c r="Z64" s="533"/>
      <c r="AA64" s="533"/>
      <c r="AB64" s="533"/>
      <c r="AC64" s="533"/>
      <c r="AD64" s="533"/>
      <c r="AE64" s="533"/>
      <c r="AF64" s="534"/>
      <c r="AG64" s="163"/>
      <c r="AH64" s="116"/>
    </row>
    <row r="65" spans="1:34" ht="17.899999999999999" customHeight="1">
      <c r="A65" s="116"/>
      <c r="B65" s="121"/>
      <c r="D65" s="538"/>
      <c r="E65" s="538"/>
      <c r="P65" s="373" t="s">
        <v>614</v>
      </c>
      <c r="Q65" s="373"/>
      <c r="R65" s="373"/>
      <c r="S65" s="373"/>
      <c r="T65" s="373">
        <f>COUNTIFS('2. Status Detalhe Campos FY24'!$H$7:$H$740,'1. Status Resumo FY24'!$P65,'2. Status Detalhe Campos FY24'!$C$7:$C$740,'1. Status Resumo FY24'!$G$46,'2. Status Detalhe Campos FY24'!$D$7:$D$740,"2. Campo")+COUNTIFS('2. Status Detalhe Campos FY24'!$H$7:$H$740,'1. Status Resumo FY24'!$P65,'2. Status Detalhe Campos FY24'!$C$7:$C$740,'1. Status Resumo FY24'!$H$46,'2. Status Detalhe Campos FY24'!$D$7:$D$740,"2. Campo")</f>
        <v>0</v>
      </c>
      <c r="U65" s="373">
        <f>COUNTIFS('2. Status Detalhe Campos FY24'!$G$7:$G$740,'1. Status Resumo FY24'!$P65,'2. Status Detalhe Campos FY24'!$C$7:$C$740,'1. Status Resumo FY24'!$G$46,'2. Status Detalhe Campos FY24'!$D$7:$D$740,"2. Campo")+COUNTIFS('2. Status Detalhe Campos FY24'!$G$7:$G$740,'1. Status Resumo FY24'!$P65,'2. Status Detalhe Campos FY24'!$C$7:$C$740,'1. Status Resumo FY24'!$H$46,'2. Status Detalhe Campos FY24'!$D$7:$D$740,"2. Campo")</f>
        <v>0</v>
      </c>
      <c r="V65" s="373">
        <f t="shared" si="6"/>
        <v>0</v>
      </c>
      <c r="X65" s="532"/>
      <c r="Y65" s="533"/>
      <c r="Z65" s="533"/>
      <c r="AA65" s="533"/>
      <c r="AB65" s="533"/>
      <c r="AC65" s="533"/>
      <c r="AD65" s="533"/>
      <c r="AE65" s="533"/>
      <c r="AF65" s="534"/>
      <c r="AG65" s="163"/>
      <c r="AH65" s="116"/>
    </row>
    <row r="66" spans="1:34" ht="17.899999999999999" customHeight="1">
      <c r="A66" s="116"/>
      <c r="B66" s="121"/>
      <c r="D66" s="371"/>
      <c r="E66" s="371"/>
      <c r="P66" s="375" t="s">
        <v>2357</v>
      </c>
      <c r="Q66" s="376"/>
      <c r="R66" s="376"/>
      <c r="S66" s="376"/>
      <c r="T66" s="446">
        <f>COUNTIFS('2. Status Detalhe Campos FY24'!$H$7:$H$740,'1. Status Resumo FY24'!$P65,'2. Status Detalhe Campos FY24'!$C$7:$C$740,'1. Status Resumo FY24'!$G$46,'2. Status Detalhe Campos FY24'!$D$7:$D$740,"2. Campo",'2. Status Detalhe Campos FY24'!$U$7:$U$740,"*Plano anterior*")
+COUNTIFS('2. Status Detalhe Campos FY24'!$H$7:$H$740,'1. Status Resumo FY24'!$P65,'2. Status Detalhe Campos FY24'!$C$7:$C$740,'1. Status Resumo FY24'!$H$46,'2. Status Detalhe Campos FY24'!$D$7:$D$740,"2. Campo",'2. Status Detalhe Campos FY24'!$U$7:$U$740,"*Plano anterior*")</f>
        <v>0</v>
      </c>
      <c r="U66" s="446">
        <f>COUNTIFS('2. Status Detalhe Campos FY24'!$G$7:$G$740,'1. Status Resumo FY24'!$P65,'2. Status Detalhe Campos FY24'!$C$7:$C$740,'1. Status Resumo FY24'!$G$46,'2. Status Detalhe Campos FY24'!$D$7:$D$740,"2. Campo",'2. Status Detalhe Campos FY24'!$U$7:$U$740,"*Plano anterior*")
+COUNTIFS('2. Status Detalhe Campos FY24'!$G$7:$G$740,'1. Status Resumo FY24'!$P65,'2. Status Detalhe Campos FY24'!$C$7:$C$740,'1. Status Resumo FY24'!$H$46,'2. Status Detalhe Campos FY24'!$D$7:$D$740,"2. Campo",'2. Status Detalhe Campos FY24'!$U$7:$U$740,"*Plano anterior*")</f>
        <v>0</v>
      </c>
      <c r="V66" s="446">
        <f t="shared" si="6"/>
        <v>0</v>
      </c>
      <c r="X66" s="532"/>
      <c r="Y66" s="533"/>
      <c r="Z66" s="533"/>
      <c r="AA66" s="533"/>
      <c r="AB66" s="533"/>
      <c r="AC66" s="533"/>
      <c r="AD66" s="533"/>
      <c r="AE66" s="533"/>
      <c r="AF66" s="534"/>
      <c r="AG66" s="163"/>
      <c r="AH66" s="116"/>
    </row>
    <row r="67" spans="1:34" ht="17.899999999999999" customHeight="1">
      <c r="A67" s="116"/>
      <c r="B67" s="121"/>
      <c r="D67" s="371"/>
      <c r="E67" s="371"/>
      <c r="P67" s="375" t="s">
        <v>2356</v>
      </c>
      <c r="Q67" s="378"/>
      <c r="R67" s="378"/>
      <c r="S67" s="378"/>
      <c r="T67" s="447">
        <f>COUNTIFS('2. Status Detalhe Campos FY24'!$H$7:$H$740,'1. Status Resumo FY24'!$P66,'2. Status Detalhe Campos FY24'!$C$7:$C$740,'1. Status Resumo FY24'!$G$46,'2. Status Detalhe Campos FY24'!$D$7:$D$740,"2. Campo",'2. Status Detalhe Campos FY24'!$U$7:$U$740,"*Novo Plano*")
+COUNTIFS('2. Status Detalhe Campos FY24'!$H$7:$H$740,'1. Status Resumo FY24'!$P66,'2. Status Detalhe Campos FY24'!$C$7:$C$740,'1. Status Resumo FY24'!$H$46,'2. Status Detalhe Campos FY24'!$D$7:$D$740,"2. Campo",'2. Status Detalhe Campos FY24'!$U$7:$U$740,"*Novo Plano*")</f>
        <v>0</v>
      </c>
      <c r="U67" s="447">
        <f>COUNTIFS('2. Status Detalhe Campos FY24'!$G$7:$G$740,'1. Status Resumo FY24'!$P65,'2. Status Detalhe Campos FY24'!$C$7:$C$740,'1. Status Resumo FY24'!$G$46,'2. Status Detalhe Campos FY24'!$D$7:$D$740,"2. Campo",'2. Status Detalhe Campos FY24'!$U$7:$U$740,"*Novo Plano*")
+COUNTIFS('2. Status Detalhe Campos FY24'!$G$7:$G$740,'1. Status Resumo FY24'!$P65,'2. Status Detalhe Campos FY24'!$C$7:$C$740,'1. Status Resumo FY24'!$H$46,'2. Status Detalhe Campos FY24'!$D$7:$D$740,"2. Campo",'2. Status Detalhe Campos FY24'!$U$7:$U$740,"*Novo Plano*")</f>
        <v>0</v>
      </c>
      <c r="V67" s="447">
        <f t="shared" si="6"/>
        <v>0</v>
      </c>
      <c r="X67" s="532"/>
      <c r="Y67" s="533"/>
      <c r="Z67" s="533"/>
      <c r="AA67" s="533"/>
      <c r="AB67" s="533"/>
      <c r="AC67" s="533"/>
      <c r="AD67" s="533"/>
      <c r="AE67" s="533"/>
      <c r="AF67" s="534"/>
      <c r="AG67" s="163"/>
      <c r="AH67" s="116"/>
    </row>
    <row r="68" spans="1:34">
      <c r="A68" s="116"/>
      <c r="B68" s="121"/>
      <c r="P68" s="373" t="s">
        <v>615</v>
      </c>
      <c r="Q68" s="373"/>
      <c r="R68" s="373" t="s">
        <v>616</v>
      </c>
      <c r="S68" s="373"/>
      <c r="T68" s="373">
        <f>COUNTIFS('2. Status Detalhe Campos FY24'!$H$7:$H$740,'1. Status Resumo FY24'!$P68,'2. Status Detalhe Campos FY24'!$C$7:$C$740,'1. Status Resumo FY24'!$G$46,'2. Status Detalhe Campos FY24'!$D$7:$D$740,"2. Campo")+COUNTIFS('2. Status Detalhe Campos FY24'!$H$7:$H$740,'1. Status Resumo FY24'!$P68,'2. Status Detalhe Campos FY24'!$C$7:$C$740,'1. Status Resumo FY24'!$H$46,'2. Status Detalhe Campos FY24'!$D$7:$D$740,"2. Campo")</f>
        <v>0</v>
      </c>
      <c r="U68" s="373">
        <f>COUNTIFS('2. Status Detalhe Campos FY24'!$G$7:$G$740,'1. Status Resumo FY24'!$P68,'2. Status Detalhe Campos FY24'!$C$7:$C$740,'1. Status Resumo FY24'!$G$46,'2. Status Detalhe Campos FY24'!$D$7:$D$740,"2. Campo")+COUNTIFS('2. Status Detalhe Campos FY24'!$G$7:$G$740,'1. Status Resumo FY24'!$P68,'2. Status Detalhe Campos FY24'!$C$7:$C$740,'1. Status Resumo FY24'!$H$46,'2. Status Detalhe Campos FY24'!$D$7:$D$740,"2. Campo")</f>
        <v>0</v>
      </c>
      <c r="V68" s="373">
        <f t="shared" si="6"/>
        <v>0</v>
      </c>
      <c r="X68" s="532"/>
      <c r="Y68" s="533"/>
      <c r="Z68" s="533"/>
      <c r="AA68" s="533"/>
      <c r="AB68" s="533"/>
      <c r="AC68" s="533"/>
      <c r="AD68" s="533"/>
      <c r="AE68" s="533"/>
      <c r="AF68" s="534"/>
      <c r="AG68" s="163"/>
      <c r="AH68" s="116"/>
    </row>
    <row r="69" spans="1:34">
      <c r="A69" s="116"/>
      <c r="B69" s="121"/>
      <c r="P69" s="375" t="s">
        <v>2357</v>
      </c>
      <c r="Q69" s="376"/>
      <c r="R69" s="376"/>
      <c r="S69" s="376"/>
      <c r="T69" s="446">
        <f>COUNTIFS('2. Status Detalhe Campos FY24'!$H$7:$H$740,'1. Status Resumo FY24'!$P68,'2. Status Detalhe Campos FY24'!$C$7:$C$740,'1. Status Resumo FY24'!$G$46,'2. Status Detalhe Campos FY24'!$D$7:$D$740,"2. Campo",'2. Status Detalhe Campos FY24'!$U$7:$U$740,"*Plano anterior*")
+COUNTIFS('2. Status Detalhe Campos FY24'!$H$7:$H$740,'1. Status Resumo FY24'!$P68,'2. Status Detalhe Campos FY24'!$C$7:$C$740,'1. Status Resumo FY24'!$H$46,'2. Status Detalhe Campos FY24'!$D$7:$D$740,"2. Campo",'2. Status Detalhe Campos FY24'!$U$7:$U$740,"*Plano anterior*")</f>
        <v>0</v>
      </c>
      <c r="U69" s="446">
        <f>COUNTIFS('2. Status Detalhe Campos FY24'!$G$7:$G$740,'1. Status Resumo FY24'!$P68,'2. Status Detalhe Campos FY24'!$C$7:$C$740,'1. Status Resumo FY24'!$G$46,'2. Status Detalhe Campos FY24'!$D$7:$D$740,"2. Campo",'2. Status Detalhe Campos FY24'!$U$7:$U$740,"*Plano anterior*")
+COUNTIFS('2. Status Detalhe Campos FY24'!$G$7:$G$740,'1. Status Resumo FY24'!$P68,'2. Status Detalhe Campos FY24'!$C$7:$C$740,'1. Status Resumo FY24'!$H$46,'2. Status Detalhe Campos FY24'!$D$7:$D$740,"2. Campo",'2. Status Detalhe Campos FY24'!$U$7:$U$740,"*Plano anterior*")</f>
        <v>0</v>
      </c>
      <c r="V69" s="446">
        <f t="shared" si="6"/>
        <v>0</v>
      </c>
      <c r="X69" s="532"/>
      <c r="Y69" s="533"/>
      <c r="Z69" s="533"/>
      <c r="AA69" s="533"/>
      <c r="AB69" s="533"/>
      <c r="AC69" s="533"/>
      <c r="AD69" s="533"/>
      <c r="AE69" s="533"/>
      <c r="AF69" s="534"/>
      <c r="AG69" s="163"/>
      <c r="AH69" s="116"/>
    </row>
    <row r="70" spans="1:34">
      <c r="A70" s="116"/>
      <c r="B70" s="121"/>
      <c r="P70" s="375" t="s">
        <v>2356</v>
      </c>
      <c r="Q70" s="378"/>
      <c r="R70" s="378"/>
      <c r="S70" s="378"/>
      <c r="T70" s="447">
        <f>COUNTIFS('2. Status Detalhe Campos FY24'!$H$7:$H$740,'1. Status Resumo FY24'!$P69,'2. Status Detalhe Campos FY24'!$C$7:$C$740,'1. Status Resumo FY24'!$G$46,'2. Status Detalhe Campos FY24'!$D$7:$D$740,"2. Campo",'2. Status Detalhe Campos FY24'!$U$7:$U$740,"*Novo Plano*")
+COUNTIFS('2. Status Detalhe Campos FY24'!$H$7:$H$740,'1. Status Resumo FY24'!$P69,'2. Status Detalhe Campos FY24'!$C$7:$C$740,'1. Status Resumo FY24'!$H$46,'2. Status Detalhe Campos FY24'!$D$7:$D$740,"2. Campo",'2. Status Detalhe Campos FY24'!$U$7:$U$740,"*Novo Plano*")</f>
        <v>0</v>
      </c>
      <c r="U70" s="447">
        <f>COUNTIFS('2. Status Detalhe Campos FY24'!$G$7:$G$740,'1. Status Resumo FY24'!$P68,'2. Status Detalhe Campos FY24'!$C$7:$C$740,'1. Status Resumo FY24'!$G$46,'2. Status Detalhe Campos FY24'!$D$7:$D$740,"2. Campo",'2. Status Detalhe Campos FY24'!$U$7:$U$740,"*Novo Plano*")
+COUNTIFS('2. Status Detalhe Campos FY24'!$G$7:$G$740,'1. Status Resumo FY24'!$P68,'2. Status Detalhe Campos FY24'!$C$7:$C$740,'1. Status Resumo FY24'!$H$46,'2. Status Detalhe Campos FY24'!$D$7:$D$740,"2. Campo",'2. Status Detalhe Campos FY24'!$U$7:$U$740,"*Novo Plano*")</f>
        <v>0</v>
      </c>
      <c r="V70" s="447">
        <f t="shared" si="6"/>
        <v>0</v>
      </c>
      <c r="X70" s="532"/>
      <c r="Y70" s="533"/>
      <c r="Z70" s="533"/>
      <c r="AA70" s="533"/>
      <c r="AB70" s="533"/>
      <c r="AC70" s="533"/>
      <c r="AD70" s="533"/>
      <c r="AE70" s="533"/>
      <c r="AF70" s="534"/>
      <c r="AG70" s="163"/>
      <c r="AH70" s="116"/>
    </row>
    <row r="71" spans="1:34">
      <c r="A71" s="116"/>
      <c r="B71" s="121"/>
      <c r="P71" s="373" t="s">
        <v>2320</v>
      </c>
      <c r="Q71" s="373"/>
      <c r="R71" s="373"/>
      <c r="S71" s="373"/>
      <c r="T71" s="373">
        <f>COUNTIFS('2. Status Detalhe Campos FY24'!$H$7:$H$740,'1. Status Resumo FY24'!$P71,'2. Status Detalhe Campos FY24'!$C$7:$C$740,'1. Status Resumo FY24'!$G$46,'2. Status Detalhe Campos FY24'!$D$7:$D$740,"2. Campo")+COUNTIFS('2. Status Detalhe Campos FY24'!$H$7:$H$740,'1. Status Resumo FY24'!$P71,'2. Status Detalhe Campos FY24'!$C$7:$C$740,'1. Status Resumo FY24'!$H$46,'2. Status Detalhe Campos FY24'!$D$7:$D$740,"2. Campo")</f>
        <v>3</v>
      </c>
      <c r="U71" s="373">
        <f>COUNTIFS('2. Status Detalhe Campos FY24'!$G$7:$G$740,'1. Status Resumo FY24'!$P71,'2. Status Detalhe Campos FY24'!$C$7:$C$740,'1. Status Resumo FY24'!$G$46,'2. Status Detalhe Campos FY24'!$D$7:$D$740,"2. Campo")+COUNTIFS('2. Status Detalhe Campos FY24'!$G$7:$G$740,'1. Status Resumo FY24'!$P71,'2. Status Detalhe Campos FY24'!$C$7:$C$740,'1. Status Resumo FY24'!$H$46,'2. Status Detalhe Campos FY24'!$D$7:$D$740,"2. Campo")</f>
        <v>3</v>
      </c>
      <c r="V71" s="373">
        <f t="shared" si="6"/>
        <v>0</v>
      </c>
      <c r="X71" s="532"/>
      <c r="Y71" s="533"/>
      <c r="Z71" s="533"/>
      <c r="AA71" s="533"/>
      <c r="AB71" s="533"/>
      <c r="AC71" s="533"/>
      <c r="AD71" s="533"/>
      <c r="AE71" s="533"/>
      <c r="AF71" s="534"/>
      <c r="AG71" s="163"/>
      <c r="AH71" s="116"/>
    </row>
    <row r="72" spans="1:34">
      <c r="A72" s="116"/>
      <c r="B72" s="121"/>
      <c r="P72" s="375" t="s">
        <v>2357</v>
      </c>
      <c r="Q72" s="376"/>
      <c r="R72" s="376"/>
      <c r="S72" s="376"/>
      <c r="T72" s="446">
        <f>COUNTIFS('2. Status Detalhe Campos FY24'!$H$7:$H$740,'1. Status Resumo FY24'!$P71,'2. Status Detalhe Campos FY24'!$C$7:$C$740,'1. Status Resumo FY24'!$G$46,'2. Status Detalhe Campos FY24'!$D$7:$D$740,"2. Campo",'2. Status Detalhe Campos FY24'!$U$7:$U$740,"*Plano anterior*")
+COUNTIFS('2. Status Detalhe Campos FY24'!$H$7:$H$740,'1. Status Resumo FY24'!$P71,'2. Status Detalhe Campos FY24'!$C$7:$C$740,'1. Status Resumo FY24'!$H$46,'2. Status Detalhe Campos FY24'!$D$7:$D$740,"2. Campo",'2. Status Detalhe Campos FY24'!$U$7:$U$740,"*Plano anterior*")</f>
        <v>3</v>
      </c>
      <c r="U72" s="446">
        <f>COUNTIFS('2. Status Detalhe Campos FY24'!$G$7:$G$740,'1. Status Resumo FY24'!$P71,'2. Status Detalhe Campos FY24'!$C$7:$C$740,'1. Status Resumo FY24'!$G$46,'2. Status Detalhe Campos FY24'!$D$7:$D$740,"2. Campo",'2. Status Detalhe Campos FY24'!$U$7:$U$740,"*Plano anterior*")
+COUNTIFS('2. Status Detalhe Campos FY24'!$G$7:$G$740,'1. Status Resumo FY24'!$P71,'2. Status Detalhe Campos FY24'!$C$7:$C$740,'1. Status Resumo FY24'!$H$46,'2. Status Detalhe Campos FY24'!$D$7:$D$740,"2. Campo",'2. Status Detalhe Campos FY24'!$U$7:$U$740,"*Plano anterior*")</f>
        <v>3</v>
      </c>
      <c r="V72" s="446">
        <f t="shared" si="6"/>
        <v>0</v>
      </c>
      <c r="X72" s="532"/>
      <c r="Y72" s="533"/>
      <c r="Z72" s="533"/>
      <c r="AA72" s="533"/>
      <c r="AB72" s="533"/>
      <c r="AC72" s="533"/>
      <c r="AD72" s="533"/>
      <c r="AE72" s="533"/>
      <c r="AF72" s="534"/>
      <c r="AG72" s="163"/>
      <c r="AH72" s="116"/>
    </row>
    <row r="73" spans="1:34">
      <c r="A73" s="116"/>
      <c r="B73" s="121"/>
      <c r="P73" s="375" t="s">
        <v>2356</v>
      </c>
      <c r="Q73" s="378"/>
      <c r="R73" s="378"/>
      <c r="S73" s="378"/>
      <c r="T73" s="447">
        <f>COUNTIFS('2. Status Detalhe Campos FY24'!$H$7:$H$740,'1. Status Resumo FY24'!$P72,'2. Status Detalhe Campos FY24'!$C$7:$C$740,'1. Status Resumo FY24'!$G$46,'2. Status Detalhe Campos FY24'!$D$7:$D$740,"2. Campo",'2. Status Detalhe Campos FY24'!$U$7:$U$740,"*Novo Plano*")
+COUNTIFS('2. Status Detalhe Campos FY24'!$H$7:$H$740,'1. Status Resumo FY24'!$P72,'2. Status Detalhe Campos FY24'!$C$7:$C$740,'1. Status Resumo FY24'!$H$46,'2. Status Detalhe Campos FY24'!$D$7:$D$740,"2. Campo",'2. Status Detalhe Campos FY24'!$U$7:$U$740,"*Novo Plano*")</f>
        <v>0</v>
      </c>
      <c r="U73" s="447">
        <f>COUNTIFS('2. Status Detalhe Campos FY24'!$G$7:$G$740,'1. Status Resumo FY24'!$P71,'2. Status Detalhe Campos FY24'!$C$7:$C$740,'1. Status Resumo FY24'!$G$46,'2. Status Detalhe Campos FY24'!$D$7:$D$740,"2. Campo",'2. Status Detalhe Campos FY24'!$U$7:$U$740,"*Novo Plano*")
+COUNTIFS('2. Status Detalhe Campos FY24'!$G$7:$G$740,'1. Status Resumo FY24'!$P71,'2. Status Detalhe Campos FY24'!$C$7:$C$740,'1. Status Resumo FY24'!$H$46,'2. Status Detalhe Campos FY24'!$D$7:$D$740,"2. Campo",'2. Status Detalhe Campos FY24'!$U$7:$U$740,"*Novo Plano*")</f>
        <v>0</v>
      </c>
      <c r="V73" s="447">
        <f t="shared" si="6"/>
        <v>0</v>
      </c>
      <c r="X73" s="532"/>
      <c r="Y73" s="533"/>
      <c r="Z73" s="533"/>
      <c r="AA73" s="533"/>
      <c r="AB73" s="533"/>
      <c r="AC73" s="533"/>
      <c r="AD73" s="533"/>
      <c r="AE73" s="533"/>
      <c r="AF73" s="534"/>
      <c r="AG73" s="163"/>
      <c r="AH73" s="116"/>
    </row>
    <row r="74" spans="1:34">
      <c r="A74" s="116"/>
      <c r="B74" s="121"/>
      <c r="P74" s="373" t="s">
        <v>28</v>
      </c>
      <c r="Q74" s="373"/>
      <c r="R74" s="373"/>
      <c r="S74" s="373"/>
      <c r="T74" s="373">
        <f>COUNTIFS('2. Status Detalhe Campos FY24'!$H$7:$H$740,'1. Status Resumo FY24'!$P74,'2. Status Detalhe Campos FY24'!$C$7:$C$740,'1. Status Resumo FY24'!$G$46,'2. Status Detalhe Campos FY24'!$D$7:$D$740,"2. Campo")+COUNTIFS('2. Status Detalhe Campos FY24'!$H$7:$H$740,'1. Status Resumo FY24'!$P74,'2. Status Detalhe Campos FY24'!$C$7:$C$740,'1. Status Resumo FY24'!$H$46,'2. Status Detalhe Campos FY24'!$D$7:$D$740,"2. Campo")</f>
        <v>0</v>
      </c>
      <c r="U74" s="373">
        <f>COUNTIFS('2. Status Detalhe Campos FY24'!$G$7:$G$740,'1. Status Resumo FY24'!$P74,'2. Status Detalhe Campos FY24'!$C$7:$C$740,'1. Status Resumo FY24'!$G$46,'2. Status Detalhe Campos FY24'!$D$7:$D$740,"2. Campo")+COUNTIFS('2. Status Detalhe Campos FY24'!$G$7:$G$740,'1. Status Resumo FY24'!$P74,'2. Status Detalhe Campos FY24'!$C$7:$C$740,'1. Status Resumo FY24'!$H$46,'2. Status Detalhe Campos FY24'!$D$7:$D$740,"2. Campo")</f>
        <v>0</v>
      </c>
      <c r="V74" s="373">
        <f t="shared" si="6"/>
        <v>0</v>
      </c>
      <c r="X74" s="532"/>
      <c r="Y74" s="533"/>
      <c r="Z74" s="533"/>
      <c r="AA74" s="533"/>
      <c r="AB74" s="533"/>
      <c r="AC74" s="533"/>
      <c r="AD74" s="533"/>
      <c r="AE74" s="533"/>
      <c r="AF74" s="534"/>
      <c r="AG74" s="163"/>
      <c r="AH74" s="116"/>
    </row>
    <row r="75" spans="1:34">
      <c r="A75" s="116"/>
      <c r="B75" s="121"/>
      <c r="P75" s="375" t="s">
        <v>2357</v>
      </c>
      <c r="Q75" s="376"/>
      <c r="R75" s="376"/>
      <c r="S75" s="376"/>
      <c r="T75" s="446">
        <f>COUNTIFS('2. Status Detalhe Campos FY24'!$H$7:$H$740,'1. Status Resumo FY24'!$P74,'2. Status Detalhe Campos FY24'!$C$7:$C$740,'1. Status Resumo FY24'!$G$46,'2. Status Detalhe Campos FY24'!$D$7:$D$740,"2. Campo",'2. Status Detalhe Campos FY24'!$U$7:$U$740,"*Plano anterior*")
+COUNTIFS('2. Status Detalhe Campos FY24'!$H$7:$H$740,'1. Status Resumo FY24'!$P74,'2. Status Detalhe Campos FY24'!$C$7:$C$740,'1. Status Resumo FY24'!$H$46,'2. Status Detalhe Campos FY24'!$D$7:$D$740,"2. Campo",'2. Status Detalhe Campos FY24'!$U$7:$U$740,"*Plano anterior*")</f>
        <v>0</v>
      </c>
      <c r="U75" s="446">
        <f>COUNTIFS('2. Status Detalhe Campos FY24'!$G$7:$G$740,'1. Status Resumo FY24'!$P74,'2. Status Detalhe Campos FY24'!$C$7:$C$740,'1. Status Resumo FY24'!$G$46,'2. Status Detalhe Campos FY24'!$D$7:$D$740,"2. Campo",'2. Status Detalhe Campos FY24'!$U$7:$U$740,"*Plano anterior*")
+COUNTIFS('2. Status Detalhe Campos FY24'!$G$7:$G$740,'1. Status Resumo FY24'!$P74,'2. Status Detalhe Campos FY24'!$C$7:$C$740,'1. Status Resumo FY24'!$H$46,'2. Status Detalhe Campos FY24'!$D$7:$D$740,"2. Campo",'2. Status Detalhe Campos FY24'!$U$7:$U$740,"*Plano anterior*")</f>
        <v>0</v>
      </c>
      <c r="V75" s="446">
        <f t="shared" si="6"/>
        <v>0</v>
      </c>
      <c r="X75" s="532"/>
      <c r="Y75" s="533"/>
      <c r="Z75" s="533"/>
      <c r="AA75" s="533"/>
      <c r="AB75" s="533"/>
      <c r="AC75" s="533"/>
      <c r="AD75" s="533"/>
      <c r="AE75" s="533"/>
      <c r="AF75" s="534"/>
      <c r="AG75" s="163"/>
      <c r="AH75" s="116"/>
    </row>
    <row r="76" spans="1:34">
      <c r="A76" s="116"/>
      <c r="B76" s="121"/>
      <c r="P76" s="379" t="s">
        <v>2356</v>
      </c>
      <c r="Q76" s="380"/>
      <c r="R76" s="380"/>
      <c r="S76" s="380"/>
      <c r="T76" s="448">
        <f>COUNTIFS('2. Status Detalhe Campos FY24'!$H$7:$H$740,'1. Status Resumo FY24'!$P75,'2. Status Detalhe Campos FY24'!$C$7:$C$740,'1. Status Resumo FY24'!$G$46,'2. Status Detalhe Campos FY24'!$D$7:$D$740,"2. Campo",'2. Status Detalhe Campos FY24'!$U$7:$U$740,"*Novo Plano*")
+COUNTIFS('2. Status Detalhe Campos FY24'!$H$7:$H$740,'1. Status Resumo FY24'!$P75,'2. Status Detalhe Campos FY24'!$C$7:$C$740,'1. Status Resumo FY24'!$H$46,'2. Status Detalhe Campos FY24'!$D$7:$D$740,"2. Campo",'2. Status Detalhe Campos FY24'!$U$7:$U$740,"*Novo Plano*")</f>
        <v>0</v>
      </c>
      <c r="U76" s="448">
        <f>COUNTIFS('2. Status Detalhe Campos FY24'!$G$7:$G$740,'1. Status Resumo FY24'!$P74,'2. Status Detalhe Campos FY24'!$C$7:$C$740,'1. Status Resumo FY24'!$G$46,'2. Status Detalhe Campos FY24'!$D$7:$D$740,"2. Campo",'2. Status Detalhe Campos FY24'!$U$7:$U$740,"*Novo Plano*")
+COUNTIFS('2. Status Detalhe Campos FY24'!$G$7:$G$740,'1. Status Resumo FY24'!$P74,'2. Status Detalhe Campos FY24'!$C$7:$C$740,'1. Status Resumo FY24'!$H$46,'2. Status Detalhe Campos FY24'!$D$7:$D$740,"2. Campo",'2. Status Detalhe Campos FY24'!$U$7:$U$740,"*Novo Plano*")</f>
        <v>0</v>
      </c>
      <c r="V76" s="448">
        <f t="shared" si="6"/>
        <v>0</v>
      </c>
      <c r="X76" s="532"/>
      <c r="Y76" s="533"/>
      <c r="Z76" s="533"/>
      <c r="AA76" s="533"/>
      <c r="AB76" s="533"/>
      <c r="AC76" s="533"/>
      <c r="AD76" s="533"/>
      <c r="AE76" s="533"/>
      <c r="AF76" s="534"/>
      <c r="AG76" s="163"/>
      <c r="AH76" s="116"/>
    </row>
    <row r="77" spans="1:34">
      <c r="A77" s="116"/>
      <c r="B77" s="121"/>
      <c r="P77" s="127" t="s">
        <v>2326</v>
      </c>
      <c r="T77" s="127">
        <f>+SUM(T50,T53,T56,T62,T65,T68,T71,T74,T59)</f>
        <v>208</v>
      </c>
      <c r="U77" s="127">
        <f>+SUM(U50,U53,U56,U62,U65,U68,U71,U74,U59)</f>
        <v>208</v>
      </c>
      <c r="V77" s="127">
        <f>+U77-T77</f>
        <v>0</v>
      </c>
      <c r="X77" s="532"/>
      <c r="Y77" s="533"/>
      <c r="Z77" s="533"/>
      <c r="AA77" s="533"/>
      <c r="AB77" s="533"/>
      <c r="AC77" s="533"/>
      <c r="AD77" s="533"/>
      <c r="AE77" s="533"/>
      <c r="AF77" s="534"/>
      <c r="AG77" s="163"/>
      <c r="AH77" s="116"/>
    </row>
    <row r="78" spans="1:34">
      <c r="A78" s="116"/>
      <c r="B78" s="121"/>
      <c r="P78" s="381" t="s">
        <v>2357</v>
      </c>
      <c r="T78" s="449">
        <f>+SUM(T51,T54,T57,T60,T63,T66,T69,T72,T75)</f>
        <v>208</v>
      </c>
      <c r="U78" s="449">
        <f>+SUM(U51,U54,U57,U60,U63,U66,U69,U72,U75)</f>
        <v>208</v>
      </c>
      <c r="V78" s="449">
        <f>+U78-T78</f>
        <v>0</v>
      </c>
      <c r="X78" s="532"/>
      <c r="Y78" s="533"/>
      <c r="Z78" s="533"/>
      <c r="AA78" s="533"/>
      <c r="AB78" s="533"/>
      <c r="AC78" s="533"/>
      <c r="AD78" s="533"/>
      <c r="AE78" s="533"/>
      <c r="AF78" s="534"/>
      <c r="AG78" s="163"/>
      <c r="AH78" s="116"/>
    </row>
    <row r="79" spans="1:34">
      <c r="A79" s="116"/>
      <c r="B79" s="121"/>
      <c r="P79" s="382" t="s">
        <v>2356</v>
      </c>
      <c r="Q79" s="130"/>
      <c r="R79" s="130"/>
      <c r="S79" s="130"/>
      <c r="T79" s="450">
        <f>+SUM(T52,T55,T58,T61,T64,T67,T70,T73,T76)</f>
        <v>0</v>
      </c>
      <c r="U79" s="450">
        <f>+SUM(U52,U55,U58,U61,U64,U67,U70,U73,U76)</f>
        <v>0</v>
      </c>
      <c r="V79" s="450">
        <f>+U79-T79</f>
        <v>0</v>
      </c>
      <c r="X79" s="532"/>
      <c r="Y79" s="533"/>
      <c r="Z79" s="533"/>
      <c r="AA79" s="533"/>
      <c r="AB79" s="533"/>
      <c r="AC79" s="533"/>
      <c r="AD79" s="533"/>
      <c r="AE79" s="533"/>
      <c r="AF79" s="534"/>
      <c r="AG79" s="163"/>
      <c r="AH79" s="116"/>
    </row>
    <row r="80" spans="1:34">
      <c r="A80" s="116"/>
      <c r="B80" s="121"/>
      <c r="T80" s="127"/>
      <c r="U80" s="127"/>
      <c r="X80" s="532"/>
      <c r="Y80" s="533"/>
      <c r="Z80" s="533"/>
      <c r="AA80" s="533"/>
      <c r="AB80" s="533"/>
      <c r="AC80" s="533"/>
      <c r="AD80" s="533"/>
      <c r="AE80" s="533"/>
      <c r="AF80" s="534"/>
      <c r="AG80" s="163"/>
      <c r="AH80" s="116"/>
    </row>
    <row r="81" spans="1:34">
      <c r="A81" s="116"/>
      <c r="B81" s="121"/>
      <c r="G81" s="129" t="s">
        <v>617</v>
      </c>
      <c r="H81" s="130"/>
      <c r="I81" s="130"/>
      <c r="J81" s="130"/>
      <c r="K81" s="130"/>
      <c r="L81" s="130"/>
      <c r="M81" s="130"/>
      <c r="P81" s="129" t="s">
        <v>618</v>
      </c>
      <c r="Q81" s="130"/>
      <c r="R81" s="130"/>
      <c r="S81" s="130"/>
      <c r="T81" s="130"/>
      <c r="U81" s="130"/>
      <c r="V81" s="130"/>
      <c r="X81" s="532"/>
      <c r="Y81" s="533"/>
      <c r="Z81" s="533"/>
      <c r="AA81" s="533"/>
      <c r="AB81" s="533"/>
      <c r="AC81" s="533"/>
      <c r="AD81" s="533"/>
      <c r="AE81" s="533"/>
      <c r="AF81" s="534"/>
      <c r="AG81" s="163"/>
      <c r="AH81" s="116"/>
    </row>
    <row r="82" spans="1:34">
      <c r="A82" s="116"/>
      <c r="B82" s="121"/>
      <c r="F82" s="159" t="s">
        <v>619</v>
      </c>
      <c r="G82" s="25" t="s">
        <v>620</v>
      </c>
      <c r="L82" s="161" t="s">
        <v>621</v>
      </c>
      <c r="O82" s="159" t="s">
        <v>619</v>
      </c>
      <c r="P82" s="25" t="s">
        <v>622</v>
      </c>
      <c r="T82" s="161" t="s">
        <v>621</v>
      </c>
      <c r="X82" s="532"/>
      <c r="Y82" s="533"/>
      <c r="Z82" s="533"/>
      <c r="AA82" s="533"/>
      <c r="AB82" s="533"/>
      <c r="AC82" s="533"/>
      <c r="AD82" s="533"/>
      <c r="AE82" s="533"/>
      <c r="AF82" s="534"/>
      <c r="AG82" s="163"/>
      <c r="AH82" s="116"/>
    </row>
    <row r="83" spans="1:34">
      <c r="A83" s="116"/>
      <c r="B83" s="121"/>
      <c r="F83" s="159" t="s">
        <v>619</v>
      </c>
      <c r="G83" s="25" t="s">
        <v>623</v>
      </c>
      <c r="L83" s="161" t="s">
        <v>621</v>
      </c>
      <c r="O83" s="159" t="s">
        <v>619</v>
      </c>
      <c r="P83" s="25" t="s">
        <v>624</v>
      </c>
      <c r="T83" s="161" t="s">
        <v>621</v>
      </c>
      <c r="X83" s="532"/>
      <c r="Y83" s="533"/>
      <c r="Z83" s="533"/>
      <c r="AA83" s="533"/>
      <c r="AB83" s="533"/>
      <c r="AC83" s="533"/>
      <c r="AD83" s="533"/>
      <c r="AE83" s="533"/>
      <c r="AF83" s="534"/>
      <c r="AG83" s="163"/>
      <c r="AH83" s="116"/>
    </row>
    <row r="84" spans="1:34">
      <c r="A84" s="116"/>
      <c r="B84" s="121"/>
      <c r="F84" s="159" t="s">
        <v>619</v>
      </c>
      <c r="G84" s="25" t="s">
        <v>625</v>
      </c>
      <c r="L84" s="161" t="s">
        <v>621</v>
      </c>
      <c r="O84" s="159" t="s">
        <v>619</v>
      </c>
      <c r="P84" s="25" t="s">
        <v>626</v>
      </c>
      <c r="T84" s="164" t="s">
        <v>627</v>
      </c>
      <c r="X84" s="532"/>
      <c r="Y84" s="533"/>
      <c r="Z84" s="533"/>
      <c r="AA84" s="533"/>
      <c r="AB84" s="533"/>
      <c r="AC84" s="533"/>
      <c r="AD84" s="533"/>
      <c r="AE84" s="533"/>
      <c r="AF84" s="534"/>
      <c r="AG84" s="163"/>
      <c r="AH84" s="116"/>
    </row>
    <row r="85" spans="1:34">
      <c r="A85" s="116"/>
      <c r="B85" s="121"/>
      <c r="F85" s="159" t="s">
        <v>619</v>
      </c>
      <c r="G85" s="25" t="s">
        <v>628</v>
      </c>
      <c r="L85" s="161" t="s">
        <v>621</v>
      </c>
      <c r="O85" s="159"/>
      <c r="T85" s="164"/>
      <c r="X85" s="532"/>
      <c r="Y85" s="533"/>
      <c r="Z85" s="533"/>
      <c r="AA85" s="533"/>
      <c r="AB85" s="533"/>
      <c r="AC85" s="533"/>
      <c r="AD85" s="533"/>
      <c r="AE85" s="533"/>
      <c r="AF85" s="534"/>
      <c r="AG85" s="163"/>
      <c r="AH85" s="116"/>
    </row>
    <row r="86" spans="1:34">
      <c r="A86" s="116"/>
      <c r="B86" s="121"/>
      <c r="F86" s="159" t="s">
        <v>619</v>
      </c>
      <c r="G86" s="25" t="s">
        <v>629</v>
      </c>
      <c r="L86" s="161" t="s">
        <v>621</v>
      </c>
      <c r="O86" s="159"/>
      <c r="T86" s="164"/>
      <c r="X86" s="532"/>
      <c r="Y86" s="533"/>
      <c r="Z86" s="533"/>
      <c r="AA86" s="533"/>
      <c r="AB86" s="533"/>
      <c r="AC86" s="533"/>
      <c r="AD86" s="533"/>
      <c r="AE86" s="533"/>
      <c r="AF86" s="534"/>
      <c r="AG86" s="163"/>
      <c r="AH86" s="116"/>
    </row>
    <row r="87" spans="1:34">
      <c r="A87" s="116"/>
      <c r="B87" s="121"/>
      <c r="F87" s="159" t="s">
        <v>619</v>
      </c>
      <c r="G87" s="25" t="s">
        <v>630</v>
      </c>
      <c r="L87" s="485" t="s">
        <v>2429</v>
      </c>
      <c r="O87" s="159"/>
      <c r="T87" s="161"/>
      <c r="X87" s="532"/>
      <c r="Y87" s="533"/>
      <c r="Z87" s="533"/>
      <c r="AA87" s="533"/>
      <c r="AB87" s="533"/>
      <c r="AC87" s="533"/>
      <c r="AD87" s="533"/>
      <c r="AE87" s="533"/>
      <c r="AF87" s="534"/>
      <c r="AG87" s="163"/>
      <c r="AH87" s="116"/>
    </row>
    <row r="88" spans="1:34">
      <c r="A88" s="116"/>
      <c r="B88" s="121"/>
      <c r="O88" s="159"/>
      <c r="X88" s="535"/>
      <c r="Y88" s="536"/>
      <c r="Z88" s="536"/>
      <c r="AA88" s="536"/>
      <c r="AB88" s="536"/>
      <c r="AC88" s="536"/>
      <c r="AD88" s="536"/>
      <c r="AE88" s="536"/>
      <c r="AF88" s="537"/>
      <c r="AG88" s="163"/>
      <c r="AH88" s="116"/>
    </row>
    <row r="89" spans="1:34">
      <c r="A89" s="116"/>
      <c r="B89" s="123"/>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16"/>
    </row>
    <row r="90" spans="1:34">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ht="23">
      <c r="A91" s="116"/>
      <c r="B91" s="126" t="s">
        <v>2328</v>
      </c>
      <c r="C91" s="116"/>
      <c r="D91" s="116"/>
      <c r="E91" s="116"/>
      <c r="F91" s="116"/>
      <c r="G91" s="128" t="s">
        <v>181</v>
      </c>
      <c r="H91" s="128" t="s">
        <v>310</v>
      </c>
      <c r="I91" s="116"/>
      <c r="J91" s="116"/>
      <c r="K91" s="116"/>
      <c r="L91" s="116"/>
      <c r="M91" s="116"/>
      <c r="N91" s="116"/>
      <c r="O91" s="116"/>
      <c r="P91" s="116"/>
      <c r="Q91" s="484"/>
      <c r="R91" s="116"/>
      <c r="S91" s="116"/>
      <c r="T91" s="116"/>
      <c r="U91" s="116"/>
      <c r="V91" s="116"/>
      <c r="W91" s="116"/>
      <c r="X91" s="116"/>
      <c r="Y91" s="116"/>
      <c r="Z91" s="116"/>
      <c r="AA91" s="116"/>
      <c r="AB91" s="116"/>
      <c r="AC91" s="116"/>
      <c r="AD91" s="116"/>
      <c r="AE91" s="116"/>
      <c r="AF91" s="116"/>
      <c r="AG91" s="116"/>
      <c r="AH91" s="116"/>
    </row>
    <row r="92" spans="1:34" ht="5.1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c r="A93" s="116"/>
      <c r="B93" s="118"/>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20"/>
      <c r="AH93" s="116"/>
    </row>
    <row r="94" spans="1:34">
      <c r="A94" s="116"/>
      <c r="B94" s="121"/>
      <c r="C94" s="154" t="s">
        <v>606</v>
      </c>
      <c r="G94" s="154" t="s">
        <v>607</v>
      </c>
      <c r="P94" s="129" t="s">
        <v>608</v>
      </c>
      <c r="Q94" s="130"/>
      <c r="R94" s="129"/>
      <c r="S94" s="130"/>
      <c r="T94" s="131">
        <f>T49</f>
        <v>45716</v>
      </c>
      <c r="U94" s="131">
        <f>U49</f>
        <v>45723</v>
      </c>
      <c r="V94" s="132" t="s">
        <v>609</v>
      </c>
      <c r="X94" s="155" t="s">
        <v>610</v>
      </c>
      <c r="AG94" s="122"/>
      <c r="AH94" s="116"/>
    </row>
    <row r="95" spans="1:34" ht="17.899999999999999" customHeight="1">
      <c r="A95" s="116"/>
      <c r="B95" s="121"/>
      <c r="P95" s="374" t="s">
        <v>611</v>
      </c>
      <c r="Q95" s="374"/>
      <c r="R95" s="374"/>
      <c r="S95" s="374"/>
      <c r="T95" s="374">
        <f>COUNTIFS('2. Status Detalhe Campos FY24'!$H$7:$H$740,'1. Status Resumo FY24'!$P95,'2. Status Detalhe Campos FY24'!$C$7:$C$740,'1. Status Resumo FY24'!$G$91,'2. Status Detalhe Campos FY24'!$D$7:$D$740,"2. Campo")+COUNTIFS('2. Status Detalhe Campos FY24'!$H$7:$H$740,'1. Status Resumo FY24'!$P95,'2. Status Detalhe Campos FY24'!$C$7:$C$740,'1. Status Resumo FY24'!$H$91,'2. Status Detalhe Campos FY24'!$D$7:$D$740,"2. Campo")</f>
        <v>16</v>
      </c>
      <c r="U95" s="374">
        <f>COUNTIFS('2. Status Detalhe Campos FY24'!$G$7:$G$740,'1. Status Resumo FY24'!$P95,'2. Status Detalhe Campos FY24'!$C$7:$C$740,'1. Status Resumo FY24'!$G$91,'2. Status Detalhe Campos FY24'!$D$7:$D$740,"2. Campo")+COUNTIFS('2. Status Detalhe Campos FY24'!$G$7:$G$740,'1. Status Resumo FY24'!$P95,'2. Status Detalhe Campos FY24'!$C$7:$C$740,'1. Status Resumo FY24'!$H$91,'2. Status Detalhe Campos FY24'!$D$7:$D$740,"2. Campo")</f>
        <v>16</v>
      </c>
      <c r="V95" s="374">
        <f t="shared" ref="V95:V121" si="7">U95-T95</f>
        <v>0</v>
      </c>
      <c r="W95" s="156"/>
      <c r="X95" s="541" t="s">
        <v>2453</v>
      </c>
      <c r="Y95" s="542"/>
      <c r="Z95" s="542"/>
      <c r="AA95" s="542"/>
      <c r="AB95" s="542"/>
      <c r="AC95" s="542"/>
      <c r="AD95" s="542"/>
      <c r="AE95" s="542"/>
      <c r="AF95" s="543"/>
      <c r="AG95" s="157" t="s">
        <v>631</v>
      </c>
      <c r="AH95" s="116"/>
    </row>
    <row r="96" spans="1:34" ht="17.899999999999999" customHeight="1">
      <c r="A96" s="116"/>
      <c r="B96" s="121"/>
      <c r="P96" s="375" t="s">
        <v>2366</v>
      </c>
      <c r="Q96" s="376"/>
      <c r="R96" s="376"/>
      <c r="S96" s="376"/>
      <c r="T96" s="446">
        <f>COUNTIFS('2. Status Detalhe Campos FY24'!$H$7:$H$740,'1. Status Resumo FY24'!$P95,'2. Status Detalhe Campos FY24'!$C$7:$C$740,'1. Status Resumo FY24'!$G$91,'2. Status Detalhe Campos FY24'!$D$7:$D$740,"2. Campo",'2. Status Detalhe Campos FY24'!$U$7:$U$740,"*Plano anterior*")
+COUNTIFS('2. Status Detalhe Campos FY24'!$H$7:$H$740,'1. Status Resumo FY24'!$P95,'2. Status Detalhe Campos FY24'!$C$7:$C$740,'1. Status Resumo FY24'!$H$91,'2. Status Detalhe Campos FY24'!$D$7:$D$740,"2. Campo",'2. Status Detalhe Campos FY24'!$U$7:$U$740,"*Plano anterior*")</f>
        <v>16</v>
      </c>
      <c r="U96" s="446">
        <f>COUNTIFS('2. Status Detalhe Campos FY24'!$G$7:$G$740,'1. Status Resumo FY24'!$P95,'2. Status Detalhe Campos FY24'!$C$7:$C$740,'1. Status Resumo FY24'!$G$91,'2. Status Detalhe Campos FY24'!$D$7:$D$740,"2. Campo",'2. Status Detalhe Campos FY24'!$U$7:$U$740,"*Plano anterior*")
+COUNTIFS('2. Status Detalhe Campos FY24'!$G$7:$G$740,'1. Status Resumo FY24'!$P95,'2. Status Detalhe Campos FY24'!$C$7:$C$740,'1. Status Resumo FY24'!$H$91,'2. Status Detalhe Campos FY24'!$D$7:$D$740,"2. Campo",'2. Status Detalhe Campos FY24'!$U$7:$U$740,"*Plano anterior*")</f>
        <v>16</v>
      </c>
      <c r="V96" s="446">
        <f t="shared" si="7"/>
        <v>0</v>
      </c>
      <c r="W96" s="156"/>
      <c r="X96" s="544"/>
      <c r="Y96" s="545"/>
      <c r="Z96" s="545"/>
      <c r="AA96" s="545"/>
      <c r="AB96" s="545"/>
      <c r="AC96" s="545"/>
      <c r="AD96" s="545"/>
      <c r="AE96" s="545"/>
      <c r="AF96" s="546"/>
      <c r="AG96" s="157"/>
      <c r="AH96" s="116"/>
    </row>
    <row r="97" spans="1:34" ht="17.25" customHeight="1">
      <c r="A97" s="116"/>
      <c r="B97" s="121"/>
      <c r="P97" s="375" t="s">
        <v>2356</v>
      </c>
      <c r="Q97" s="376"/>
      <c r="R97" s="376"/>
      <c r="S97" s="376"/>
      <c r="T97" s="446">
        <f>COUNTIFS('2. Status Detalhe Campos FY24'!$H$7:$H$740,'1. Status Resumo FY24'!$P95,'2. Status Detalhe Campos FY24'!$C$7:$C$740,'1. Status Resumo FY24'!$G$91,'2. Status Detalhe Campos FY24'!$D$7:$D$740,"2. Campo",'2. Status Detalhe Campos FY24'!$U$7:$U$740,"*Novo Plano*")
+COUNTIFS('2. Status Detalhe Campos FY24'!$H$7:$H$740,'1. Status Resumo FY24'!$P95,'2. Status Detalhe Campos FY24'!$C$7:$C$740,'1. Status Resumo FY24'!$H$91,'2. Status Detalhe Campos FY24'!$D$7:$D$740,"2. Campo",'2. Status Detalhe Campos FY24'!$U$7:$U$740,"*Novo Plano*")</f>
        <v>0</v>
      </c>
      <c r="U97" s="446">
        <f>COUNTIFS('2. Status Detalhe Campos FY24'!$G$7:$G$740,'1. Status Resumo FY24'!$P95,'2. Status Detalhe Campos FY24'!$C$7:$C$740,'1. Status Resumo FY24'!$G$91,'2. Status Detalhe Campos FY24'!$D$7:$D$740,"2. Campo",'2. Status Detalhe Campos FY24'!$U$7:$U$740,"*Novo Plano*")
+COUNTIFS('2. Status Detalhe Campos FY24'!$G$7:$G$740,'1. Status Resumo FY24'!$P95,'2. Status Detalhe Campos FY24'!$C$7:$C$740,'1. Status Resumo FY24'!$H$91,'2. Status Detalhe Campos FY24'!$D$7:$D$740,"2. Campo",'2. Status Detalhe Campos FY24'!$U$7:$U$740,"*Novo Plano*")</f>
        <v>0</v>
      </c>
      <c r="V97" s="446">
        <f t="shared" si="7"/>
        <v>0</v>
      </c>
      <c r="W97" s="156"/>
      <c r="X97" s="544"/>
      <c r="Y97" s="545"/>
      <c r="Z97" s="545"/>
      <c r="AA97" s="545"/>
      <c r="AB97" s="545"/>
      <c r="AC97" s="545"/>
      <c r="AD97" s="545"/>
      <c r="AE97" s="545"/>
      <c r="AF97" s="546"/>
      <c r="AG97" s="157"/>
      <c r="AH97" s="116"/>
    </row>
    <row r="98" spans="1:34">
      <c r="A98" s="116"/>
      <c r="B98" s="121"/>
      <c r="P98" s="373" t="s">
        <v>612</v>
      </c>
      <c r="Q98" s="373"/>
      <c r="R98" s="373"/>
      <c r="S98" s="373"/>
      <c r="T98" s="373">
        <f>COUNTIFS('2. Status Detalhe Campos FY24'!$H$7:$H$740,'1. Status Resumo FY24'!$P98,'2. Status Detalhe Campos FY24'!$C$7:$C$740,'1. Status Resumo FY24'!$G$91,'2. Status Detalhe Campos FY24'!$D$7:$D$740,"2. Campo")+COUNTIFS('2. Status Detalhe Campos FY24'!$H$7:$H$740,'1. Status Resumo FY24'!$P98,'2. Status Detalhe Campos FY24'!$C$7:$C$740,'1. Status Resumo FY24'!$H$91,'2. Status Detalhe Campos FY24'!$D$7:$D$740,"2. Campo")</f>
        <v>225</v>
      </c>
      <c r="U98" s="373">
        <f>COUNTIFS('2. Status Detalhe Campos FY24'!$G$7:$G$740,'1. Status Resumo FY24'!$P98,'2. Status Detalhe Campos FY24'!$C$7:$C$740,'1. Status Resumo FY24'!$G$91,'2. Status Detalhe Campos FY24'!$D$7:$D$740,"2. Campo")+COUNTIFS('2. Status Detalhe Campos FY24'!$G$7:$G$740,'1. Status Resumo FY24'!$P98,'2. Status Detalhe Campos FY24'!$C$7:$C$740,'1. Status Resumo FY24'!$H$91,'2. Status Detalhe Campos FY24'!$D$7:$D$740,"2. Campo")</f>
        <v>225</v>
      </c>
      <c r="V98" s="373">
        <f t="shared" si="7"/>
        <v>0</v>
      </c>
      <c r="W98" s="156"/>
      <c r="X98" s="544"/>
      <c r="Y98" s="545"/>
      <c r="Z98" s="545"/>
      <c r="AA98" s="545"/>
      <c r="AB98" s="545"/>
      <c r="AC98" s="545"/>
      <c r="AD98" s="545"/>
      <c r="AE98" s="545"/>
      <c r="AF98" s="546"/>
      <c r="AG98" s="157"/>
      <c r="AH98" s="116"/>
    </row>
    <row r="99" spans="1:34">
      <c r="A99" s="116"/>
      <c r="B99" s="121"/>
      <c r="P99" s="375" t="s">
        <v>2366</v>
      </c>
      <c r="Q99" s="376"/>
      <c r="R99" s="376"/>
      <c r="S99" s="376"/>
      <c r="T99" s="446">
        <f>COUNTIFS('2. Status Detalhe Campos FY24'!$H$7:$H$740,'1. Status Resumo FY24'!$P98,'2. Status Detalhe Campos FY24'!$C$7:$C$740,'1. Status Resumo FY24'!$G$91,'2. Status Detalhe Campos FY24'!$D$7:$D$740,"2. Campo",'2. Status Detalhe Campos FY24'!$U$7:$U$740,"*Plano anterior*")
+COUNTIFS('2. Status Detalhe Campos FY24'!$H$7:$H$740,'1. Status Resumo FY24'!$P98,'2. Status Detalhe Campos FY24'!$C$7:$C$740,'1. Status Resumo FY24'!$H$91,'2. Status Detalhe Campos FY24'!$D$7:$D$740,"2. Campo",'2. Status Detalhe Campos FY24'!$U$7:$U$740,"*Plano anterior*")</f>
        <v>200</v>
      </c>
      <c r="U99" s="446">
        <f>COUNTIFS('2. Status Detalhe Campos FY24'!$G$7:$G$740,'1. Status Resumo FY24'!$P98,'2. Status Detalhe Campos FY24'!$C$7:$C$740,'1. Status Resumo FY24'!$G$91,'2. Status Detalhe Campos FY24'!$D$7:$D$740,"2. Campo",'2. Status Detalhe Campos FY24'!$U$7:$U$740,"*Plano anterior*")
+COUNTIFS('2. Status Detalhe Campos FY24'!$G$7:$G$740,'1. Status Resumo FY24'!$P98,'2. Status Detalhe Campos FY24'!$C$7:$C$740,'1. Status Resumo FY24'!$H$91,'2. Status Detalhe Campos FY24'!$D$7:$D$740,"2. Campo",'2. Status Detalhe Campos FY24'!$U$7:$U$740,"*Plano anterior*")</f>
        <v>200</v>
      </c>
      <c r="V99" s="446">
        <f t="shared" si="7"/>
        <v>0</v>
      </c>
      <c r="W99" s="156"/>
      <c r="X99" s="544"/>
      <c r="Y99" s="545"/>
      <c r="Z99" s="545"/>
      <c r="AA99" s="545"/>
      <c r="AB99" s="545"/>
      <c r="AC99" s="545"/>
      <c r="AD99" s="545"/>
      <c r="AE99" s="545"/>
      <c r="AF99" s="546"/>
      <c r="AG99" s="157"/>
      <c r="AH99" s="116"/>
    </row>
    <row r="100" spans="1:34">
      <c r="A100" s="116"/>
      <c r="B100" s="121"/>
      <c r="P100" s="375" t="s">
        <v>2356</v>
      </c>
      <c r="Q100" s="378"/>
      <c r="R100" s="378"/>
      <c r="S100" s="378"/>
      <c r="T100" s="447">
        <f>COUNTIFS('2. Status Detalhe Campos FY24'!$H$7:$H$740,'1. Status Resumo FY24'!$P98,'2. Status Detalhe Campos FY24'!$C$7:$C$740,'1. Status Resumo FY24'!$G$91,'2. Status Detalhe Campos FY24'!$D$7:$D$740,"2. Campo",'2. Status Detalhe Campos FY24'!$U$7:$U$740,"*Novo Plano*")
+COUNTIFS('2. Status Detalhe Campos FY24'!$H$7:$H$740,'1. Status Resumo FY24'!$P98,'2. Status Detalhe Campos FY24'!$C$7:$C$740,'1. Status Resumo FY24'!$H$91,'2. Status Detalhe Campos FY24'!$D$7:$D$740,"2. Campo",'2. Status Detalhe Campos FY24'!$U$7:$U$740,"*Novo Plano*")</f>
        <v>25</v>
      </c>
      <c r="U100" s="447">
        <f>COUNTIFS('2. Status Detalhe Campos FY24'!$G$7:$G$740,'1. Status Resumo FY24'!$P98,'2. Status Detalhe Campos FY24'!$C$7:$C$740,'1. Status Resumo FY24'!$G$91,'2. Status Detalhe Campos FY24'!$D$7:$D$740,"2. Campo",'2. Status Detalhe Campos FY24'!$U$7:$U$740,"*Novo Plano*")
+COUNTIFS('2. Status Detalhe Campos FY24'!$G$7:$G$740,'1. Status Resumo FY24'!$P98,'2. Status Detalhe Campos FY24'!$C$7:$C$740,'1. Status Resumo FY24'!$H$91,'2. Status Detalhe Campos FY24'!$D$7:$D$740,"2. Campo",'2. Status Detalhe Campos FY24'!$U$7:$U$740,"*Novo Plano*")</f>
        <v>25</v>
      </c>
      <c r="V100" s="447">
        <f t="shared" si="7"/>
        <v>0</v>
      </c>
      <c r="W100" s="156"/>
      <c r="X100" s="544"/>
      <c r="Y100" s="545"/>
      <c r="Z100" s="545"/>
      <c r="AA100" s="545"/>
      <c r="AB100" s="545"/>
      <c r="AC100" s="545"/>
      <c r="AD100" s="545"/>
      <c r="AE100" s="545"/>
      <c r="AF100" s="546"/>
      <c r="AG100" s="157"/>
      <c r="AH100" s="116"/>
    </row>
    <row r="101" spans="1:34">
      <c r="A101" s="116"/>
      <c r="B101" s="121"/>
      <c r="P101" s="373" t="s">
        <v>1840</v>
      </c>
      <c r="Q101" s="373"/>
      <c r="R101" s="373"/>
      <c r="S101" s="373"/>
      <c r="T101" s="373">
        <f>COUNTIFS('2. Status Detalhe Campos FY24'!$H$7:$H$740,'1. Status Resumo FY24'!$P101,'2. Status Detalhe Campos FY24'!$C$7:$C$740,'1. Status Resumo FY24'!$G$91,'2. Status Detalhe Campos FY24'!$D$7:$D$740,"2. Campo")+COUNTIFS('2. Status Detalhe Campos FY24'!$H$7:$H$740,'1. Status Resumo FY24'!$P101,'2. Status Detalhe Campos FY24'!$C$7:$C$740,'1. Status Resumo FY24'!$H$91,'2. Status Detalhe Campos FY24'!$D$7:$D$740,"2. Campo")</f>
        <v>1</v>
      </c>
      <c r="U101" s="373">
        <f>COUNTIFS('2. Status Detalhe Campos FY24'!$G$7:$G$740,'1. Status Resumo FY24'!$P101,'2. Status Detalhe Campos FY24'!$C$7:$C$740,'1. Status Resumo FY24'!$G$91,'2. Status Detalhe Campos FY24'!$D$7:$D$740,"2. Campo")+COUNTIFS('2. Status Detalhe Campos FY24'!$G$7:$G$740,'1. Status Resumo FY24'!$P101,'2. Status Detalhe Campos FY24'!$C$7:$C$740,'1. Status Resumo FY24'!$H$91,'2. Status Detalhe Campos FY24'!$D$7:$D$740,"2. Campo")</f>
        <v>1</v>
      </c>
      <c r="V101" s="373">
        <f t="shared" si="7"/>
        <v>0</v>
      </c>
      <c r="W101" s="156"/>
      <c r="X101" s="544"/>
      <c r="Y101" s="545"/>
      <c r="Z101" s="545"/>
      <c r="AA101" s="545"/>
      <c r="AB101" s="545"/>
      <c r="AC101" s="545"/>
      <c r="AD101" s="545"/>
      <c r="AE101" s="545"/>
      <c r="AF101" s="546"/>
      <c r="AG101" s="157"/>
      <c r="AH101" s="116"/>
    </row>
    <row r="102" spans="1:34">
      <c r="A102" s="116"/>
      <c r="B102" s="121"/>
      <c r="P102" s="375" t="s">
        <v>2366</v>
      </c>
      <c r="Q102" s="376"/>
      <c r="R102" s="376"/>
      <c r="S102" s="376"/>
      <c r="T102" s="446">
        <f>COUNTIFS('2. Status Detalhe Campos FY24'!$H$7:$H$740,'1. Status Resumo FY24'!$P101,'2. Status Detalhe Campos FY24'!$C$7:$C$740,'1. Status Resumo FY24'!$G$91,'2. Status Detalhe Campos FY24'!$D$7:$D$740,"2. Campo",'2. Status Detalhe Campos FY24'!$U$7:$U$740,"*Plano anterior*")
+COUNTIFS('2. Status Detalhe Campos FY24'!$H$7:$H$740,'1. Status Resumo FY24'!$P101,'2. Status Detalhe Campos FY24'!$C$7:$C$740,'1. Status Resumo FY24'!$H$91,'2. Status Detalhe Campos FY24'!$D$7:$D$740,"2. Campo",'2. Status Detalhe Campos FY24'!$U$7:$U$740,"*Plano anterior*")</f>
        <v>1</v>
      </c>
      <c r="U102" s="446">
        <f>COUNTIFS('2. Status Detalhe Campos FY24'!$G$7:$G$740,'1. Status Resumo FY24'!$P101,'2. Status Detalhe Campos FY24'!$C$7:$C$740,'1. Status Resumo FY24'!$G$91,'2. Status Detalhe Campos FY24'!$D$7:$D$740,"2. Campo",'2. Status Detalhe Campos FY24'!$U$7:$U$740,"*Plano anterior*")
+COUNTIFS('2. Status Detalhe Campos FY24'!$G$7:$G$740,'1. Status Resumo FY24'!$P101,'2. Status Detalhe Campos FY24'!$C$7:$C$740,'1. Status Resumo FY24'!$H$91,'2. Status Detalhe Campos FY24'!$D$7:$D$740,"2. Campo",'2. Status Detalhe Campos FY24'!$U$7:$U$740,"*Plano anterior*")</f>
        <v>1</v>
      </c>
      <c r="V102" s="446">
        <f t="shared" si="7"/>
        <v>0</v>
      </c>
      <c r="W102" s="156"/>
      <c r="X102" s="544"/>
      <c r="Y102" s="545"/>
      <c r="Z102" s="545"/>
      <c r="AA102" s="545"/>
      <c r="AB102" s="545"/>
      <c r="AC102" s="545"/>
      <c r="AD102" s="545"/>
      <c r="AE102" s="545"/>
      <c r="AF102" s="546"/>
      <c r="AG102" s="157"/>
      <c r="AH102" s="116"/>
    </row>
    <row r="103" spans="1:34">
      <c r="A103" s="116"/>
      <c r="B103" s="121"/>
      <c r="P103" s="375" t="s">
        <v>2356</v>
      </c>
      <c r="Q103" s="378"/>
      <c r="R103" s="378"/>
      <c r="S103" s="378"/>
      <c r="T103" s="447">
        <f>COUNTIFS('2. Status Detalhe Campos FY24'!$H$7:$H$740,'1. Status Resumo FY24'!$P101,'2. Status Detalhe Campos FY24'!$C$7:$C$740,'1. Status Resumo FY24'!$G$91,'2. Status Detalhe Campos FY24'!$D$7:$D$740,"2. Campo",'2. Status Detalhe Campos FY24'!$U$7:$U$740,"*Novo Plano*")
+COUNTIFS('2. Status Detalhe Campos FY24'!$H$7:$H$740,'1. Status Resumo FY24'!$P101,'2. Status Detalhe Campos FY24'!$C$7:$C$740,'1. Status Resumo FY24'!$H$91,'2. Status Detalhe Campos FY24'!$D$7:$D$740,"2. Campo",'2. Status Detalhe Campos FY24'!$U$7:$U$740,"*Novo Plano*")</f>
        <v>0</v>
      </c>
      <c r="U103" s="447">
        <f>COUNTIFS('2. Status Detalhe Campos FY24'!$G$7:$G$740,'1. Status Resumo FY24'!$P101,'2. Status Detalhe Campos FY24'!$C$7:$C$740,'1. Status Resumo FY24'!$G$91,'2. Status Detalhe Campos FY24'!$D$7:$D$740,"2. Campo",'2. Status Detalhe Campos FY24'!$U$7:$U$740,"*Novo Plano*")
+COUNTIFS('2. Status Detalhe Campos FY24'!$G$7:$G$740,'1. Status Resumo FY24'!$P101,'2. Status Detalhe Campos FY24'!$C$7:$C$740,'1. Status Resumo FY24'!$H$91,'2. Status Detalhe Campos FY24'!$D$7:$D$740,"2. Campo",'2. Status Detalhe Campos FY24'!$U$7:$U$740,"*Novo Plano*")</f>
        <v>0</v>
      </c>
      <c r="V103" s="447">
        <f t="shared" si="7"/>
        <v>0</v>
      </c>
      <c r="W103" s="156"/>
      <c r="X103" s="544"/>
      <c r="Y103" s="545"/>
      <c r="Z103" s="545"/>
      <c r="AA103" s="545"/>
      <c r="AB103" s="545"/>
      <c r="AC103" s="545"/>
      <c r="AD103" s="545"/>
      <c r="AE103" s="545"/>
      <c r="AF103" s="546"/>
      <c r="AG103" s="157"/>
      <c r="AH103" s="116"/>
    </row>
    <row r="104" spans="1:34" ht="18.75" customHeight="1">
      <c r="A104" s="116"/>
      <c r="B104" s="121"/>
      <c r="D104" s="427"/>
      <c r="E104" s="427"/>
      <c r="P104" s="373" t="s">
        <v>2319</v>
      </c>
      <c r="Q104" s="373"/>
      <c r="R104" s="373"/>
      <c r="S104" s="373"/>
      <c r="T104" s="373">
        <f>COUNTIFS('2. Status Detalhe Campos FY24'!$H$7:$H$740,'1. Status Resumo FY24'!$P104,'2. Status Detalhe Campos FY24'!$C$7:$C$740,'1. Status Resumo FY24'!$G$91,'2. Status Detalhe Campos FY24'!$D$7:$D$740,"2. Campo")+COUNTIFS('2. Status Detalhe Campos FY24'!$H$7:$H$740,'1. Status Resumo FY24'!$P104,'2. Status Detalhe Campos FY24'!$C$7:$C$740,'1. Status Resumo FY24'!$H$91,'2. Status Detalhe Campos FY24'!$D$7:$D$740,"2. Campo")</f>
        <v>0</v>
      </c>
      <c r="U104" s="373">
        <f>COUNTIFS('2. Status Detalhe Campos FY24'!$G$7:$G$740,'1. Status Resumo FY24'!$P104,'2. Status Detalhe Campos FY24'!$C$7:$C$740,'1. Status Resumo FY24'!$G$91,'2. Status Detalhe Campos FY24'!$D$7:$D$740,"2. Campo")+COUNTIFS('2. Status Detalhe Campos FY24'!$G$7:$G$740,'1. Status Resumo FY24'!$P104,'2. Status Detalhe Campos FY24'!$C$7:$C$740,'1. Status Resumo FY24'!$H$91,'2. Status Detalhe Campos FY24'!$D$7:$D$740,"2. Campo")</f>
        <v>0</v>
      </c>
      <c r="V104" s="373">
        <f t="shared" si="7"/>
        <v>0</v>
      </c>
      <c r="W104" s="156"/>
      <c r="X104" s="544"/>
      <c r="Y104" s="545"/>
      <c r="Z104" s="545"/>
      <c r="AA104" s="545"/>
      <c r="AB104" s="545"/>
      <c r="AC104" s="545"/>
      <c r="AD104" s="545"/>
      <c r="AE104" s="545"/>
      <c r="AF104" s="546"/>
      <c r="AG104" s="157"/>
      <c r="AH104" s="116"/>
    </row>
    <row r="105" spans="1:34" ht="18.75" customHeight="1">
      <c r="A105" s="116"/>
      <c r="B105" s="121"/>
      <c r="D105" s="427"/>
      <c r="E105" s="427"/>
      <c r="P105" s="375" t="s">
        <v>2366</v>
      </c>
      <c r="Q105" s="376"/>
      <c r="R105" s="376"/>
      <c r="S105" s="376"/>
      <c r="T105" s="446">
        <f>COUNTIFS('2. Status Detalhe Campos FY24'!$H$7:$H$740,'1. Status Resumo FY24'!$P104,'2. Status Detalhe Campos FY24'!$C$7:$C$740,'1. Status Resumo FY24'!$G$91,'2. Status Detalhe Campos FY24'!$D$7:$D$740,"2. Campo",'2. Status Detalhe Campos FY24'!$U$7:$U$740,"*Plano anterior*")
+COUNTIFS('2. Status Detalhe Campos FY24'!$H$7:$H$740,'1. Status Resumo FY24'!$P104,'2. Status Detalhe Campos FY24'!$C$7:$C$740,'1. Status Resumo FY24'!$H$91,'2. Status Detalhe Campos FY24'!$D$7:$D$740,"2. Campo",'2. Status Detalhe Campos FY24'!$U$7:$U$740,"*Plano anterior*")</f>
        <v>0</v>
      </c>
      <c r="U105" s="446">
        <f>COUNTIFS('2. Status Detalhe Campos FY24'!$G$7:$G$740,'1. Status Resumo FY24'!$P104,'2. Status Detalhe Campos FY24'!$C$7:$C$740,'1. Status Resumo FY24'!$G$91,'2. Status Detalhe Campos FY24'!$D$7:$D$740,"2. Campo",'2. Status Detalhe Campos FY24'!$U$7:$U$740,"*Plano anterior*")
+COUNTIFS('2. Status Detalhe Campos FY24'!$G$7:$G$740,'1. Status Resumo FY24'!$P104,'2. Status Detalhe Campos FY24'!$C$7:$C$740,'1. Status Resumo FY24'!$H$91,'2. Status Detalhe Campos FY24'!$D$7:$D$740,"2. Campo",'2. Status Detalhe Campos FY24'!$U$7:$U$740,"*Plano anterior*")</f>
        <v>0</v>
      </c>
      <c r="V105" s="446">
        <f t="shared" si="7"/>
        <v>0</v>
      </c>
      <c r="W105" s="156"/>
      <c r="X105" s="544"/>
      <c r="Y105" s="545"/>
      <c r="Z105" s="545"/>
      <c r="AA105" s="545"/>
      <c r="AB105" s="545"/>
      <c r="AC105" s="545"/>
      <c r="AD105" s="545"/>
      <c r="AE105" s="545"/>
      <c r="AF105" s="546"/>
      <c r="AG105" s="157"/>
      <c r="AH105" s="116"/>
    </row>
    <row r="106" spans="1:34" ht="18.75" customHeight="1">
      <c r="A106" s="116"/>
      <c r="B106" s="121"/>
      <c r="D106" s="427"/>
      <c r="E106" s="427"/>
      <c r="P106" s="375" t="s">
        <v>2356</v>
      </c>
      <c r="Q106" s="378"/>
      <c r="R106" s="378"/>
      <c r="S106" s="378"/>
      <c r="T106" s="447">
        <f>COUNTIFS('2. Status Detalhe Campos FY24'!$H$7:$H$740,'1. Status Resumo FY24'!$P104,'2. Status Detalhe Campos FY24'!$C$7:$C$740,'1. Status Resumo FY24'!$G$91,'2. Status Detalhe Campos FY24'!$D$7:$D$740,"2. Campo",'2. Status Detalhe Campos FY24'!$U$7:$U$740,"*Novo Plano*")
+COUNTIFS('2. Status Detalhe Campos FY24'!$H$7:$H$740,'1. Status Resumo FY24'!$P104,'2. Status Detalhe Campos FY24'!$C$7:$C$740,'1. Status Resumo FY24'!$H$91,'2. Status Detalhe Campos FY24'!$D$7:$D$740,"2. Campo",'2. Status Detalhe Campos FY24'!$U$7:$U$740,"*Novo Plano*")</f>
        <v>0</v>
      </c>
      <c r="U106" s="447">
        <f>COUNTIFS('2. Status Detalhe Campos FY24'!$G$7:$G$740,'1. Status Resumo FY24'!$P104,'2. Status Detalhe Campos FY24'!$C$7:$C$740,'1. Status Resumo FY24'!$G$91,'2. Status Detalhe Campos FY24'!$D$7:$D$740,"2. Campo",'2. Status Detalhe Campos FY24'!$U$7:$U$740,"*Novo Plano*")
+COUNTIFS('2. Status Detalhe Campos FY24'!$G$7:$G$740,'1. Status Resumo FY24'!$P104,'2. Status Detalhe Campos FY24'!$C$7:$C$740,'1. Status Resumo FY24'!$H$91,'2. Status Detalhe Campos FY24'!$D$7:$D$740,"2. Campo",'2. Status Detalhe Campos FY24'!$U$7:$U$740,"*Novo Plano*")</f>
        <v>0</v>
      </c>
      <c r="V106" s="447">
        <f t="shared" si="7"/>
        <v>0</v>
      </c>
      <c r="W106" s="156"/>
      <c r="X106" s="544"/>
      <c r="Y106" s="545"/>
      <c r="Z106" s="545"/>
      <c r="AA106" s="545"/>
      <c r="AB106" s="545"/>
      <c r="AC106" s="545"/>
      <c r="AD106" s="545"/>
      <c r="AE106" s="545"/>
      <c r="AF106" s="546"/>
      <c r="AG106" s="157"/>
      <c r="AH106" s="116"/>
    </row>
    <row r="107" spans="1:34" ht="17.899999999999999" customHeight="1">
      <c r="A107" s="116"/>
      <c r="B107" s="121"/>
      <c r="D107" s="528" t="str">
        <f>+"#"&amp;$U$122</f>
        <v>#302</v>
      </c>
      <c r="P107" s="373" t="s">
        <v>613</v>
      </c>
      <c r="Q107" s="373"/>
      <c r="R107" s="373"/>
      <c r="S107" s="373"/>
      <c r="T107" s="373">
        <f>COUNTIFS('2. Status Detalhe Campos FY24'!$H$7:$H$740,'1. Status Resumo FY24'!$P107,'2. Status Detalhe Campos FY24'!$C$7:$C$740,'1. Status Resumo FY24'!$G$91,'2. Status Detalhe Campos FY24'!$D$7:$D$740,"2. Campo")+COUNTIFS('2. Status Detalhe Campos FY24'!$H$7:$H$740,'1. Status Resumo FY24'!$P107,'2. Status Detalhe Campos FY24'!$C$7:$C$740,'1. Status Resumo FY24'!$H$91,'2. Status Detalhe Campos FY24'!$D$7:$D$740,"2. Campo")</f>
        <v>0</v>
      </c>
      <c r="U107" s="373">
        <f>COUNTIFS('2. Status Detalhe Campos FY24'!$G$7:$G$740,'1. Status Resumo FY24'!$P107,'2. Status Detalhe Campos FY24'!$C$7:$C$740,'1. Status Resumo FY24'!$G$91,'2. Status Detalhe Campos FY24'!$D$7:$D$740,"2. Campo")+COUNTIFS('2. Status Detalhe Campos FY24'!$G$7:$G$740,'1. Status Resumo FY24'!$P107,'2. Status Detalhe Campos FY24'!$C$7:$C$740,'1. Status Resumo FY24'!$H$91,'2. Status Detalhe Campos FY24'!$D$7:$D$740,"2. Campo")</f>
        <v>0</v>
      </c>
      <c r="V107" s="373">
        <f t="shared" si="7"/>
        <v>0</v>
      </c>
      <c r="W107" s="156"/>
      <c r="X107" s="544"/>
      <c r="Y107" s="545"/>
      <c r="Z107" s="545"/>
      <c r="AA107" s="545"/>
      <c r="AB107" s="545"/>
      <c r="AC107" s="545"/>
      <c r="AD107" s="545"/>
      <c r="AE107" s="545"/>
      <c r="AF107" s="546"/>
      <c r="AG107" s="157"/>
      <c r="AH107" s="116"/>
    </row>
    <row r="108" spans="1:34" ht="17.899999999999999" customHeight="1">
      <c r="A108" s="116"/>
      <c r="B108" s="121"/>
      <c r="D108" s="528"/>
      <c r="P108" s="375" t="s">
        <v>2366</v>
      </c>
      <c r="Q108" s="376"/>
      <c r="R108" s="376"/>
      <c r="S108" s="376"/>
      <c r="T108" s="446">
        <f>COUNTIFS('2. Status Detalhe Campos FY24'!$H$7:$H$740,'1. Status Resumo FY24'!$P107,'2. Status Detalhe Campos FY24'!$C$7:$C$740,'1. Status Resumo FY24'!$G$91,'2. Status Detalhe Campos FY24'!$D$7:$D$740,"2. Campo",'2. Status Detalhe Campos FY24'!$U$7:$U$740,"*Plano anterior*")
+COUNTIFS('2. Status Detalhe Campos FY24'!$H$7:$H$740,'1. Status Resumo FY24'!$P107,'2. Status Detalhe Campos FY24'!$C$7:$C$740,'1. Status Resumo FY24'!$H$91,'2. Status Detalhe Campos FY24'!$D$7:$D$740,"2. Campo",'2. Status Detalhe Campos FY24'!$U$7:$U$740,"*Plano anterior*")</f>
        <v>0</v>
      </c>
      <c r="U108" s="446">
        <f>COUNTIFS('2. Status Detalhe Campos FY24'!$G$7:$G$740,'1. Status Resumo FY24'!$P107,'2. Status Detalhe Campos FY24'!$C$7:$C$740,'1. Status Resumo FY24'!$G$91,'2. Status Detalhe Campos FY24'!$D$7:$D$740,"2. Campo",'2. Status Detalhe Campos FY24'!$U$7:$U$740,"*Plano anterior*")
+COUNTIFS('2. Status Detalhe Campos FY24'!$G$7:$G$740,'1. Status Resumo FY24'!$P107,'2. Status Detalhe Campos FY24'!$C$7:$C$740,'1. Status Resumo FY24'!$H$91,'2. Status Detalhe Campos FY24'!$D$7:$D$740,"2. Campo",'2. Status Detalhe Campos FY24'!$U$7:$U$740,"*Plano anterior*")</f>
        <v>0</v>
      </c>
      <c r="V108" s="446">
        <f t="shared" si="7"/>
        <v>0</v>
      </c>
      <c r="W108" s="156"/>
      <c r="X108" s="544"/>
      <c r="Y108" s="545"/>
      <c r="Z108" s="545"/>
      <c r="AA108" s="545"/>
      <c r="AB108" s="545"/>
      <c r="AC108" s="545"/>
      <c r="AD108" s="545"/>
      <c r="AE108" s="545"/>
      <c r="AF108" s="546"/>
      <c r="AG108" s="157"/>
      <c r="AH108" s="116"/>
    </row>
    <row r="109" spans="1:34" ht="17.899999999999999" customHeight="1">
      <c r="A109" s="116"/>
      <c r="B109" s="121"/>
      <c r="D109" s="528"/>
      <c r="P109" s="375" t="s">
        <v>2356</v>
      </c>
      <c r="Q109" s="378"/>
      <c r="R109" s="378"/>
      <c r="S109" s="378"/>
      <c r="T109" s="447">
        <f>COUNTIFS('2. Status Detalhe Campos FY24'!$H$7:$H$740,'1. Status Resumo FY24'!$P107,'2. Status Detalhe Campos FY24'!$C$7:$C$740,'1. Status Resumo FY24'!$G$91,'2. Status Detalhe Campos FY24'!$D$7:$D$740,"2. Campo",'2. Status Detalhe Campos FY24'!$U$7:$U$740,"*Novo Plano*")
+COUNTIFS('2. Status Detalhe Campos FY24'!$H$7:$H$740,'1. Status Resumo FY24'!$P107,'2. Status Detalhe Campos FY24'!$C$7:$C$740,'1. Status Resumo FY24'!$H$91,'2. Status Detalhe Campos FY24'!$D$7:$D$740,"2. Campo",'2. Status Detalhe Campos FY24'!$U$7:$U$740,"*Novo Plano*")</f>
        <v>0</v>
      </c>
      <c r="U109" s="447">
        <f>COUNTIFS('2. Status Detalhe Campos FY24'!$G$7:$G$740,'1. Status Resumo FY24'!$P107,'2. Status Detalhe Campos FY24'!$C$7:$C$740,'1. Status Resumo FY24'!$G$91,'2. Status Detalhe Campos FY24'!$D$7:$D$740,"2. Campo",'2. Status Detalhe Campos FY24'!$U$7:$U$740,"*Novo Plano*")
+COUNTIFS('2. Status Detalhe Campos FY24'!$G$7:$G$740,'1. Status Resumo FY24'!$P107,'2. Status Detalhe Campos FY24'!$C$7:$C$740,'1. Status Resumo FY24'!$H$91,'2. Status Detalhe Campos FY24'!$D$7:$D$740,"2. Campo",'2. Status Detalhe Campos FY24'!$U$7:$U$740,"*Novo Plano*")</f>
        <v>0</v>
      </c>
      <c r="V109" s="447">
        <f t="shared" si="7"/>
        <v>0</v>
      </c>
      <c r="W109" s="156"/>
      <c r="X109" s="544"/>
      <c r="Y109" s="545"/>
      <c r="Z109" s="545"/>
      <c r="AA109" s="545"/>
      <c r="AB109" s="545"/>
      <c r="AC109" s="545"/>
      <c r="AD109" s="545"/>
      <c r="AE109" s="545"/>
      <c r="AF109" s="546"/>
      <c r="AG109" s="157"/>
      <c r="AH109" s="116"/>
    </row>
    <row r="110" spans="1:34" ht="17.899999999999999" customHeight="1">
      <c r="A110" s="116"/>
      <c r="B110" s="121"/>
      <c r="D110" s="427"/>
      <c r="P110" s="373" t="s">
        <v>614</v>
      </c>
      <c r="Q110" s="373"/>
      <c r="R110" s="373"/>
      <c r="S110" s="373"/>
      <c r="T110" s="373">
        <f>COUNTIFS('2. Status Detalhe Campos FY24'!$H$7:$H$740,'1. Status Resumo FY24'!$P110,'2. Status Detalhe Campos FY24'!$C$7:$C$740,'1. Status Resumo FY24'!$G$91,'2. Status Detalhe Campos FY24'!$D$7:$D$740,"2. Campo")+COUNTIFS('2. Status Detalhe Campos FY24'!$H$7:$H$740,'1. Status Resumo FY24'!$P110,'2. Status Detalhe Campos FY24'!$C$7:$C$740,'1. Status Resumo FY24'!$H$91,'2. Status Detalhe Campos FY24'!$D$7:$D$740,"2. Campo")</f>
        <v>0</v>
      </c>
      <c r="U110" s="373">
        <f>COUNTIFS('2. Status Detalhe Campos FY24'!$G$7:$G$740,'1. Status Resumo FY24'!$P110,'2. Status Detalhe Campos FY24'!$C$7:$C$740,'1. Status Resumo FY24'!$G$91,'2. Status Detalhe Campos FY24'!$D$7:$D$740,"2. Campo")+COUNTIFS('2. Status Detalhe Campos FY24'!$G$7:$G$740,'1. Status Resumo FY24'!$P110,'2. Status Detalhe Campos FY24'!$C$7:$C$740,'1. Status Resumo FY24'!$H$91,'2. Status Detalhe Campos FY24'!$D$7:$D$740,"2. Campo")</f>
        <v>0</v>
      </c>
      <c r="V110" s="373">
        <f t="shared" si="7"/>
        <v>0</v>
      </c>
      <c r="W110" s="156"/>
      <c r="X110" s="544"/>
      <c r="Y110" s="545"/>
      <c r="Z110" s="545"/>
      <c r="AA110" s="545"/>
      <c r="AB110" s="545"/>
      <c r="AC110" s="545"/>
      <c r="AD110" s="545"/>
      <c r="AE110" s="545"/>
      <c r="AF110" s="546"/>
      <c r="AG110" s="157"/>
      <c r="AH110" s="116"/>
    </row>
    <row r="111" spans="1:34" ht="17.899999999999999" customHeight="1">
      <c r="A111" s="116"/>
      <c r="B111" s="121"/>
      <c r="D111" s="371"/>
      <c r="E111" s="371"/>
      <c r="P111" s="375" t="s">
        <v>2366</v>
      </c>
      <c r="Q111" s="376"/>
      <c r="R111" s="376"/>
      <c r="S111" s="376"/>
      <c r="T111" s="446">
        <f>COUNTIFS('2. Status Detalhe Campos FY24'!$H$7:$H$740,'1. Status Resumo FY24'!$P110,'2. Status Detalhe Campos FY24'!$C$7:$C$740,'1. Status Resumo FY24'!$G$91,'2. Status Detalhe Campos FY24'!$D$7:$D$740,"2. Campo",'2. Status Detalhe Campos FY24'!$U$7:$U$740,"*Plano anterior*")
+COUNTIFS('2. Status Detalhe Campos FY24'!$H$7:$H$740,'1. Status Resumo FY24'!$P110,'2. Status Detalhe Campos FY24'!$C$7:$C$740,'1. Status Resumo FY24'!$H$91,'2. Status Detalhe Campos FY24'!$D$7:$D$740,"2. Campo",'2. Status Detalhe Campos FY24'!$U$7:$U$740,"*Plano anterior*")</f>
        <v>0</v>
      </c>
      <c r="U111" s="446">
        <f>COUNTIFS('2. Status Detalhe Campos FY24'!$G$7:$G$740,'1. Status Resumo FY24'!$P110,'2. Status Detalhe Campos FY24'!$C$7:$C$740,'1. Status Resumo FY24'!$G$91,'2. Status Detalhe Campos FY24'!$D$7:$D$740,"2. Campo",'2. Status Detalhe Campos FY24'!$U$7:$U$740,"*Plano anterior*")
+COUNTIFS('2. Status Detalhe Campos FY24'!$G$7:$G$740,'1. Status Resumo FY24'!$P110,'2. Status Detalhe Campos FY24'!$C$7:$C$740,'1. Status Resumo FY24'!$H$91,'2. Status Detalhe Campos FY24'!$D$7:$D$740,"2. Campo",'2. Status Detalhe Campos FY24'!$U$7:$U$740,"*Plano anterior*")</f>
        <v>0</v>
      </c>
      <c r="V111" s="446">
        <f t="shared" si="7"/>
        <v>0</v>
      </c>
      <c r="W111" s="156"/>
      <c r="X111" s="544"/>
      <c r="Y111" s="545"/>
      <c r="Z111" s="545"/>
      <c r="AA111" s="545"/>
      <c r="AB111" s="545"/>
      <c r="AC111" s="545"/>
      <c r="AD111" s="545"/>
      <c r="AE111" s="545"/>
      <c r="AF111" s="546"/>
      <c r="AG111" s="157"/>
      <c r="AH111" s="116"/>
    </row>
    <row r="112" spans="1:34" ht="17.899999999999999" customHeight="1">
      <c r="A112" s="116"/>
      <c r="B112" s="121"/>
      <c r="D112" s="371"/>
      <c r="E112" s="371"/>
      <c r="P112" s="375" t="s">
        <v>2356</v>
      </c>
      <c r="Q112" s="378"/>
      <c r="R112" s="378"/>
      <c r="S112" s="378"/>
      <c r="T112" s="447">
        <f>COUNTIFS('2. Status Detalhe Campos FY24'!$H$7:$H$740,'1. Status Resumo FY24'!$P110,'2. Status Detalhe Campos FY24'!$C$7:$C$740,'1. Status Resumo FY24'!$G$91,'2. Status Detalhe Campos FY24'!$D$7:$D$740,"2. Campo",'2. Status Detalhe Campos FY24'!$U$7:$U$740,"*Novo Plano*")
+COUNTIFS('2. Status Detalhe Campos FY24'!$H$7:$H$740,'1. Status Resumo FY24'!$P110,'2. Status Detalhe Campos FY24'!$C$7:$C$740,'1. Status Resumo FY24'!$H$91,'2. Status Detalhe Campos FY24'!$D$7:$D$740,"2. Campo",'2. Status Detalhe Campos FY24'!$U$7:$U$740,"*Novo Plano*")</f>
        <v>0</v>
      </c>
      <c r="U112" s="447">
        <f>COUNTIFS('2. Status Detalhe Campos FY24'!$G$7:$G$740,'1. Status Resumo FY24'!$P110,'2. Status Detalhe Campos FY24'!$C$7:$C$740,'1. Status Resumo FY24'!$G$91,'2. Status Detalhe Campos FY24'!$D$7:$D$740,"2. Campo",'2. Status Detalhe Campos FY24'!$U$7:$U$740,"*Novo Plano*")
+COUNTIFS('2. Status Detalhe Campos FY24'!$G$7:$G$740,'1. Status Resumo FY24'!$P110,'2. Status Detalhe Campos FY24'!$C$7:$C$740,'1. Status Resumo FY24'!$H$91,'2. Status Detalhe Campos FY24'!$D$7:$D$740,"2. Campo",'2. Status Detalhe Campos FY24'!$U$7:$U$740,"*Novo Plano*")</f>
        <v>0</v>
      </c>
      <c r="V112" s="447">
        <f t="shared" si="7"/>
        <v>0</v>
      </c>
      <c r="W112" s="156"/>
      <c r="X112" s="544"/>
      <c r="Y112" s="545"/>
      <c r="Z112" s="545"/>
      <c r="AA112" s="545"/>
      <c r="AB112" s="545"/>
      <c r="AC112" s="545"/>
      <c r="AD112" s="545"/>
      <c r="AE112" s="545"/>
      <c r="AF112" s="546"/>
      <c r="AG112" s="157"/>
      <c r="AH112" s="116"/>
    </row>
    <row r="113" spans="1:34" ht="17.899999999999999" customHeight="1">
      <c r="A113" s="116"/>
      <c r="B113" s="121"/>
      <c r="P113" s="373" t="s">
        <v>615</v>
      </c>
      <c r="Q113" s="373"/>
      <c r="R113" s="373" t="s">
        <v>616</v>
      </c>
      <c r="S113" s="373"/>
      <c r="T113" s="373">
        <f>COUNTIFS('2. Status Detalhe Campos FY24'!$H$7:$H$740,'1. Status Resumo FY24'!$P113,'2. Status Detalhe Campos FY24'!$C$7:$C$740,'1. Status Resumo FY24'!$G$91,'2. Status Detalhe Campos FY24'!$D$7:$D$740,"2. Campo")+COUNTIFS('2. Status Detalhe Campos FY24'!$H$7:$H$740,'1. Status Resumo FY24'!$P113,'2. Status Detalhe Campos FY24'!$C$7:$C$740,'1. Status Resumo FY24'!$H$91,'2. Status Detalhe Campos FY24'!$D$7:$D$740,"2. Campo")</f>
        <v>0</v>
      </c>
      <c r="U113" s="373">
        <f>COUNTIFS('2. Status Detalhe Campos FY24'!$G$7:$G$740,'1. Status Resumo FY24'!$P113,'2. Status Detalhe Campos FY24'!$C$7:$C$740,'1. Status Resumo FY24'!$G$91,'2. Status Detalhe Campos FY24'!$D$7:$D$740,"2. Campo")+COUNTIFS('2. Status Detalhe Campos FY24'!$G$7:$G$740,'1. Status Resumo FY24'!$P113,'2. Status Detalhe Campos FY24'!$C$7:$C$740,'1. Status Resumo FY24'!$H$91,'2. Status Detalhe Campos FY24'!$D$7:$D$740,"2. Campo")</f>
        <v>0</v>
      </c>
      <c r="V113" s="373">
        <f t="shared" si="7"/>
        <v>0</v>
      </c>
      <c r="W113" s="156"/>
      <c r="X113" s="544"/>
      <c r="Y113" s="545"/>
      <c r="Z113" s="545"/>
      <c r="AA113" s="545"/>
      <c r="AB113" s="545"/>
      <c r="AC113" s="545"/>
      <c r="AD113" s="545"/>
      <c r="AE113" s="545"/>
      <c r="AF113" s="546"/>
      <c r="AG113" s="157"/>
      <c r="AH113" s="116"/>
    </row>
    <row r="114" spans="1:34" ht="17.899999999999999" customHeight="1">
      <c r="A114" s="116"/>
      <c r="B114" s="121"/>
      <c r="P114" s="375" t="s">
        <v>2366</v>
      </c>
      <c r="Q114" s="376"/>
      <c r="R114" s="376"/>
      <c r="S114" s="376"/>
      <c r="T114" s="446">
        <f>COUNTIFS('2. Status Detalhe Campos FY24'!$H$7:$H$740,'1. Status Resumo FY24'!$P113,'2. Status Detalhe Campos FY24'!$C$7:$C$740,'1. Status Resumo FY24'!$G$91,'2. Status Detalhe Campos FY24'!$D$7:$D$740,"2. Campo",'2. Status Detalhe Campos FY24'!$U$7:$U$740,"*Plano anterior*")
+COUNTIFS('2. Status Detalhe Campos FY24'!$H$7:$H$740,'1. Status Resumo FY24'!$P113,'2. Status Detalhe Campos FY24'!$C$7:$C$740,'1. Status Resumo FY24'!$H$91,'2. Status Detalhe Campos FY24'!$D$7:$D$740,"2. Campo",'2. Status Detalhe Campos FY24'!$U$7:$U$740,"*Plano anterior*")</f>
        <v>0</v>
      </c>
      <c r="U114" s="446">
        <f>COUNTIFS('2. Status Detalhe Campos FY24'!$G$7:$G$740,'1. Status Resumo FY24'!$P113,'2. Status Detalhe Campos FY24'!$C$7:$C$740,'1. Status Resumo FY24'!$G$91,'2. Status Detalhe Campos FY24'!$D$7:$D$740,"2. Campo",'2. Status Detalhe Campos FY24'!$U$7:$U$740,"*Plano anterior*")
+COUNTIFS('2. Status Detalhe Campos FY24'!$G$7:$G$740,'1. Status Resumo FY24'!$P113,'2. Status Detalhe Campos FY24'!$C$7:$C$740,'1. Status Resumo FY24'!$H$91,'2. Status Detalhe Campos FY24'!$D$7:$D$740,"2. Campo",'2. Status Detalhe Campos FY24'!$U$7:$U$740,"*Plano anterior*")</f>
        <v>0</v>
      </c>
      <c r="V114" s="446">
        <f t="shared" si="7"/>
        <v>0</v>
      </c>
      <c r="W114" s="156"/>
      <c r="X114" s="544"/>
      <c r="Y114" s="545"/>
      <c r="Z114" s="545"/>
      <c r="AA114" s="545"/>
      <c r="AB114" s="545"/>
      <c r="AC114" s="545"/>
      <c r="AD114" s="545"/>
      <c r="AE114" s="545"/>
      <c r="AF114" s="546"/>
      <c r="AG114" s="157"/>
      <c r="AH114" s="116"/>
    </row>
    <row r="115" spans="1:34" ht="17.899999999999999" customHeight="1">
      <c r="A115" s="116"/>
      <c r="B115" s="121"/>
      <c r="P115" s="375" t="s">
        <v>2356</v>
      </c>
      <c r="Q115" s="378"/>
      <c r="R115" s="378"/>
      <c r="S115" s="378"/>
      <c r="T115" s="447">
        <f>COUNTIFS('2. Status Detalhe Campos FY24'!$H$7:$H$740,'1. Status Resumo FY24'!$P113,'2. Status Detalhe Campos FY24'!$C$7:$C$740,'1. Status Resumo FY24'!$G$91,'2. Status Detalhe Campos FY24'!$D$7:$D$740,"2. Campo",'2. Status Detalhe Campos FY24'!$U$7:$U$740,"*Novo Plano*")
+COUNTIFS('2. Status Detalhe Campos FY24'!$H$7:$H$740,'1. Status Resumo FY24'!$P113,'2. Status Detalhe Campos FY24'!$C$7:$C$740,'1. Status Resumo FY24'!$H$91,'2. Status Detalhe Campos FY24'!$D$7:$D$740,"2. Campo",'2. Status Detalhe Campos FY24'!$U$7:$U$740,"*Novo Plano*")</f>
        <v>0</v>
      </c>
      <c r="U115" s="447">
        <f>COUNTIFS('2. Status Detalhe Campos FY24'!$G$7:$G$740,'1. Status Resumo FY24'!$P113,'2. Status Detalhe Campos FY24'!$C$7:$C$740,'1. Status Resumo FY24'!$G$91,'2. Status Detalhe Campos FY24'!$D$7:$D$740,"2. Campo",'2. Status Detalhe Campos FY24'!$U$7:$U$740,"*Novo Plano*")
+COUNTIFS('2. Status Detalhe Campos FY24'!$G$7:$G$740,'1. Status Resumo FY24'!$P113,'2. Status Detalhe Campos FY24'!$C$7:$C$740,'1. Status Resumo FY24'!$H$91,'2. Status Detalhe Campos FY24'!$D$7:$D$740,"2. Campo",'2. Status Detalhe Campos FY24'!$U$7:$U$740,"*Novo Plano*")</f>
        <v>0</v>
      </c>
      <c r="V115" s="447">
        <f t="shared" si="7"/>
        <v>0</v>
      </c>
      <c r="W115" s="156"/>
      <c r="X115" s="544"/>
      <c r="Y115" s="545"/>
      <c r="Z115" s="545"/>
      <c r="AA115" s="545"/>
      <c r="AB115" s="545"/>
      <c r="AC115" s="545"/>
      <c r="AD115" s="545"/>
      <c r="AE115" s="545"/>
      <c r="AF115" s="546"/>
      <c r="AG115" s="157"/>
      <c r="AH115" s="116"/>
    </row>
    <row r="116" spans="1:34">
      <c r="A116" s="116"/>
      <c r="B116" s="121"/>
      <c r="P116" s="373" t="s">
        <v>2320</v>
      </c>
      <c r="Q116" s="373"/>
      <c r="R116" s="373"/>
      <c r="S116" s="373"/>
      <c r="T116" s="373">
        <f>COUNTIFS('2. Status Detalhe Campos FY24'!$H$7:$H$740,'1. Status Resumo FY24'!$P116,'2. Status Detalhe Campos FY24'!$C$7:$C$740,'1. Status Resumo FY24'!$G$91,'2. Status Detalhe Campos FY24'!$D$7:$D$740,"2. Campo")+COUNTIFS('2. Status Detalhe Campos FY24'!$H$7:$H$740,'1. Status Resumo FY24'!$P116,'2. Status Detalhe Campos FY24'!$C$7:$C$740,'1. Status Resumo FY24'!$H$91,'2. Status Detalhe Campos FY24'!$D$7:$D$740,"2. Campo")</f>
        <v>60</v>
      </c>
      <c r="U116" s="373">
        <f>COUNTIFS('2. Status Detalhe Campos FY24'!$G$7:$G$740,'1. Status Resumo FY24'!$P116,'2. Status Detalhe Campos FY24'!$C$7:$C$740,'1. Status Resumo FY24'!$G$91,'2. Status Detalhe Campos FY24'!$D$7:$D$740,"2. Campo")+COUNTIFS('2. Status Detalhe Campos FY24'!$G$7:$G$740,'1. Status Resumo FY24'!$P116,'2. Status Detalhe Campos FY24'!$C$7:$C$740,'1. Status Resumo FY24'!$H$91,'2. Status Detalhe Campos FY24'!$D$7:$D$740,"2. Campo")</f>
        <v>60</v>
      </c>
      <c r="V116" s="373">
        <f t="shared" si="7"/>
        <v>0</v>
      </c>
      <c r="X116" s="544"/>
      <c r="Y116" s="545"/>
      <c r="Z116" s="545"/>
      <c r="AA116" s="545"/>
      <c r="AB116" s="545"/>
      <c r="AC116" s="545"/>
      <c r="AD116" s="545"/>
      <c r="AE116" s="545"/>
      <c r="AF116" s="546"/>
      <c r="AG116" s="157"/>
      <c r="AH116" s="116"/>
    </row>
    <row r="117" spans="1:34">
      <c r="A117" s="116"/>
      <c r="B117" s="121"/>
      <c r="P117" s="375" t="s">
        <v>2366</v>
      </c>
      <c r="Q117" s="376"/>
      <c r="R117" s="376"/>
      <c r="S117" s="376"/>
      <c r="T117" s="446">
        <f>COUNTIFS('2. Status Detalhe Campos FY24'!$H$7:$H$740,'1. Status Resumo FY24'!$P116,'2. Status Detalhe Campos FY24'!$C$7:$C$740,'1. Status Resumo FY24'!$G$91,'2. Status Detalhe Campos FY24'!$D$7:$D$740,"2. Campo",'2. Status Detalhe Campos FY24'!$U$7:$U$740,"*Plano anterior*")
+COUNTIFS('2. Status Detalhe Campos FY24'!$H$7:$H$740,'1. Status Resumo FY24'!$P116,'2. Status Detalhe Campos FY24'!$C$7:$C$740,'1. Status Resumo FY24'!$H$91,'2. Status Detalhe Campos FY24'!$D$7:$D$740,"2. Campo",'2. Status Detalhe Campos FY24'!$U$7:$U$740,"*Plano anterior*")</f>
        <v>60</v>
      </c>
      <c r="U117" s="446">
        <f>COUNTIFS('2. Status Detalhe Campos FY24'!$G$7:$G$740,'1. Status Resumo FY24'!$P116,'2. Status Detalhe Campos FY24'!$C$7:$C$740,'1. Status Resumo FY24'!$G$91,'2. Status Detalhe Campos FY24'!$D$7:$D$740,"2. Campo",'2. Status Detalhe Campos FY24'!$U$7:$U$740,"*Plano anterior*")
+COUNTIFS('2. Status Detalhe Campos FY24'!$G$7:$G$740,'1. Status Resumo FY24'!$P116,'2. Status Detalhe Campos FY24'!$C$7:$C$740,'1. Status Resumo FY24'!$H$91,'2. Status Detalhe Campos FY24'!$D$7:$D$740,"2. Campo",'2. Status Detalhe Campos FY24'!$U$7:$U$740,"*Plano anterior*")</f>
        <v>60</v>
      </c>
      <c r="V117" s="446">
        <f t="shared" si="7"/>
        <v>0</v>
      </c>
      <c r="X117" s="544"/>
      <c r="Y117" s="545"/>
      <c r="Z117" s="545"/>
      <c r="AA117" s="545"/>
      <c r="AB117" s="545"/>
      <c r="AC117" s="545"/>
      <c r="AD117" s="545"/>
      <c r="AE117" s="545"/>
      <c r="AF117" s="546"/>
      <c r="AG117" s="157"/>
      <c r="AH117" s="116"/>
    </row>
    <row r="118" spans="1:34">
      <c r="A118" s="116"/>
      <c r="B118" s="121"/>
      <c r="P118" s="375" t="s">
        <v>2356</v>
      </c>
      <c r="Q118" s="378"/>
      <c r="R118" s="378"/>
      <c r="S118" s="378"/>
      <c r="T118" s="447">
        <f>COUNTIFS('2. Status Detalhe Campos FY24'!$H$7:$H$740,'1. Status Resumo FY24'!$P116,'2. Status Detalhe Campos FY24'!$C$7:$C$740,'1. Status Resumo FY24'!$G$91,'2. Status Detalhe Campos FY24'!$D$7:$D$740,"2. Campo",'2. Status Detalhe Campos FY24'!$U$7:$U$740,"*Novo Plano*")
+COUNTIFS('2. Status Detalhe Campos FY24'!$H$7:$H$740,'1. Status Resumo FY24'!$P116,'2. Status Detalhe Campos FY24'!$C$7:$C$740,'1. Status Resumo FY24'!$H$91,'2. Status Detalhe Campos FY24'!$D$7:$D$740,"2. Campo",'2. Status Detalhe Campos FY24'!$U$7:$U$740,"*Novo Plano*")</f>
        <v>0</v>
      </c>
      <c r="U118" s="447">
        <f>COUNTIFS('2. Status Detalhe Campos FY24'!$G$7:$G$740,'1. Status Resumo FY24'!$P116,'2. Status Detalhe Campos FY24'!$C$7:$C$740,'1. Status Resumo FY24'!$G$91,'2. Status Detalhe Campos FY24'!$D$7:$D$740,"2. Campo",'2. Status Detalhe Campos FY24'!$U$7:$U$740,"*Novo Plano*")
+COUNTIFS('2. Status Detalhe Campos FY24'!$G$7:$G$740,'1. Status Resumo FY24'!$P116,'2. Status Detalhe Campos FY24'!$C$7:$C$740,'1. Status Resumo FY24'!$H$91,'2. Status Detalhe Campos FY24'!$D$7:$D$740,"2. Campo",'2. Status Detalhe Campos FY24'!$U$7:$U$740,"*Novo Plano*")</f>
        <v>0</v>
      </c>
      <c r="V118" s="447">
        <f t="shared" si="7"/>
        <v>0</v>
      </c>
      <c r="X118" s="544"/>
      <c r="Y118" s="545"/>
      <c r="Z118" s="545"/>
      <c r="AA118" s="545"/>
      <c r="AB118" s="545"/>
      <c r="AC118" s="545"/>
      <c r="AD118" s="545"/>
      <c r="AE118" s="545"/>
      <c r="AF118" s="546"/>
      <c r="AG118" s="157"/>
      <c r="AH118" s="116"/>
    </row>
    <row r="119" spans="1:34">
      <c r="A119" s="116"/>
      <c r="B119" s="121"/>
      <c r="P119" s="373" t="s">
        <v>28</v>
      </c>
      <c r="Q119" s="373"/>
      <c r="R119" s="373"/>
      <c r="S119" s="373"/>
      <c r="T119" s="373">
        <f>COUNTIFS('2. Status Detalhe Campos FY24'!$H$7:$H$740,'1. Status Resumo FY24'!$P119,'2. Status Detalhe Campos FY24'!$C$7:$C$740,'1. Status Resumo FY24'!$G$91,'2. Status Detalhe Campos FY24'!$D$7:$D$740,"2. Campo")+COUNTIFS('2. Status Detalhe Campos FY24'!$H$7:$H$740,'1. Status Resumo FY24'!$P119,'2. Status Detalhe Campos FY24'!$C$7:$C$740,'1. Status Resumo FY24'!$H$91,'2. Status Detalhe Campos FY24'!$D$7:$D$740,"2. Campo")</f>
        <v>0</v>
      </c>
      <c r="U119" s="373">
        <f>COUNTIFS('2. Status Detalhe Campos FY24'!$G$7:$G$740,'1. Status Resumo FY24'!$P119,'2. Status Detalhe Campos FY24'!$C$7:$C$740,'1. Status Resumo FY24'!$G$91,'2. Status Detalhe Campos FY24'!$D$7:$D$740,"2. Campo")+COUNTIFS('2. Status Detalhe Campos FY24'!$G$7:$G$740,'1. Status Resumo FY24'!$P119,'2. Status Detalhe Campos FY24'!$C$7:$C$740,'1. Status Resumo FY24'!$H$91,'2. Status Detalhe Campos FY24'!$D$7:$D$740,"2. Campo")</f>
        <v>0</v>
      </c>
      <c r="V119" s="373">
        <f t="shared" si="7"/>
        <v>0</v>
      </c>
      <c r="X119" s="544"/>
      <c r="Y119" s="545"/>
      <c r="Z119" s="545"/>
      <c r="AA119" s="545"/>
      <c r="AB119" s="545"/>
      <c r="AC119" s="545"/>
      <c r="AD119" s="545"/>
      <c r="AE119" s="545"/>
      <c r="AF119" s="546"/>
      <c r="AG119" s="157"/>
      <c r="AH119" s="116"/>
    </row>
    <row r="120" spans="1:34">
      <c r="A120" s="116"/>
      <c r="B120" s="121"/>
      <c r="P120" s="375" t="s">
        <v>2366</v>
      </c>
      <c r="Q120" s="376"/>
      <c r="R120" s="376"/>
      <c r="S120" s="376"/>
      <c r="T120" s="446">
        <f>COUNTIFS('2. Status Detalhe Campos FY24'!$H$7:$H$740,'1. Status Resumo FY24'!$P119,'2. Status Detalhe Campos FY24'!$C$7:$C$740,'1. Status Resumo FY24'!$G$91,'2. Status Detalhe Campos FY24'!$D$7:$D$740,"2. Campo",'2. Status Detalhe Campos FY24'!$U$7:$U$740,"*Plano anterior*")
+COUNTIFS('2. Status Detalhe Campos FY24'!$H$7:$H$740,'1. Status Resumo FY24'!$P119,'2. Status Detalhe Campos FY24'!$C$7:$C$740,'1. Status Resumo FY24'!$H$91,'2. Status Detalhe Campos FY24'!$D$7:$D$740,"2. Campo",'2. Status Detalhe Campos FY24'!$U$7:$U$740,"*Plano anterior*")</f>
        <v>0</v>
      </c>
      <c r="U120" s="446">
        <f>COUNTIFS('2. Status Detalhe Campos FY24'!$G$7:$G$740,'1. Status Resumo FY24'!$P119,'2. Status Detalhe Campos FY24'!$C$7:$C$740,'1. Status Resumo FY24'!$G$91,'2. Status Detalhe Campos FY24'!$D$7:$D$740,"2. Campo",'2. Status Detalhe Campos FY24'!$U$7:$U$740,"*Plano anterior*")
+COUNTIFS('2. Status Detalhe Campos FY24'!$G$7:$G$740,'1. Status Resumo FY24'!$P119,'2. Status Detalhe Campos FY24'!$C$7:$C$740,'1. Status Resumo FY24'!$H$91,'2. Status Detalhe Campos FY24'!$D$7:$D$740,"2. Campo",'2. Status Detalhe Campos FY24'!$U$7:$U$740,"*Plano anterior*")</f>
        <v>0</v>
      </c>
      <c r="V120" s="446">
        <f t="shared" si="7"/>
        <v>0</v>
      </c>
      <c r="X120" s="544"/>
      <c r="Y120" s="545"/>
      <c r="Z120" s="545"/>
      <c r="AA120" s="545"/>
      <c r="AB120" s="545"/>
      <c r="AC120" s="545"/>
      <c r="AD120" s="545"/>
      <c r="AE120" s="545"/>
      <c r="AF120" s="546"/>
      <c r="AG120" s="157"/>
      <c r="AH120" s="116"/>
    </row>
    <row r="121" spans="1:34">
      <c r="A121" s="116"/>
      <c r="B121" s="121"/>
      <c r="P121" s="379" t="s">
        <v>2356</v>
      </c>
      <c r="Q121" s="380"/>
      <c r="R121" s="380"/>
      <c r="S121" s="380"/>
      <c r="T121" s="448">
        <f>COUNTIFS('2. Status Detalhe Campos FY24'!$H$7:$H$740,'1. Status Resumo FY24'!$P119,'2. Status Detalhe Campos FY24'!$C$7:$C$740,'1. Status Resumo FY24'!$G$91,'2. Status Detalhe Campos FY24'!$D$7:$D$740,"2. Campo",'2. Status Detalhe Campos FY24'!$U$7:$U$740,"*Novo Plano*")
+COUNTIFS('2. Status Detalhe Campos FY24'!$H$7:$H$740,'1. Status Resumo FY24'!$P119,'2. Status Detalhe Campos FY24'!$C$7:$C$740,'1. Status Resumo FY24'!$H$91,'2. Status Detalhe Campos FY24'!$D$7:$D$740,"2. Campo",'2. Status Detalhe Campos FY24'!$U$7:$U$740,"*Novo Plano*")</f>
        <v>0</v>
      </c>
      <c r="U121" s="448">
        <f>COUNTIFS('2. Status Detalhe Campos FY24'!$G$7:$G$740,'1. Status Resumo FY24'!$P119,'2. Status Detalhe Campos FY24'!$C$7:$C$740,'1. Status Resumo FY24'!$G$91,'2. Status Detalhe Campos FY24'!$D$7:$D$740,"2. Campo",'2. Status Detalhe Campos FY24'!$U$7:$U$740,"*Novo Plano*")
+COUNTIFS('2. Status Detalhe Campos FY24'!$G$7:$G$740,'1. Status Resumo FY24'!$P119,'2. Status Detalhe Campos FY24'!$C$7:$C$740,'1. Status Resumo FY24'!$H$91,'2. Status Detalhe Campos FY24'!$D$7:$D$740,"2. Campo",'2. Status Detalhe Campos FY24'!$U$7:$U$740,"*Novo Plano*")</f>
        <v>0</v>
      </c>
      <c r="V121" s="448">
        <f t="shared" si="7"/>
        <v>0</v>
      </c>
      <c r="X121" s="544"/>
      <c r="Y121" s="545"/>
      <c r="Z121" s="545"/>
      <c r="AA121" s="545"/>
      <c r="AB121" s="545"/>
      <c r="AC121" s="545"/>
      <c r="AD121" s="545"/>
      <c r="AE121" s="545"/>
      <c r="AF121" s="546"/>
      <c r="AG121" s="157"/>
      <c r="AH121" s="116"/>
    </row>
    <row r="122" spans="1:34">
      <c r="A122" s="116"/>
      <c r="B122" s="121"/>
      <c r="P122" s="127" t="s">
        <v>2326</v>
      </c>
      <c r="T122" s="127">
        <f>+SUM(T95,T98,T101,T107,T110,T113,T116,T119,T104)</f>
        <v>302</v>
      </c>
      <c r="U122" s="127">
        <f>+SUM(U95,U98,U101,U107,U110,U113,U116,U119,U104)</f>
        <v>302</v>
      </c>
      <c r="V122" s="127">
        <f>+U122-T122</f>
        <v>0</v>
      </c>
      <c r="X122" s="544"/>
      <c r="Y122" s="545"/>
      <c r="Z122" s="545"/>
      <c r="AA122" s="545"/>
      <c r="AB122" s="545"/>
      <c r="AC122" s="545"/>
      <c r="AD122" s="545"/>
      <c r="AE122" s="545"/>
      <c r="AF122" s="546"/>
      <c r="AG122" s="157"/>
      <c r="AH122" s="116"/>
    </row>
    <row r="123" spans="1:34">
      <c r="A123" s="116"/>
      <c r="B123" s="121"/>
      <c r="P123" s="381" t="s">
        <v>2366</v>
      </c>
      <c r="T123" s="449">
        <f>+SUM(T96,T99,T102,T105,T108,T111,T114,T117,T120)</f>
        <v>277</v>
      </c>
      <c r="U123" s="449">
        <f>+SUM(U96,U99,U102,U105,U108,U111,U114,U117,U120)</f>
        <v>277</v>
      </c>
      <c r="V123" s="449">
        <f>+U123-T123</f>
        <v>0</v>
      </c>
      <c r="X123" s="544"/>
      <c r="Y123" s="545"/>
      <c r="Z123" s="545"/>
      <c r="AA123" s="545"/>
      <c r="AB123" s="545"/>
      <c r="AC123" s="545"/>
      <c r="AD123" s="545"/>
      <c r="AE123" s="545"/>
      <c r="AF123" s="546"/>
      <c r="AG123" s="157"/>
      <c r="AH123" s="116"/>
    </row>
    <row r="124" spans="1:34">
      <c r="A124" s="116"/>
      <c r="B124" s="121"/>
      <c r="P124" s="382" t="s">
        <v>2356</v>
      </c>
      <c r="Q124" s="130"/>
      <c r="R124" s="130"/>
      <c r="S124" s="130"/>
      <c r="T124" s="450">
        <f>+SUM(T97,T100,T103,T106,T109,T112,T115,T118,T121)</f>
        <v>25</v>
      </c>
      <c r="U124" s="450">
        <f>+SUM(U97,U100,U103,U106,U109,U112,U115,U118,U121)</f>
        <v>25</v>
      </c>
      <c r="V124" s="450">
        <f>+U124-T124</f>
        <v>0</v>
      </c>
      <c r="X124" s="544"/>
      <c r="Y124" s="545"/>
      <c r="Z124" s="545"/>
      <c r="AA124" s="545"/>
      <c r="AB124" s="545"/>
      <c r="AC124" s="545"/>
      <c r="AD124" s="545"/>
      <c r="AE124" s="545"/>
      <c r="AF124" s="546"/>
      <c r="AG124" s="157"/>
      <c r="AH124" s="116"/>
    </row>
    <row r="125" spans="1:34">
      <c r="A125" s="116"/>
      <c r="B125" s="121"/>
      <c r="X125" s="544"/>
      <c r="Y125" s="545"/>
      <c r="Z125" s="545"/>
      <c r="AA125" s="545"/>
      <c r="AB125" s="545"/>
      <c r="AC125" s="545"/>
      <c r="AD125" s="545"/>
      <c r="AE125" s="545"/>
      <c r="AF125" s="546"/>
      <c r="AG125" s="157"/>
      <c r="AH125" s="116"/>
    </row>
    <row r="126" spans="1:34">
      <c r="A126" s="116"/>
      <c r="B126" s="121"/>
      <c r="P126" s="129" t="s">
        <v>632</v>
      </c>
      <c r="Q126" s="130"/>
      <c r="R126" s="130"/>
      <c r="S126" s="130"/>
      <c r="T126" s="130"/>
      <c r="U126" s="130"/>
      <c r="V126" s="130"/>
      <c r="X126" s="544"/>
      <c r="Y126" s="545"/>
      <c r="Z126" s="545"/>
      <c r="AA126" s="545"/>
      <c r="AB126" s="545"/>
      <c r="AC126" s="545"/>
      <c r="AD126" s="545"/>
      <c r="AE126" s="545"/>
      <c r="AF126" s="546"/>
      <c r="AG126" s="157"/>
      <c r="AH126" s="116"/>
    </row>
    <row r="127" spans="1:34">
      <c r="A127" s="116"/>
      <c r="B127" s="121"/>
      <c r="O127" s="159" t="s">
        <v>619</v>
      </c>
      <c r="P127" s="25" t="s">
        <v>216</v>
      </c>
      <c r="T127" s="161" t="s">
        <v>621</v>
      </c>
      <c r="X127" s="544"/>
      <c r="Y127" s="545"/>
      <c r="Z127" s="545"/>
      <c r="AA127" s="545"/>
      <c r="AB127" s="545"/>
      <c r="AC127" s="545"/>
      <c r="AD127" s="545"/>
      <c r="AE127" s="545"/>
      <c r="AF127" s="546"/>
      <c r="AG127" s="157"/>
      <c r="AH127" s="116"/>
    </row>
    <row r="128" spans="1:34">
      <c r="A128" s="116"/>
      <c r="B128" s="121"/>
      <c r="O128" s="159" t="s">
        <v>619</v>
      </c>
      <c r="P128" s="25" t="s">
        <v>215</v>
      </c>
      <c r="T128" s="161" t="s">
        <v>621</v>
      </c>
      <c r="X128" s="544"/>
      <c r="Y128" s="545"/>
      <c r="Z128" s="545"/>
      <c r="AA128" s="545"/>
      <c r="AB128" s="545"/>
      <c r="AC128" s="545"/>
      <c r="AD128" s="545"/>
      <c r="AE128" s="545"/>
      <c r="AF128" s="546"/>
      <c r="AG128" s="157"/>
      <c r="AH128" s="116"/>
    </row>
    <row r="129" spans="1:34">
      <c r="A129" s="116"/>
      <c r="B129" s="121"/>
      <c r="O129" s="159" t="s">
        <v>619</v>
      </c>
      <c r="P129" s="25" t="s">
        <v>213</v>
      </c>
      <c r="T129" s="161" t="s">
        <v>621</v>
      </c>
      <c r="X129" s="544"/>
      <c r="Y129" s="545"/>
      <c r="Z129" s="545"/>
      <c r="AA129" s="545"/>
      <c r="AB129" s="545"/>
      <c r="AC129" s="545"/>
      <c r="AD129" s="545"/>
      <c r="AE129" s="545"/>
      <c r="AF129" s="546"/>
      <c r="AG129" s="157"/>
      <c r="AH129" s="116"/>
    </row>
    <row r="130" spans="1:34">
      <c r="A130" s="116"/>
      <c r="B130" s="121"/>
      <c r="O130" s="159" t="s">
        <v>619</v>
      </c>
      <c r="P130" s="25" t="s">
        <v>212</v>
      </c>
      <c r="T130" s="161" t="s">
        <v>621</v>
      </c>
      <c r="X130" s="544"/>
      <c r="Y130" s="545"/>
      <c r="Z130" s="545"/>
      <c r="AA130" s="545"/>
      <c r="AB130" s="545"/>
      <c r="AC130" s="545"/>
      <c r="AD130" s="545"/>
      <c r="AE130" s="545"/>
      <c r="AF130" s="546"/>
      <c r="AG130" s="157"/>
      <c r="AH130" s="116"/>
    </row>
    <row r="131" spans="1:34">
      <c r="A131" s="116"/>
      <c r="B131" s="121"/>
      <c r="O131" s="159" t="s">
        <v>619</v>
      </c>
      <c r="P131" s="25" t="s">
        <v>217</v>
      </c>
      <c r="T131" s="161" t="s">
        <v>621</v>
      </c>
      <c r="X131" s="544"/>
      <c r="Y131" s="545"/>
      <c r="Z131" s="545"/>
      <c r="AA131" s="545"/>
      <c r="AB131" s="545"/>
      <c r="AC131" s="545"/>
      <c r="AD131" s="545"/>
      <c r="AE131" s="545"/>
      <c r="AF131" s="546"/>
      <c r="AG131" s="157"/>
      <c r="AH131" s="116"/>
    </row>
    <row r="132" spans="1:34">
      <c r="A132" s="116"/>
      <c r="B132" s="121"/>
      <c r="O132" s="159" t="s">
        <v>619</v>
      </c>
      <c r="P132" s="25" t="s">
        <v>218</v>
      </c>
      <c r="T132" s="161" t="s">
        <v>621</v>
      </c>
      <c r="X132" s="544"/>
      <c r="Y132" s="545"/>
      <c r="Z132" s="545"/>
      <c r="AA132" s="545"/>
      <c r="AB132" s="545"/>
      <c r="AC132" s="545"/>
      <c r="AD132" s="545"/>
      <c r="AE132" s="545"/>
      <c r="AF132" s="546"/>
      <c r="AG132" s="157"/>
      <c r="AH132" s="116"/>
    </row>
    <row r="133" spans="1:34">
      <c r="A133" s="116"/>
      <c r="B133" s="121"/>
      <c r="O133" s="159" t="s">
        <v>619</v>
      </c>
      <c r="P133" s="25" t="s">
        <v>219</v>
      </c>
      <c r="T133" s="161" t="s">
        <v>621</v>
      </c>
      <c r="X133" s="544"/>
      <c r="Y133" s="545"/>
      <c r="Z133" s="545"/>
      <c r="AA133" s="545"/>
      <c r="AB133" s="545"/>
      <c r="AC133" s="545"/>
      <c r="AD133" s="545"/>
      <c r="AE133" s="545"/>
      <c r="AF133" s="546"/>
      <c r="AG133" s="157"/>
      <c r="AH133" s="116"/>
    </row>
    <row r="134" spans="1:34">
      <c r="A134" s="116"/>
      <c r="B134" s="121"/>
      <c r="O134" s="159" t="s">
        <v>619</v>
      </c>
      <c r="P134" s="25" t="s">
        <v>214</v>
      </c>
      <c r="T134" s="161" t="s">
        <v>621</v>
      </c>
      <c r="X134" s="544"/>
      <c r="Y134" s="545"/>
      <c r="Z134" s="545"/>
      <c r="AA134" s="545"/>
      <c r="AB134" s="545"/>
      <c r="AC134" s="545"/>
      <c r="AD134" s="545"/>
      <c r="AE134" s="545"/>
      <c r="AF134" s="546"/>
      <c r="AG134" s="157"/>
      <c r="AH134" s="116"/>
    </row>
    <row r="135" spans="1:34">
      <c r="A135" s="116"/>
      <c r="B135" s="121"/>
      <c r="O135" s="159" t="s">
        <v>619</v>
      </c>
      <c r="P135" s="25" t="s">
        <v>182</v>
      </c>
      <c r="T135" s="485" t="s">
        <v>2428</v>
      </c>
      <c r="X135" s="544"/>
      <c r="Y135" s="545"/>
      <c r="Z135" s="545"/>
      <c r="AA135" s="545"/>
      <c r="AB135" s="545"/>
      <c r="AC135" s="545"/>
      <c r="AD135" s="545"/>
      <c r="AE135" s="545"/>
      <c r="AF135" s="546"/>
      <c r="AG135" s="157"/>
      <c r="AH135" s="116"/>
    </row>
    <row r="136" spans="1:34">
      <c r="A136" s="116"/>
      <c r="B136" s="121"/>
      <c r="O136" s="159" t="s">
        <v>619</v>
      </c>
      <c r="P136" s="171" t="s">
        <v>2318</v>
      </c>
      <c r="T136" s="161" t="s">
        <v>621</v>
      </c>
      <c r="X136" s="544"/>
      <c r="Y136" s="545"/>
      <c r="Z136" s="545"/>
      <c r="AA136" s="545"/>
      <c r="AB136" s="545"/>
      <c r="AC136" s="545"/>
      <c r="AD136" s="545"/>
      <c r="AE136" s="545"/>
      <c r="AF136" s="546"/>
      <c r="AG136" s="157"/>
      <c r="AH136" s="116"/>
    </row>
    <row r="137" spans="1:34">
      <c r="A137" s="116"/>
      <c r="B137" s="121"/>
      <c r="O137" s="159" t="s">
        <v>619</v>
      </c>
      <c r="P137" s="171" t="s">
        <v>2317</v>
      </c>
      <c r="T137" s="161" t="s">
        <v>621</v>
      </c>
      <c r="X137" s="544"/>
      <c r="Y137" s="545"/>
      <c r="Z137" s="545"/>
      <c r="AA137" s="545"/>
      <c r="AB137" s="545"/>
      <c r="AC137" s="545"/>
      <c r="AD137" s="545"/>
      <c r="AE137" s="545"/>
      <c r="AF137" s="546"/>
      <c r="AG137" s="157"/>
      <c r="AH137" s="116"/>
    </row>
    <row r="138" spans="1:34">
      <c r="A138" s="116"/>
      <c r="B138" s="121"/>
      <c r="P138" s="158"/>
      <c r="X138" s="544"/>
      <c r="Y138" s="545"/>
      <c r="Z138" s="545"/>
      <c r="AA138" s="545"/>
      <c r="AB138" s="545"/>
      <c r="AC138" s="545"/>
      <c r="AD138" s="545"/>
      <c r="AE138" s="545"/>
      <c r="AF138" s="546"/>
      <c r="AG138" s="157"/>
      <c r="AH138" s="116"/>
    </row>
    <row r="139" spans="1:34">
      <c r="A139" s="116"/>
      <c r="B139" s="121"/>
      <c r="O139" s="159" t="s">
        <v>619</v>
      </c>
      <c r="P139" s="129" t="s">
        <v>633</v>
      </c>
      <c r="Q139" s="130"/>
      <c r="R139" s="130"/>
      <c r="S139" s="130"/>
      <c r="T139" s="130"/>
      <c r="U139" s="130"/>
      <c r="V139" s="130"/>
      <c r="X139" s="544"/>
      <c r="Y139" s="545"/>
      <c r="Z139" s="545"/>
      <c r="AA139" s="545"/>
      <c r="AB139" s="545"/>
      <c r="AC139" s="545"/>
      <c r="AD139" s="545"/>
      <c r="AE139" s="545"/>
      <c r="AF139" s="546"/>
      <c r="AG139" s="157"/>
      <c r="AH139" s="116"/>
    </row>
    <row r="140" spans="1:34">
      <c r="A140" s="116"/>
      <c r="B140" s="121"/>
      <c r="O140" s="159" t="s">
        <v>619</v>
      </c>
      <c r="P140" s="25" t="s">
        <v>634</v>
      </c>
      <c r="T140" s="161" t="s">
        <v>621</v>
      </c>
      <c r="X140" s="544"/>
      <c r="Y140" s="545"/>
      <c r="Z140" s="545"/>
      <c r="AA140" s="545"/>
      <c r="AB140" s="545"/>
      <c r="AC140" s="545"/>
      <c r="AD140" s="545"/>
      <c r="AE140" s="545"/>
      <c r="AF140" s="546"/>
      <c r="AG140" s="157"/>
      <c r="AH140" s="116"/>
    </row>
    <row r="141" spans="1:34">
      <c r="A141" s="116"/>
      <c r="B141" s="121"/>
      <c r="O141" s="159" t="s">
        <v>619</v>
      </c>
      <c r="P141" s="25" t="s">
        <v>311</v>
      </c>
      <c r="T141" s="161" t="s">
        <v>635</v>
      </c>
      <c r="X141" s="544"/>
      <c r="Y141" s="545"/>
      <c r="Z141" s="545"/>
      <c r="AA141" s="545"/>
      <c r="AB141" s="545"/>
      <c r="AC141" s="545"/>
      <c r="AD141" s="545"/>
      <c r="AE141" s="545"/>
      <c r="AF141" s="546"/>
      <c r="AG141" s="157"/>
      <c r="AH141" s="116"/>
    </row>
    <row r="142" spans="1:34">
      <c r="A142" s="116"/>
      <c r="B142" s="121"/>
      <c r="O142" s="159" t="s">
        <v>619</v>
      </c>
      <c r="P142" s="25" t="s">
        <v>325</v>
      </c>
      <c r="T142" s="161" t="s">
        <v>621</v>
      </c>
      <c r="X142" s="544"/>
      <c r="Y142" s="545"/>
      <c r="Z142" s="545"/>
      <c r="AA142" s="545"/>
      <c r="AB142" s="545"/>
      <c r="AC142" s="545"/>
      <c r="AD142" s="545"/>
      <c r="AE142" s="545"/>
      <c r="AF142" s="546"/>
      <c r="AG142" s="157"/>
      <c r="AH142" s="116"/>
    </row>
    <row r="143" spans="1:34">
      <c r="A143" s="116"/>
      <c r="B143" s="121"/>
      <c r="O143" s="159" t="s">
        <v>619</v>
      </c>
      <c r="P143" s="25" t="s">
        <v>333</v>
      </c>
      <c r="T143" s="486" t="s">
        <v>1841</v>
      </c>
      <c r="X143" s="544"/>
      <c r="Y143" s="545"/>
      <c r="Z143" s="545"/>
      <c r="AA143" s="545"/>
      <c r="AB143" s="545"/>
      <c r="AC143" s="545"/>
      <c r="AD143" s="545"/>
      <c r="AE143" s="545"/>
      <c r="AF143" s="546"/>
      <c r="AG143" s="157"/>
      <c r="AH143" s="116"/>
    </row>
    <row r="144" spans="1:34">
      <c r="A144" s="116"/>
      <c r="B144" s="121"/>
      <c r="O144" s="159"/>
      <c r="T144" s="160"/>
      <c r="X144" s="547"/>
      <c r="Y144" s="548"/>
      <c r="Z144" s="548"/>
      <c r="AA144" s="548"/>
      <c r="AB144" s="548"/>
      <c r="AC144" s="548"/>
      <c r="AD144" s="548"/>
      <c r="AE144" s="548"/>
      <c r="AF144" s="549"/>
      <c r="AG144" s="157"/>
      <c r="AH144" s="116"/>
    </row>
    <row r="145" spans="1:34">
      <c r="A145" s="116"/>
      <c r="B145" s="12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t="s">
        <v>631</v>
      </c>
      <c r="Y145" s="124"/>
      <c r="Z145" s="124"/>
      <c r="AA145" s="124"/>
      <c r="AB145" s="124"/>
      <c r="AC145" s="124"/>
      <c r="AD145" s="124"/>
      <c r="AE145" s="124"/>
      <c r="AF145" s="124"/>
      <c r="AG145" s="125"/>
      <c r="AH145" s="116"/>
    </row>
    <row r="146" spans="1:34">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24" customHeight="1">
      <c r="A147" s="116"/>
      <c r="B147" s="126" t="s">
        <v>2329</v>
      </c>
      <c r="C147" s="116"/>
      <c r="D147" s="116"/>
      <c r="E147" s="116"/>
      <c r="F147" s="116"/>
      <c r="G147" s="128" t="s">
        <v>26</v>
      </c>
      <c r="H147" s="128"/>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5.15" customHeight="1">
      <c r="A148" s="116"/>
      <c r="B148" s="126"/>
      <c r="C148" s="116"/>
      <c r="D148" s="116"/>
      <c r="E148" s="116"/>
      <c r="F148" s="116"/>
      <c r="G148" s="128"/>
      <c r="H148" s="128"/>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16"/>
      <c r="B149" s="118"/>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20"/>
      <c r="AH149" s="116"/>
    </row>
    <row r="150" spans="1:34" ht="18" customHeight="1">
      <c r="A150" s="116"/>
      <c r="B150" s="121"/>
      <c r="C150" s="154" t="s">
        <v>606</v>
      </c>
      <c r="G150" s="154" t="s">
        <v>607</v>
      </c>
      <c r="P150" s="129" t="s">
        <v>608</v>
      </c>
      <c r="Q150" s="130"/>
      <c r="R150" s="129"/>
      <c r="S150" s="130"/>
      <c r="T150" s="131">
        <f>T49</f>
        <v>45716</v>
      </c>
      <c r="U150" s="131">
        <f>U49</f>
        <v>45723</v>
      </c>
      <c r="V150" s="132" t="s">
        <v>609</v>
      </c>
      <c r="X150" s="155" t="s">
        <v>610</v>
      </c>
      <c r="AG150" s="122"/>
      <c r="AH150" s="116"/>
    </row>
    <row r="151" spans="1:34">
      <c r="A151" s="116"/>
      <c r="B151" s="121"/>
      <c r="P151" s="25" t="s">
        <v>611</v>
      </c>
      <c r="T151" s="25">
        <f>COUNTIFS(Table4[Status Anterior],'1. Status Resumo FY24'!$P151,Table4[Sub-âmbito],'1. Status Resumo FY24'!$G$147,Table4[Tipo de teste],"2. Campo")</f>
        <v>4</v>
      </c>
      <c r="U151" s="25">
        <f>COUNTIFS(Table4[Status Atual],'1. Status Resumo FY24'!$P151,Table4[Sub-âmbito],'1. Status Resumo FY24'!$G$147,Table4[Tipo de teste],"2. Campo")</f>
        <v>4</v>
      </c>
      <c r="V151" s="25">
        <f t="shared" ref="V151:V186" si="8">U151-T151</f>
        <v>0</v>
      </c>
      <c r="X151" s="539" t="s">
        <v>2454</v>
      </c>
      <c r="Y151" s="540"/>
      <c r="Z151" s="540"/>
      <c r="AA151" s="540"/>
      <c r="AB151" s="540"/>
      <c r="AC151" s="540"/>
      <c r="AD151" s="540"/>
      <c r="AE151" s="540"/>
      <c r="AF151" s="540"/>
      <c r="AG151" s="162"/>
      <c r="AH151" s="116"/>
    </row>
    <row r="152" spans="1:34">
      <c r="A152" s="116"/>
      <c r="B152" s="121"/>
      <c r="C152" s="430" t="s">
        <v>2373</v>
      </c>
      <c r="D152" s="429"/>
      <c r="E152" s="429"/>
      <c r="P152" s="375" t="s">
        <v>2366</v>
      </c>
      <c r="Q152" s="376"/>
      <c r="R152" s="376"/>
      <c r="S152" s="376"/>
      <c r="T152" s="446">
        <f>COUNTIFS(Table4[Status Anterior],'1. Status Resumo FY24'!$P151,Table4[Sub-âmbito],'1. Status Resumo FY24'!$G$147,Table4[Tipo de teste],"2. Campo",'2. Status Detalhe Campos FY24'!$U$7:$U$740,"*Plano anterior*")</f>
        <v>4</v>
      </c>
      <c r="U152" s="446">
        <f>COUNTIFS(Table4[Status Atual],'1. Status Resumo FY24'!$P151,Table4[Sub-âmbito],'1. Status Resumo FY24'!$G$147,Table4[Tipo de teste],"2. Campo",'2. Status Detalhe Campos FY24'!$U$7:$U$740,"*Plano anterior*")</f>
        <v>4</v>
      </c>
      <c r="V152" s="446">
        <f t="shared" si="8"/>
        <v>0</v>
      </c>
      <c r="X152" s="539"/>
      <c r="Y152" s="540"/>
      <c r="Z152" s="540"/>
      <c r="AA152" s="540"/>
      <c r="AB152" s="540"/>
      <c r="AC152" s="540"/>
      <c r="AD152" s="540"/>
      <c r="AE152" s="540"/>
      <c r="AF152" s="540"/>
      <c r="AG152" s="162"/>
      <c r="AH152" s="116"/>
    </row>
    <row r="153" spans="1:34">
      <c r="A153" s="116"/>
      <c r="B153" s="121"/>
      <c r="C153" s="428"/>
      <c r="P153" s="375" t="s">
        <v>2361</v>
      </c>
      <c r="Q153" s="376"/>
      <c r="R153" s="376"/>
      <c r="S153" s="376"/>
      <c r="T153" s="446">
        <f>COUNTIFS(Table4[Status Anterior],'1. Status Resumo FY24'!$P151,Table4[Sub-âmbito],'1. Status Resumo FY24'!$G$147,Table4[Tipo de teste],"2. Campo",'2. Status Detalhe Campos FY24'!$U$7:$U$740,"*Novo Plano*",'2. Status Detalhe Campos FY24'!$T$7:$T$740,"*Âmbito ESTR e (ou) LF*")</f>
        <v>0</v>
      </c>
      <c r="U153" s="446">
        <f>COUNTIFS(Table4[Status Atual],'1. Status Resumo FY24'!$P151,Table4[Sub-âmbito],'1. Status Resumo FY24'!$G$147,Table4[Tipo de teste],"2. Campo",'2. Status Detalhe Campos FY24'!$U$7:$U$740,"*Novo Plano*",'2. Status Detalhe Campos FY24'!$U$7:$U$740,"*Novo Plano*",'2. Status Detalhe Campos FY24'!$T$7:$T$740,"*Âmbito ESTR e (ou) LF*")</f>
        <v>0</v>
      </c>
      <c r="V153" s="446">
        <f t="shared" si="8"/>
        <v>0</v>
      </c>
      <c r="X153" s="539"/>
      <c r="Y153" s="540"/>
      <c r="Z153" s="540"/>
      <c r="AA153" s="540"/>
      <c r="AB153" s="540"/>
      <c r="AC153" s="540"/>
      <c r="AD153" s="540"/>
      <c r="AE153" s="540"/>
      <c r="AF153" s="540"/>
      <c r="AG153" s="162"/>
      <c r="AH153" s="116"/>
    </row>
    <row r="154" spans="1:34">
      <c r="A154" s="116"/>
      <c r="B154" s="121"/>
      <c r="P154" s="377" t="s">
        <v>2362</v>
      </c>
      <c r="Q154" s="378"/>
      <c r="R154" s="378"/>
      <c r="S154" s="378"/>
      <c r="T154" s="447">
        <f>COUNTIFS(Table4[Status Anterior],'1. Status Resumo FY24'!$P151,Table4[Sub-âmbito],'1. Status Resumo FY24'!$G$147,Table4[Tipo de teste],"2. Campo",'2. Status Detalhe Campos FY24'!$U$7:$U$740,"*Novo Plano*",'2. Status Detalhe Campos FY24'!$T$7:$T$740,"*Outros*")</f>
        <v>0</v>
      </c>
      <c r="U154" s="447">
        <f>COUNTIFS(Table4[Status Atual],'1. Status Resumo FY24'!$P151,Table4[Sub-âmbito],'1. Status Resumo FY24'!$G$147,Table4[Tipo de teste],"2. Campo",'2. Status Detalhe Campos FY24'!$U$7:$U$740,"*Novo Plano*",'2. Status Detalhe Campos FY24'!$U$7:$U$740,"*Novo Plano*",'2. Status Detalhe Campos FY24'!$T$7:$T$740,"*Outros*")</f>
        <v>0</v>
      </c>
      <c r="V154" s="447">
        <f t="shared" si="8"/>
        <v>0</v>
      </c>
      <c r="X154" s="539"/>
      <c r="Y154" s="540"/>
      <c r="Z154" s="540"/>
      <c r="AA154" s="540"/>
      <c r="AB154" s="540"/>
      <c r="AC154" s="540"/>
      <c r="AD154" s="540"/>
      <c r="AE154" s="540"/>
      <c r="AF154" s="540"/>
      <c r="AG154" s="162"/>
      <c r="AH154" s="116"/>
    </row>
    <row r="155" spans="1:34">
      <c r="A155" s="116"/>
      <c r="B155" s="121"/>
      <c r="P155" s="25" t="s">
        <v>612</v>
      </c>
      <c r="T155" s="25">
        <f>COUNTIFS(Table4[Status Anterior],'1. Status Resumo FY24'!$P155,Table4[Sub-âmbito],'1. Status Resumo FY24'!$G$147,Table4[Tipo de teste],"2. Campo")</f>
        <v>114</v>
      </c>
      <c r="U155" s="25">
        <f>COUNTIFS(Table4[Status Atual],'1. Status Resumo FY24'!$P155,Table4[Sub-âmbito],'1. Status Resumo FY24'!$G$147,Table4[Tipo de teste],"2. Campo")</f>
        <v>114</v>
      </c>
      <c r="V155" s="25">
        <f t="shared" si="8"/>
        <v>0</v>
      </c>
      <c r="X155" s="540"/>
      <c r="Y155" s="540"/>
      <c r="Z155" s="540"/>
      <c r="AA155" s="540"/>
      <c r="AB155" s="540"/>
      <c r="AC155" s="540"/>
      <c r="AD155" s="540"/>
      <c r="AE155" s="540"/>
      <c r="AF155" s="540"/>
      <c r="AG155" s="162"/>
      <c r="AH155" s="116"/>
    </row>
    <row r="156" spans="1:34">
      <c r="A156" s="116"/>
      <c r="B156" s="121"/>
      <c r="P156" s="375" t="s">
        <v>2366</v>
      </c>
      <c r="Q156" s="376"/>
      <c r="R156" s="376"/>
      <c r="S156" s="376"/>
      <c r="T156" s="446">
        <f>COUNTIFS(Table4[Status Anterior],'1. Status Resumo FY24'!$P155,Table4[Sub-âmbito],'1. Status Resumo FY24'!$G$147,Table4[Tipo de teste],"2. Campo",'2. Status Detalhe Campos FY24'!$U$7:$U$740,"*Plano anterior*")</f>
        <v>114</v>
      </c>
      <c r="U156" s="446">
        <f>COUNTIFS(Table4[Status Atual],'1. Status Resumo FY24'!$P155,Table4[Sub-âmbito],'1. Status Resumo FY24'!$G$147,Table4[Tipo de teste],"2. Campo",'2. Status Detalhe Campos FY24'!$U$7:$U$740,"*Plano anterior*")</f>
        <v>114</v>
      </c>
      <c r="V156" s="446">
        <f t="shared" si="8"/>
        <v>0</v>
      </c>
      <c r="X156" s="540"/>
      <c r="Y156" s="540"/>
      <c r="Z156" s="540"/>
      <c r="AA156" s="540"/>
      <c r="AB156" s="540"/>
      <c r="AC156" s="540"/>
      <c r="AD156" s="540"/>
      <c r="AE156" s="540"/>
      <c r="AF156" s="540"/>
      <c r="AG156" s="162"/>
      <c r="AH156" s="116"/>
    </row>
    <row r="157" spans="1:34">
      <c r="A157" s="116"/>
      <c r="B157" s="121"/>
      <c r="P157" s="375" t="s">
        <v>2361</v>
      </c>
      <c r="Q157" s="376"/>
      <c r="R157" s="376"/>
      <c r="S157" s="376"/>
      <c r="T157" s="446">
        <f>COUNTIFS(Table4[Status Anterior],'1. Status Resumo FY24'!$P155,Table4[Sub-âmbito],'1. Status Resumo FY24'!$G$147,Table4[Tipo de teste],"2. Campo",'2. Status Detalhe Campos FY24'!$U$7:$U$740,"*Novo Plano*",'2. Status Detalhe Campos FY24'!$T$7:$T$740,"*Âmbito ESTR e (ou) LF*")</f>
        <v>0</v>
      </c>
      <c r="U157" s="446">
        <f>COUNTIFS(Table4[Status Atual],'1. Status Resumo FY24'!$P155,Table4[Sub-âmbito],'1. Status Resumo FY24'!$G$147,Table4[Tipo de teste],"2. Campo",'2. Status Detalhe Campos FY24'!$U$7:$U$740,"*Novo Plano*",'2. Status Detalhe Campos FY24'!$U$7:$U$740,"*Novo Plano*",'2. Status Detalhe Campos FY24'!$T$7:$T$740,"*Âmbito ESTR e (ou) LF*")</f>
        <v>0</v>
      </c>
      <c r="V157" s="446">
        <f t="shared" si="8"/>
        <v>0</v>
      </c>
      <c r="X157" s="540"/>
      <c r="Y157" s="540"/>
      <c r="Z157" s="540"/>
      <c r="AA157" s="540"/>
      <c r="AB157" s="540"/>
      <c r="AC157" s="540"/>
      <c r="AD157" s="540"/>
      <c r="AE157" s="540"/>
      <c r="AF157" s="540"/>
      <c r="AG157" s="162"/>
      <c r="AH157" s="116"/>
    </row>
    <row r="158" spans="1:34">
      <c r="A158" s="116"/>
      <c r="B158" s="121"/>
      <c r="P158" s="377" t="s">
        <v>2362</v>
      </c>
      <c r="Q158" s="378"/>
      <c r="R158" s="378"/>
      <c r="S158" s="378"/>
      <c r="T158" s="447">
        <f>COUNTIFS(Table4[Status Anterior],'1. Status Resumo FY24'!$P155,Table4[Sub-âmbito],'1. Status Resumo FY24'!$G$147,Table4[Tipo de teste],"2. Campo",'2. Status Detalhe Campos FY24'!$U$7:$U$740,"*Novo Plano*",'2. Status Detalhe Campos FY24'!$T$7:$T$740,"*Outros*")</f>
        <v>0</v>
      </c>
      <c r="U158" s="447">
        <f>COUNTIFS(Table4[Status Atual],'1. Status Resumo FY24'!$P155,Table4[Sub-âmbito],'1. Status Resumo FY24'!$G$147,Table4[Tipo de teste],"2. Campo",'2. Status Detalhe Campos FY24'!$U$7:$U$740,"*Novo Plano*",'2. Status Detalhe Campos FY24'!$U$7:$U$740,"*Novo Plano*",'2. Status Detalhe Campos FY24'!$T$7:$T$740,"*Outros*")</f>
        <v>0</v>
      </c>
      <c r="V158" s="447">
        <f t="shared" si="8"/>
        <v>0</v>
      </c>
      <c r="X158" s="540"/>
      <c r="Y158" s="540"/>
      <c r="Z158" s="540"/>
      <c r="AA158" s="540"/>
      <c r="AB158" s="540"/>
      <c r="AC158" s="540"/>
      <c r="AD158" s="540"/>
      <c r="AE158" s="540"/>
      <c r="AF158" s="540"/>
      <c r="AG158" s="162"/>
      <c r="AH158" s="116"/>
    </row>
    <row r="159" spans="1:34" ht="17.899999999999999" customHeight="1">
      <c r="A159" s="116"/>
      <c r="B159" s="121"/>
      <c r="P159" s="25" t="s">
        <v>1840</v>
      </c>
      <c r="T159" s="25">
        <f>COUNTIFS(Table4[Status Anterior],'1. Status Resumo FY24'!$P159,Table4[Sub-âmbito],'1. Status Resumo FY24'!$G$147,Table4[Tipo de teste],"2. Campo")</f>
        <v>50</v>
      </c>
      <c r="U159" s="25">
        <f>COUNTIFS(Table4[Status Atual],'1. Status Resumo FY24'!$P159,Table4[Sub-âmbito],'1. Status Resumo FY24'!$G$147,Table4[Tipo de teste],"2. Campo")</f>
        <v>50</v>
      </c>
      <c r="V159" s="25">
        <f t="shared" si="8"/>
        <v>0</v>
      </c>
      <c r="X159" s="540"/>
      <c r="Y159" s="540"/>
      <c r="Z159" s="540"/>
      <c r="AA159" s="540"/>
      <c r="AB159" s="540"/>
      <c r="AC159" s="540"/>
      <c r="AD159" s="540"/>
      <c r="AE159" s="540"/>
      <c r="AF159" s="540"/>
      <c r="AG159" s="162"/>
      <c r="AH159" s="116"/>
    </row>
    <row r="160" spans="1:34" ht="17.899999999999999" customHeight="1">
      <c r="A160" s="116"/>
      <c r="B160" s="121"/>
      <c r="E160" s="527" t="str">
        <f>+"#"&amp;SUM($U$189:$U$190)</f>
        <v>#71</v>
      </c>
      <c r="P160" s="375" t="s">
        <v>2366</v>
      </c>
      <c r="Q160" s="376"/>
      <c r="R160" s="376"/>
      <c r="S160" s="376"/>
      <c r="T160" s="446">
        <f>COUNTIFS(Table4[Status Anterior],'1. Status Resumo FY24'!$P159,Table4[Sub-âmbito],'1. Status Resumo FY24'!$G$147,Table4[Tipo de teste],"2. Campo",'2. Status Detalhe Campos FY24'!$U$7:$U$740,"*Plano anterior*")</f>
        <v>1</v>
      </c>
      <c r="U160" s="446">
        <f>COUNTIFS(Table4[Status Atual],'1. Status Resumo FY24'!$P159,Table4[Sub-âmbito],'1. Status Resumo FY24'!$G$147,Table4[Tipo de teste],"2. Campo",'2. Status Detalhe Campos FY24'!$U$7:$U$740,"*Plano anterior*")</f>
        <v>1</v>
      </c>
      <c r="V160" s="446">
        <f t="shared" si="8"/>
        <v>0</v>
      </c>
      <c r="X160" s="540"/>
      <c r="Y160" s="540"/>
      <c r="Z160" s="540"/>
      <c r="AA160" s="540"/>
      <c r="AB160" s="540"/>
      <c r="AC160" s="540"/>
      <c r="AD160" s="540"/>
      <c r="AE160" s="540"/>
      <c r="AF160" s="540"/>
      <c r="AG160" s="162"/>
      <c r="AH160" s="116"/>
    </row>
    <row r="161" spans="1:34" ht="17.899999999999999" customHeight="1">
      <c r="A161" s="116"/>
      <c r="B161" s="121"/>
      <c r="E161" s="527"/>
      <c r="P161" s="375" t="s">
        <v>2361</v>
      </c>
      <c r="Q161" s="376"/>
      <c r="R161" s="376"/>
      <c r="S161" s="376"/>
      <c r="T161" s="446">
        <f>COUNTIFS(Table4[Status Anterior],'1. Status Resumo FY24'!$P159,Table4[Sub-âmbito],'1. Status Resumo FY24'!$G$147,Table4[Tipo de teste],"2. Campo",'2. Status Detalhe Campos FY24'!$U$7:$U$740,"*Novo Plano*",'2. Status Detalhe Campos FY24'!$T$7:$T$740,"*Âmbito ESTR e (ou) LF*")</f>
        <v>12</v>
      </c>
      <c r="U161" s="446">
        <f>COUNTIFS(Table4[Status Atual],'1. Status Resumo FY24'!$P159,Table4[Sub-âmbito],'1. Status Resumo FY24'!$G$147,Table4[Tipo de teste],"2. Campo",'2. Status Detalhe Campos FY24'!$U$7:$U$740,"*Novo Plano*",'2. Status Detalhe Campos FY24'!$U$7:$U$740,"*Novo Plano*",'2. Status Detalhe Campos FY24'!$T$7:$T$740,"*Âmbito ESTR e (ou) LF*")</f>
        <v>12</v>
      </c>
      <c r="V161" s="446">
        <f t="shared" si="8"/>
        <v>0</v>
      </c>
      <c r="X161" s="540"/>
      <c r="Y161" s="540"/>
      <c r="Z161" s="540"/>
      <c r="AA161" s="540"/>
      <c r="AB161" s="540"/>
      <c r="AC161" s="540"/>
      <c r="AD161" s="540"/>
      <c r="AE161" s="540"/>
      <c r="AF161" s="540"/>
      <c r="AG161" s="162"/>
      <c r="AH161" s="116"/>
    </row>
    <row r="162" spans="1:34" ht="17.899999999999999" customHeight="1">
      <c r="A162" s="116"/>
      <c r="B162" s="121"/>
      <c r="E162" s="527"/>
      <c r="P162" s="377" t="s">
        <v>2362</v>
      </c>
      <c r="Q162" s="378"/>
      <c r="R162" s="378"/>
      <c r="S162" s="378"/>
      <c r="T162" s="447">
        <f>COUNTIFS(Table4[Status Anterior],'1. Status Resumo FY24'!$P159,Table4[Sub-âmbito],'1. Status Resumo FY24'!$G$147,Table4[Tipo de teste],"2. Campo",'2. Status Detalhe Campos FY24'!$U$7:$U$740,"*Novo Plano*",'2. Status Detalhe Campos FY24'!$T$7:$T$740,"*Outros*")</f>
        <v>37</v>
      </c>
      <c r="U162" s="447">
        <f>COUNTIFS(Table4[Status Atual],'1. Status Resumo FY24'!$P159,Table4[Sub-âmbito],'1. Status Resumo FY24'!$G$147,Table4[Tipo de teste],"2. Campo",'2. Status Detalhe Campos FY24'!$U$7:$U$740,"*Novo Plano*",'2. Status Detalhe Campos FY24'!$U$7:$U$740,"*Novo Plano*",'2. Status Detalhe Campos FY24'!$T$7:$T$740,"*Outros*")</f>
        <v>37</v>
      </c>
      <c r="V162" s="447">
        <f t="shared" si="8"/>
        <v>0</v>
      </c>
      <c r="X162" s="540"/>
      <c r="Y162" s="540"/>
      <c r="Z162" s="540"/>
      <c r="AA162" s="540"/>
      <c r="AB162" s="540"/>
      <c r="AC162" s="540"/>
      <c r="AD162" s="540"/>
      <c r="AE162" s="540"/>
      <c r="AF162" s="540"/>
      <c r="AG162" s="162"/>
      <c r="AH162" s="116"/>
    </row>
    <row r="163" spans="1:34" ht="17.899999999999999" customHeight="1">
      <c r="A163" s="116"/>
      <c r="B163" s="121"/>
      <c r="D163" s="427"/>
      <c r="E163" s="427"/>
      <c r="P163" s="25" t="s">
        <v>2319</v>
      </c>
      <c r="T163" s="25">
        <f>COUNTIFS(Table4[Status Anterior],'1. Status Resumo FY24'!$P163,Table4[Sub-âmbito],'1. Status Resumo FY24'!$G$147,Table4[Tipo de teste],"2. Campo")</f>
        <v>1</v>
      </c>
      <c r="U163" s="25">
        <f>COUNTIFS(Table4[Status Atual],'1. Status Resumo FY24'!$P163,Table4[Sub-âmbito],'1. Status Resumo FY24'!$G$147,Table4[Tipo de teste],"2. Campo")</f>
        <v>1</v>
      </c>
      <c r="V163" s="25">
        <f t="shared" si="8"/>
        <v>0</v>
      </c>
      <c r="X163" s="540"/>
      <c r="Y163" s="540"/>
      <c r="Z163" s="540"/>
      <c r="AA163" s="540"/>
      <c r="AB163" s="540"/>
      <c r="AC163" s="540"/>
      <c r="AD163" s="540"/>
      <c r="AE163" s="540"/>
      <c r="AF163" s="540"/>
      <c r="AG163" s="162"/>
      <c r="AH163" s="116"/>
    </row>
    <row r="164" spans="1:34" ht="17.899999999999999" customHeight="1">
      <c r="A164" s="116"/>
      <c r="B164" s="121"/>
      <c r="D164" s="427"/>
      <c r="E164" s="427"/>
      <c r="P164" s="375" t="s">
        <v>2366</v>
      </c>
      <c r="Q164" s="376"/>
      <c r="R164" s="376"/>
      <c r="S164" s="376"/>
      <c r="T164" s="446">
        <f>COUNTIFS(Table4[Status Anterior],'1. Status Resumo FY24'!$P163,Table4[Sub-âmbito],'1. Status Resumo FY24'!$G$147,Table4[Tipo de teste],"2. Campo",'2. Status Detalhe Campos FY24'!$U$7:$U$740,"*Plano anterior*")</f>
        <v>1</v>
      </c>
      <c r="U164" s="446">
        <f>COUNTIFS(Table4[Status Atual],'1. Status Resumo FY24'!$P163,Table4[Sub-âmbito],'1. Status Resumo FY24'!$G$147,Table4[Tipo de teste],"2. Campo",'2. Status Detalhe Campos FY24'!$U$7:$U$740,"*Plano anterior*")</f>
        <v>1</v>
      </c>
      <c r="V164" s="446">
        <f t="shared" si="8"/>
        <v>0</v>
      </c>
      <c r="X164" s="540"/>
      <c r="Y164" s="540"/>
      <c r="Z164" s="540"/>
      <c r="AA164" s="540"/>
      <c r="AB164" s="540"/>
      <c r="AC164" s="540"/>
      <c r="AD164" s="540"/>
      <c r="AE164" s="540"/>
      <c r="AF164" s="540"/>
      <c r="AG164" s="162"/>
      <c r="AH164" s="116"/>
    </row>
    <row r="165" spans="1:34" ht="17.899999999999999" customHeight="1">
      <c r="A165" s="116"/>
      <c r="B165" s="121"/>
      <c r="D165" s="427"/>
      <c r="E165" s="427"/>
      <c r="P165" s="375" t="s">
        <v>2361</v>
      </c>
      <c r="Q165" s="376"/>
      <c r="R165" s="376"/>
      <c r="S165" s="376"/>
      <c r="T165" s="446">
        <f>COUNTIFS(Table4[Status Anterior],'1. Status Resumo FY24'!$P163,Table4[Sub-âmbito],'1. Status Resumo FY24'!$G$147,Table4[Tipo de teste],"2. Campo",'2. Status Detalhe Campos FY24'!$U$7:$U$740,"*Novo Plano*",'2. Status Detalhe Campos FY24'!$T$7:$T$740,"*Âmbito ESTR e (ou) LF*")</f>
        <v>0</v>
      </c>
      <c r="U165" s="446">
        <f>COUNTIFS(Table4[Status Atual],'1. Status Resumo FY24'!$P163,Table4[Sub-âmbito],'1. Status Resumo FY24'!$G$147,Table4[Tipo de teste],"2. Campo",'2. Status Detalhe Campos FY24'!$U$7:$U$740,"*Novo Plano*",'2. Status Detalhe Campos FY24'!$U$7:$U$740,"*Novo Plano*",'2. Status Detalhe Campos FY24'!$T$7:$T$740,"*Âmbito ESTR e (ou) LF*")</f>
        <v>0</v>
      </c>
      <c r="V165" s="446">
        <f t="shared" si="8"/>
        <v>0</v>
      </c>
      <c r="X165" s="540"/>
      <c r="Y165" s="540"/>
      <c r="Z165" s="540"/>
      <c r="AA165" s="540"/>
      <c r="AB165" s="540"/>
      <c r="AC165" s="540"/>
      <c r="AD165" s="540"/>
      <c r="AE165" s="540"/>
      <c r="AF165" s="540"/>
      <c r="AG165" s="162"/>
      <c r="AH165" s="116"/>
    </row>
    <row r="166" spans="1:34" ht="17.899999999999999" customHeight="1">
      <c r="A166" s="116"/>
      <c r="B166" s="121"/>
      <c r="D166" s="427"/>
      <c r="E166" s="427"/>
      <c r="P166" s="377" t="s">
        <v>2362</v>
      </c>
      <c r="Q166" s="378"/>
      <c r="R166" s="378"/>
      <c r="S166" s="378"/>
      <c r="T166" s="447">
        <f>COUNTIFS(Table4[Status Anterior],'1. Status Resumo FY24'!$P163,Table4[Sub-âmbito],'1. Status Resumo FY24'!$G$147,Table4[Tipo de teste],"2. Campo",'2. Status Detalhe Campos FY24'!$U$7:$U$740,"*Novo Plano*",'2. Status Detalhe Campos FY24'!$T$7:$T$740,"*Outros*")</f>
        <v>0</v>
      </c>
      <c r="U166" s="447">
        <f>COUNTIFS(Table4[Status Atual],'1. Status Resumo FY24'!$P163,Table4[Sub-âmbito],'1. Status Resumo FY24'!$G$147,Table4[Tipo de teste],"2. Campo",'2. Status Detalhe Campos FY24'!$U$7:$U$740,"*Novo Plano*",'2. Status Detalhe Campos FY24'!$U$7:$U$740,"*Novo Plano*",'2. Status Detalhe Campos FY24'!$T$7:$T$740,"*Outros*")</f>
        <v>0</v>
      </c>
      <c r="V166" s="447">
        <f t="shared" si="8"/>
        <v>0</v>
      </c>
      <c r="X166" s="540"/>
      <c r="Y166" s="540"/>
      <c r="Z166" s="540"/>
      <c r="AA166" s="540"/>
      <c r="AB166" s="540"/>
      <c r="AC166" s="540"/>
      <c r="AD166" s="540"/>
      <c r="AE166" s="540"/>
      <c r="AF166" s="540"/>
      <c r="AG166" s="162"/>
      <c r="AH166" s="116"/>
    </row>
    <row r="167" spans="1:34" ht="17.25" customHeight="1">
      <c r="A167" s="116"/>
      <c r="B167" s="121"/>
      <c r="D167" s="427"/>
      <c r="E167" s="427"/>
      <c r="P167" s="25" t="s">
        <v>613</v>
      </c>
      <c r="T167" s="25">
        <f>COUNTIFS(Table4[Status Anterior],'1. Status Resumo FY24'!$P167,Table4[Sub-âmbito],'1. Status Resumo FY24'!$G$147,Table4[Tipo de teste],"2. Campo")</f>
        <v>0</v>
      </c>
      <c r="U167" s="25">
        <f>COUNTIFS(Table4[Status Atual],'1. Status Resumo FY24'!$P167,Table4[Sub-âmbito],'1. Status Resumo FY24'!$G$147,Table4[Tipo de teste],"2. Campo")</f>
        <v>0</v>
      </c>
      <c r="V167" s="25">
        <f t="shared" si="8"/>
        <v>0</v>
      </c>
      <c r="X167" s="540"/>
      <c r="Y167" s="540"/>
      <c r="Z167" s="540"/>
      <c r="AA167" s="540"/>
      <c r="AB167" s="540"/>
      <c r="AC167" s="540"/>
      <c r="AD167" s="540"/>
      <c r="AE167" s="540"/>
      <c r="AF167" s="540"/>
      <c r="AG167" s="162"/>
      <c r="AH167" s="116"/>
    </row>
    <row r="168" spans="1:34" ht="17.25" customHeight="1">
      <c r="A168" s="116"/>
      <c r="B168" s="121"/>
      <c r="D168" s="427"/>
      <c r="E168" s="427"/>
      <c r="P168" s="375" t="s">
        <v>2366</v>
      </c>
      <c r="Q168" s="376"/>
      <c r="R168" s="376"/>
      <c r="S168" s="376"/>
      <c r="T168" s="446">
        <f>COUNTIFS(Table4[Status Anterior],'1. Status Resumo FY24'!$P167,Table4[Sub-âmbito],'1. Status Resumo FY24'!$G$147,Table4[Tipo de teste],"2. Campo",'2. Status Detalhe Campos FY24'!$U$7:$U$740,"*Plano anterior*")</f>
        <v>0</v>
      </c>
      <c r="U168" s="446">
        <f>COUNTIFS(Table4[Status Atual],'1. Status Resumo FY24'!$P167,Table4[Sub-âmbito],'1. Status Resumo FY24'!$G$147,Table4[Tipo de teste],"2. Campo",'2. Status Detalhe Campos FY24'!$U$7:$U$740,"*Plano anterior*")</f>
        <v>0</v>
      </c>
      <c r="V168" s="446">
        <f t="shared" si="8"/>
        <v>0</v>
      </c>
      <c r="X168" s="540"/>
      <c r="Y168" s="540"/>
      <c r="Z168" s="540"/>
      <c r="AA168" s="540"/>
      <c r="AB168" s="540"/>
      <c r="AC168" s="540"/>
      <c r="AD168" s="540"/>
      <c r="AE168" s="540"/>
      <c r="AF168" s="540"/>
      <c r="AG168" s="162"/>
      <c r="AH168" s="116"/>
    </row>
    <row r="169" spans="1:34" ht="17.25" customHeight="1">
      <c r="A169" s="116"/>
      <c r="B169" s="121"/>
      <c r="D169" s="427"/>
      <c r="E169" s="427"/>
      <c r="P169" s="375" t="s">
        <v>2361</v>
      </c>
      <c r="Q169" s="376"/>
      <c r="R169" s="376"/>
      <c r="S169" s="376"/>
      <c r="T169" s="446">
        <f>COUNTIFS(Table4[Status Anterior],'1. Status Resumo FY24'!$P167,Table4[Sub-âmbito],'1. Status Resumo FY24'!$G$147,Table4[Tipo de teste],"2. Campo",'2. Status Detalhe Campos FY24'!$U$7:$U$740,"*Novo Plano*",'2. Status Detalhe Campos FY24'!$T$7:$T$740,"*Âmbito ESTR e (ou) LF*")</f>
        <v>0</v>
      </c>
      <c r="U169" s="446">
        <f>COUNTIFS(Table4[Status Atual],'1. Status Resumo FY24'!$P167,Table4[Sub-âmbito],'1. Status Resumo FY24'!$G$147,Table4[Tipo de teste],"2. Campo",'2. Status Detalhe Campos FY24'!$U$7:$U$740,"*Novo Plano*",'2. Status Detalhe Campos FY24'!$U$7:$U$740,"*Novo Plano*",'2. Status Detalhe Campos FY24'!$T$7:$T$740,"*Âmbito ESTR e (ou) LF*")</f>
        <v>0</v>
      </c>
      <c r="V169" s="446">
        <f t="shared" si="8"/>
        <v>0</v>
      </c>
      <c r="X169" s="540"/>
      <c r="Y169" s="540"/>
      <c r="Z169" s="540"/>
      <c r="AA169" s="540"/>
      <c r="AB169" s="540"/>
      <c r="AC169" s="540"/>
      <c r="AD169" s="540"/>
      <c r="AE169" s="540"/>
      <c r="AF169" s="540"/>
      <c r="AG169" s="162"/>
      <c r="AH169" s="116"/>
    </row>
    <row r="170" spans="1:34" ht="17.25" customHeight="1">
      <c r="A170" s="116"/>
      <c r="B170" s="121"/>
      <c r="D170" s="427"/>
      <c r="E170" s="427"/>
      <c r="P170" s="377" t="s">
        <v>2362</v>
      </c>
      <c r="Q170" s="378"/>
      <c r="R170" s="378"/>
      <c r="S170" s="378"/>
      <c r="T170" s="447">
        <f>COUNTIFS(Table4[Status Anterior],'1. Status Resumo FY24'!$P167,Table4[Sub-âmbito],'1. Status Resumo FY24'!$G$147,Table4[Tipo de teste],"2. Campo",'2. Status Detalhe Campos FY24'!$U$7:$U$740,"*Novo Plano*",'2. Status Detalhe Campos FY24'!$T$7:$T$740,"*Outros*")</f>
        <v>0</v>
      </c>
      <c r="U170" s="447">
        <f>COUNTIFS(Table4[Status Atual],'1. Status Resumo FY24'!$P167,Table4[Sub-âmbito],'1. Status Resumo FY24'!$G$147,Table4[Tipo de teste],"2. Campo",'2. Status Detalhe Campos FY24'!$U$7:$U$740,"*Novo Plano*",'2. Status Detalhe Campos FY24'!$U$7:$U$740,"*Novo Plano*",'2. Status Detalhe Campos FY24'!$T$7:$T$740,"*Outros*")</f>
        <v>0</v>
      </c>
      <c r="V170" s="447">
        <f t="shared" si="8"/>
        <v>0</v>
      </c>
      <c r="X170" s="540"/>
      <c r="Y170" s="540"/>
      <c r="Z170" s="540"/>
      <c r="AA170" s="540"/>
      <c r="AB170" s="540"/>
      <c r="AC170" s="540"/>
      <c r="AD170" s="540"/>
      <c r="AE170" s="540"/>
      <c r="AF170" s="540"/>
      <c r="AG170" s="162"/>
      <c r="AH170" s="116"/>
    </row>
    <row r="171" spans="1:34" ht="18.75" customHeight="1">
      <c r="A171" s="116"/>
      <c r="B171" s="121"/>
      <c r="D171" s="427"/>
      <c r="E171" s="427"/>
      <c r="P171" s="25" t="s">
        <v>614</v>
      </c>
      <c r="T171" s="25">
        <f>COUNTIFS(Table4[Status Anterior],'1. Status Resumo FY24'!$P171,Table4[Sub-âmbito],'1. Status Resumo FY24'!$G$147,Table4[Tipo de teste],"2. Campo")</f>
        <v>1</v>
      </c>
      <c r="U171" s="25">
        <f>COUNTIFS(Table4[Status Atual],'1. Status Resumo FY24'!$P171,Table4[Sub-âmbito],'1. Status Resumo FY24'!$G$147,Table4[Tipo de teste],"2. Campo")</f>
        <v>1</v>
      </c>
      <c r="V171" s="25">
        <f t="shared" si="8"/>
        <v>0</v>
      </c>
      <c r="X171" s="540"/>
      <c r="Y171" s="540"/>
      <c r="Z171" s="540"/>
      <c r="AA171" s="540"/>
      <c r="AB171" s="540"/>
      <c r="AC171" s="540"/>
      <c r="AD171" s="540"/>
      <c r="AE171" s="540"/>
      <c r="AF171" s="540"/>
      <c r="AG171" s="162"/>
      <c r="AH171" s="116"/>
    </row>
    <row r="172" spans="1:34" ht="18.75" customHeight="1">
      <c r="A172" s="116"/>
      <c r="B172" s="121"/>
      <c r="C172" s="430" t="s">
        <v>2374</v>
      </c>
      <c r="D172" s="427"/>
      <c r="E172" s="427"/>
      <c r="P172" s="375" t="s">
        <v>2366</v>
      </c>
      <c r="Q172" s="376"/>
      <c r="R172" s="376"/>
      <c r="S172" s="376"/>
      <c r="T172" s="446">
        <f>COUNTIFS(Table4[Status Anterior],'1. Status Resumo FY24'!$P171,Table4[Sub-âmbito],'1. Status Resumo FY24'!$G$147,Table4[Tipo de teste],"2. Campo",'2. Status Detalhe Campos FY24'!$U$7:$U$740,"*Plano anterior*")</f>
        <v>0</v>
      </c>
      <c r="U172" s="446">
        <f>COUNTIFS(Table4[Status Atual],'1. Status Resumo FY24'!$P171,Table4[Sub-âmbito],'1. Status Resumo FY24'!$G$147,Table4[Tipo de teste],"2. Campo",'2. Status Detalhe Campos FY24'!$U$7:$U$740,"*Plano anterior*")</f>
        <v>0</v>
      </c>
      <c r="V172" s="446">
        <f t="shared" si="8"/>
        <v>0</v>
      </c>
      <c r="X172" s="540"/>
      <c r="Y172" s="540"/>
      <c r="Z172" s="540"/>
      <c r="AA172" s="540"/>
      <c r="AB172" s="540"/>
      <c r="AC172" s="540"/>
      <c r="AD172" s="540"/>
      <c r="AE172" s="540"/>
      <c r="AF172" s="540"/>
      <c r="AG172" s="162"/>
      <c r="AH172" s="116"/>
    </row>
    <row r="173" spans="1:34" ht="18.75" customHeight="1">
      <c r="A173" s="116"/>
      <c r="B173" s="121"/>
      <c r="D173" s="427"/>
      <c r="E173" s="427"/>
      <c r="P173" s="375" t="s">
        <v>2361</v>
      </c>
      <c r="Q173" s="376"/>
      <c r="R173" s="376"/>
      <c r="S173" s="376"/>
      <c r="T173" s="446">
        <f>COUNTIFS(Table4[Status Anterior],'1. Status Resumo FY24'!$P171,Table4[Sub-âmbito],'1. Status Resumo FY24'!$G$147,Table4[Tipo de teste],"2. Campo",'2. Status Detalhe Campos FY24'!$U$7:$U$740,"*Novo Plano*",'2. Status Detalhe Campos FY24'!$T$7:$T$740,"*Âmbito ESTR e (ou) LF*")</f>
        <v>0</v>
      </c>
      <c r="U173" s="446">
        <f>COUNTIFS(Table4[Status Atual],'1. Status Resumo FY24'!$P171,Table4[Sub-âmbito],'1. Status Resumo FY24'!$G$147,Table4[Tipo de teste],"2. Campo",'2. Status Detalhe Campos FY24'!$U$7:$U$740,"*Novo Plano*",'2. Status Detalhe Campos FY24'!$U$7:$U$740,"*Novo Plano*",'2. Status Detalhe Campos FY24'!$T$7:$T$740,"*Âmbito ESTR e (ou) LF*")</f>
        <v>0</v>
      </c>
      <c r="V173" s="446">
        <f t="shared" si="8"/>
        <v>0</v>
      </c>
      <c r="X173" s="540"/>
      <c r="Y173" s="540"/>
      <c r="Z173" s="540"/>
      <c r="AA173" s="540"/>
      <c r="AB173" s="540"/>
      <c r="AC173" s="540"/>
      <c r="AD173" s="540"/>
      <c r="AE173" s="540"/>
      <c r="AF173" s="540"/>
      <c r="AG173" s="162"/>
      <c r="AH173" s="116"/>
    </row>
    <row r="174" spans="1:34" ht="18.75" customHeight="1">
      <c r="A174" s="116"/>
      <c r="B174" s="121"/>
      <c r="D174" s="427"/>
      <c r="E174" s="427"/>
      <c r="P174" s="377" t="s">
        <v>2362</v>
      </c>
      <c r="Q174" s="378"/>
      <c r="R174" s="378"/>
      <c r="S174" s="378"/>
      <c r="T174" s="447">
        <f>COUNTIFS(Table4[Status Anterior],'1. Status Resumo FY24'!$P171,Table4[Sub-âmbito],'1. Status Resumo FY24'!$G$147,Table4[Tipo de teste],"2. Campo",'2. Status Detalhe Campos FY24'!$U$7:$U$740,"*Novo Plano*",'2. Status Detalhe Campos FY24'!$T$7:$T$740,"*Outros*")</f>
        <v>1</v>
      </c>
      <c r="U174" s="447">
        <f>COUNTIFS(Table4[Status Atual],'1. Status Resumo FY24'!$P171,Table4[Sub-âmbito],'1. Status Resumo FY24'!$G$147,Table4[Tipo de teste],"2. Campo",'2. Status Detalhe Campos FY24'!$U$7:$U$740,"*Novo Plano*",'2. Status Detalhe Campos FY24'!$U$7:$U$740,"*Novo Plano*",'2. Status Detalhe Campos FY24'!$T$7:$T$740,"*Outros*")</f>
        <v>1</v>
      </c>
      <c r="V174" s="447">
        <f t="shared" si="8"/>
        <v>0</v>
      </c>
      <c r="X174" s="540"/>
      <c r="Y174" s="540"/>
      <c r="Z174" s="540"/>
      <c r="AA174" s="540"/>
      <c r="AB174" s="540"/>
      <c r="AC174" s="540"/>
      <c r="AD174" s="540"/>
      <c r="AE174" s="540"/>
      <c r="AF174" s="540"/>
      <c r="AG174" s="162"/>
      <c r="AH174" s="116"/>
    </row>
    <row r="175" spans="1:34" ht="18.75" customHeight="1">
      <c r="A175" s="116"/>
      <c r="B175" s="121"/>
      <c r="D175" s="427"/>
      <c r="E175" s="427"/>
      <c r="P175" s="25" t="s">
        <v>615</v>
      </c>
      <c r="R175" s="25" t="s">
        <v>616</v>
      </c>
      <c r="T175" s="25">
        <f>COUNTIFS(Table4[Status Anterior],'1. Status Resumo FY24'!$P175,Table4[Sub-âmbito],'1. Status Resumo FY24'!$G$147,Table4[Tipo de teste],"2. Campo")</f>
        <v>0</v>
      </c>
      <c r="U175" s="25">
        <f>COUNTIFS(Table4[Status Atual],'1. Status Resumo FY24'!$P175,Table4[Sub-âmbito],'1. Status Resumo FY24'!$G$147,Table4[Tipo de teste],"2. Campo")</f>
        <v>0</v>
      </c>
      <c r="V175" s="25">
        <f t="shared" si="8"/>
        <v>0</v>
      </c>
      <c r="X175" s="540"/>
      <c r="Y175" s="540"/>
      <c r="Z175" s="540"/>
      <c r="AA175" s="540"/>
      <c r="AB175" s="540"/>
      <c r="AC175" s="540"/>
      <c r="AD175" s="540"/>
      <c r="AE175" s="540"/>
      <c r="AF175" s="540"/>
      <c r="AG175" s="162"/>
      <c r="AH175" s="116"/>
    </row>
    <row r="176" spans="1:34" ht="18.75" customHeight="1">
      <c r="A176" s="116"/>
      <c r="B176" s="121"/>
      <c r="D176" s="427"/>
      <c r="E176" s="427"/>
      <c r="P176" s="375" t="s">
        <v>2366</v>
      </c>
      <c r="Q176" s="376"/>
      <c r="R176" s="376"/>
      <c r="S176" s="376"/>
      <c r="T176" s="446">
        <f>COUNTIFS(Table4[Status Anterior],'1. Status Resumo FY24'!$P175,Table4[Sub-âmbito],'1. Status Resumo FY24'!$G$147,Table4[Tipo de teste],"2. Campo",'2. Status Detalhe Campos FY24'!$U$7:$U$740,"*Plano anterior*")</f>
        <v>0</v>
      </c>
      <c r="U176" s="446">
        <f>COUNTIFS(Table4[Status Atual],'1. Status Resumo FY24'!$P175,Table4[Sub-âmbito],'1. Status Resumo FY24'!$G$147,Table4[Tipo de teste],"2. Campo",'2. Status Detalhe Campos FY24'!$U$7:$U$740,"*Plano anterior*")</f>
        <v>0</v>
      </c>
      <c r="V176" s="446">
        <f t="shared" si="8"/>
        <v>0</v>
      </c>
      <c r="X176" s="540"/>
      <c r="Y176" s="540"/>
      <c r="Z176" s="540"/>
      <c r="AA176" s="540"/>
      <c r="AB176" s="540"/>
      <c r="AC176" s="540"/>
      <c r="AD176" s="540"/>
      <c r="AE176" s="540"/>
      <c r="AF176" s="540"/>
      <c r="AG176" s="162"/>
      <c r="AH176" s="116"/>
    </row>
    <row r="177" spans="1:34" ht="18.75" customHeight="1">
      <c r="A177" s="116"/>
      <c r="B177" s="121"/>
      <c r="D177" s="427"/>
      <c r="E177" s="427"/>
      <c r="P177" s="375" t="s">
        <v>2361</v>
      </c>
      <c r="Q177" s="376"/>
      <c r="R177" s="376"/>
      <c r="S177" s="376"/>
      <c r="T177" s="446">
        <f>COUNTIFS(Table4[Status Anterior],'1. Status Resumo FY24'!$P175,Table4[Sub-âmbito],'1. Status Resumo FY24'!$G$147,Table4[Tipo de teste],"2. Campo",'2. Status Detalhe Campos FY24'!$U$7:$U$740,"*Novo Plano*",'2. Status Detalhe Campos FY24'!$T$7:$T$740,"*Âmbito ESTR e (ou) LF*")</f>
        <v>0</v>
      </c>
      <c r="U177" s="446">
        <f>COUNTIFS(Table4[Status Atual],'1. Status Resumo FY24'!$P175,Table4[Sub-âmbito],'1. Status Resumo FY24'!$G$147,Table4[Tipo de teste],"2. Campo",'2. Status Detalhe Campos FY24'!$U$7:$U$740,"*Novo Plano*",'2. Status Detalhe Campos FY24'!$U$7:$U$740,"*Novo Plano*",'2. Status Detalhe Campos FY24'!$T$7:$T$740,"*Âmbito ESTR e (ou) LF*")</f>
        <v>0</v>
      </c>
      <c r="V177" s="446">
        <f t="shared" si="8"/>
        <v>0</v>
      </c>
      <c r="X177" s="540"/>
      <c r="Y177" s="540"/>
      <c r="Z177" s="540"/>
      <c r="AA177" s="540"/>
      <c r="AB177" s="540"/>
      <c r="AC177" s="540"/>
      <c r="AD177" s="540"/>
      <c r="AE177" s="540"/>
      <c r="AF177" s="540"/>
      <c r="AG177" s="162"/>
      <c r="AH177" s="116"/>
    </row>
    <row r="178" spans="1:34" ht="17.899999999999999" customHeight="1">
      <c r="A178" s="116"/>
      <c r="B178" s="121"/>
      <c r="D178" s="427"/>
      <c r="E178" s="427"/>
      <c r="P178" s="377" t="s">
        <v>2362</v>
      </c>
      <c r="Q178" s="378"/>
      <c r="R178" s="378"/>
      <c r="S178" s="378"/>
      <c r="T178" s="447">
        <f>COUNTIFS(Table4[Status Anterior],'1. Status Resumo FY24'!$P175,Table4[Sub-âmbito],'1. Status Resumo FY24'!$G$147,Table4[Tipo de teste],"2. Campo",'2. Status Detalhe Campos FY24'!$U$7:$U$740,"*Novo Plano*",'2. Status Detalhe Campos FY24'!$T$7:$T$740,"*Outros*")</f>
        <v>0</v>
      </c>
      <c r="U178" s="447">
        <f>COUNTIFS(Table4[Status Atual],'1. Status Resumo FY24'!$P175,Table4[Sub-âmbito],'1. Status Resumo FY24'!$G$147,Table4[Tipo de teste],"2. Campo",'2. Status Detalhe Campos FY24'!$U$7:$U$740,"*Novo Plano*",'2. Status Detalhe Campos FY24'!$U$7:$U$740,"*Novo Plano*",'2. Status Detalhe Campos FY24'!$T$7:$T$740,"*Outros*")</f>
        <v>0</v>
      </c>
      <c r="V178" s="447">
        <f t="shared" si="8"/>
        <v>0</v>
      </c>
      <c r="X178" s="540"/>
      <c r="Y178" s="540"/>
      <c r="Z178" s="540"/>
      <c r="AA178" s="540"/>
      <c r="AB178" s="540"/>
      <c r="AC178" s="540"/>
      <c r="AD178" s="540"/>
      <c r="AE178" s="540"/>
      <c r="AF178" s="540"/>
      <c r="AG178" s="162"/>
      <c r="AH178" s="116"/>
    </row>
    <row r="179" spans="1:34" ht="17.899999999999999" customHeight="1">
      <c r="A179" s="116"/>
      <c r="B179" s="121"/>
      <c r="D179" s="427"/>
      <c r="E179" s="427"/>
      <c r="P179" s="25" t="s">
        <v>2320</v>
      </c>
      <c r="T179" s="25">
        <f>COUNTIFS(Table4[Status Anterior],'1. Status Resumo FY24'!$P179,Table4[Sub-âmbito],'1. Status Resumo FY24'!$G$147,Table4[Tipo de teste],"2. Campo")</f>
        <v>35</v>
      </c>
      <c r="U179" s="25">
        <f>COUNTIFS(Table4[Status Atual],'1. Status Resumo FY24'!$P179,Table4[Sub-âmbito],'1. Status Resumo FY24'!$G$147,Table4[Tipo de teste],"2. Campo")</f>
        <v>35</v>
      </c>
      <c r="V179" s="25">
        <f t="shared" si="8"/>
        <v>0</v>
      </c>
      <c r="X179" s="540"/>
      <c r="Y179" s="540"/>
      <c r="Z179" s="540"/>
      <c r="AA179" s="540"/>
      <c r="AB179" s="540"/>
      <c r="AC179" s="540"/>
      <c r="AD179" s="540"/>
      <c r="AE179" s="540"/>
      <c r="AF179" s="540"/>
      <c r="AG179" s="162"/>
      <c r="AH179" s="116"/>
    </row>
    <row r="180" spans="1:34" ht="17.899999999999999" customHeight="1">
      <c r="A180" s="116"/>
      <c r="B180" s="121"/>
      <c r="D180" s="371"/>
      <c r="E180" s="527" t="str">
        <f>+"#"&amp;$U$188</f>
        <v>#134</v>
      </c>
      <c r="P180" s="375" t="s">
        <v>2366</v>
      </c>
      <c r="Q180" s="376"/>
      <c r="R180" s="376"/>
      <c r="S180" s="376"/>
      <c r="T180" s="446">
        <f>COUNTIFS(Table4[Status Anterior],'1. Status Resumo FY24'!$P179,Table4[Sub-âmbito],'1. Status Resumo FY24'!$G$147,Table4[Tipo de teste],"2. Campo",'2. Status Detalhe Campos FY24'!$U$7:$U$740,"*Plano anterior*")</f>
        <v>14</v>
      </c>
      <c r="U180" s="446">
        <f>COUNTIFS(Table4[Status Atual],'1. Status Resumo FY24'!$P179,Table4[Sub-âmbito],'1. Status Resumo FY24'!$G$147,Table4[Tipo de teste],"2. Campo",'2. Status Detalhe Campos FY24'!$U$7:$U$740,"*Plano anterior*")</f>
        <v>14</v>
      </c>
      <c r="V180" s="446">
        <f t="shared" si="8"/>
        <v>0</v>
      </c>
      <c r="X180" s="540"/>
      <c r="Y180" s="540"/>
      <c r="Z180" s="540"/>
      <c r="AA180" s="540"/>
      <c r="AB180" s="540"/>
      <c r="AC180" s="540"/>
      <c r="AD180" s="540"/>
      <c r="AE180" s="540"/>
      <c r="AF180" s="540"/>
      <c r="AG180" s="162"/>
      <c r="AH180" s="116"/>
    </row>
    <row r="181" spans="1:34" ht="17.899999999999999" customHeight="1">
      <c r="A181" s="116"/>
      <c r="B181" s="121"/>
      <c r="D181" s="371"/>
      <c r="E181" s="527"/>
      <c r="P181" s="375" t="s">
        <v>2361</v>
      </c>
      <c r="Q181" s="376"/>
      <c r="R181" s="376"/>
      <c r="S181" s="376"/>
      <c r="T181" s="446">
        <f>COUNTIFS(Table4[Status Anterior],'1. Status Resumo FY24'!$P179,Table4[Sub-âmbito],'1. Status Resumo FY24'!$G$147,Table4[Tipo de teste],"2. Campo",'2. Status Detalhe Campos FY24'!$U$7:$U$740,"*Novo Plano*",'2. Status Detalhe Campos FY24'!$T$7:$T$740,"*Âmbito ESTR e (ou) LF*")</f>
        <v>8</v>
      </c>
      <c r="U181" s="446">
        <f>COUNTIFS(Table4[Status Atual],'1. Status Resumo FY24'!$P179,Table4[Sub-âmbito],'1. Status Resumo FY24'!$G$147,Table4[Tipo de teste],"2. Campo",'2. Status Detalhe Campos FY24'!$U$7:$U$740,"*Novo Plano*",'2. Status Detalhe Campos FY24'!$U$7:$U$740,"*Novo Plano*",'2. Status Detalhe Campos FY24'!$T$7:$T$740,"*Âmbito ESTR e (ou) LF*")</f>
        <v>8</v>
      </c>
      <c r="V181" s="446">
        <f t="shared" si="8"/>
        <v>0</v>
      </c>
      <c r="X181" s="540"/>
      <c r="Y181" s="540"/>
      <c r="Z181" s="540"/>
      <c r="AA181" s="540"/>
      <c r="AB181" s="540"/>
      <c r="AC181" s="540"/>
      <c r="AD181" s="540"/>
      <c r="AE181" s="540"/>
      <c r="AF181" s="540"/>
      <c r="AG181" s="162"/>
      <c r="AH181" s="116"/>
    </row>
    <row r="182" spans="1:34" ht="17.899999999999999" customHeight="1">
      <c r="A182" s="116"/>
      <c r="B182" s="121"/>
      <c r="D182" s="371"/>
      <c r="E182" s="527"/>
      <c r="P182" s="377" t="s">
        <v>2362</v>
      </c>
      <c r="Q182" s="378"/>
      <c r="R182" s="378"/>
      <c r="S182" s="378"/>
      <c r="T182" s="447">
        <f>COUNTIFS(Table4[Status Anterior],'1. Status Resumo FY24'!$P179,Table4[Sub-âmbito],'1. Status Resumo FY24'!$G$147,Table4[Tipo de teste],"2. Campo",'2. Status Detalhe Campos FY24'!$U$7:$U$740,"*Novo Plano*",'2. Status Detalhe Campos FY24'!$T$7:$T$740,"*Outros*")</f>
        <v>13</v>
      </c>
      <c r="U182" s="447">
        <f>COUNTIFS(Table4[Status Atual],'1. Status Resumo FY24'!$P179,Table4[Sub-âmbito],'1. Status Resumo FY24'!$G$147,Table4[Tipo de teste],"2. Campo",'2. Status Detalhe Campos FY24'!$U$7:$U$740,"*Novo Plano*",'2. Status Detalhe Campos FY24'!$U$7:$U$740,"*Novo Plano*",'2. Status Detalhe Campos FY24'!$T$7:$T$740,"*Outros*")</f>
        <v>13</v>
      </c>
      <c r="V182" s="447">
        <f t="shared" si="8"/>
        <v>0</v>
      </c>
      <c r="X182" s="540"/>
      <c r="Y182" s="540"/>
      <c r="Z182" s="540"/>
      <c r="AA182" s="540"/>
      <c r="AB182" s="540"/>
      <c r="AC182" s="540"/>
      <c r="AD182" s="540"/>
      <c r="AE182" s="540"/>
      <c r="AF182" s="540"/>
      <c r="AG182" s="162"/>
      <c r="AH182" s="116"/>
    </row>
    <row r="183" spans="1:34" ht="17.899999999999999" customHeight="1">
      <c r="A183" s="116"/>
      <c r="B183" s="121"/>
      <c r="P183" s="25" t="s">
        <v>28</v>
      </c>
      <c r="T183" s="25">
        <f>COUNTIFS(Table4[Status Anterior],'1. Status Resumo FY24'!$P183,Table4[Sub-âmbito],'1. Status Resumo FY24'!$G$147,Table4[Tipo de teste],"2. Campo")</f>
        <v>0</v>
      </c>
      <c r="U183" s="25">
        <f>COUNTIFS(Table4[Status Atual],'1. Status Resumo FY24'!$P183,Table4[Sub-âmbito],'1. Status Resumo FY24'!$G$147,Table4[Tipo de teste],"2. Campo")</f>
        <v>0</v>
      </c>
      <c r="V183" s="25">
        <f t="shared" si="8"/>
        <v>0</v>
      </c>
      <c r="X183" s="540"/>
      <c r="Y183" s="540"/>
      <c r="Z183" s="540"/>
      <c r="AA183" s="540"/>
      <c r="AB183" s="540"/>
      <c r="AC183" s="540"/>
      <c r="AD183" s="540"/>
      <c r="AE183" s="540"/>
      <c r="AF183" s="540"/>
      <c r="AG183" s="162"/>
      <c r="AH183" s="116"/>
    </row>
    <row r="184" spans="1:34" ht="17.899999999999999" customHeight="1">
      <c r="A184" s="116"/>
      <c r="B184" s="121"/>
      <c r="P184" s="375" t="s">
        <v>2366</v>
      </c>
      <c r="Q184" s="376"/>
      <c r="R184" s="376"/>
      <c r="S184" s="376"/>
      <c r="T184" s="446">
        <f>COUNTIFS(Table4[Status Anterior],'1. Status Resumo FY24'!$P183,Table4[Sub-âmbito],'1. Status Resumo FY24'!$G$147,Table4[Tipo de teste],"2. Campo",'2. Status Detalhe Campos FY24'!$U$7:$U$740,"*Plano anterior*")</f>
        <v>0</v>
      </c>
      <c r="U184" s="446">
        <f>COUNTIFS(Table4[Status Atual],'1. Status Resumo FY24'!$P183,Table4[Sub-âmbito],'1. Status Resumo FY24'!$G$147,Table4[Tipo de teste],"2. Campo",'2. Status Detalhe Campos FY24'!$U$7:$U$740,"*Plano anterior*")</f>
        <v>0</v>
      </c>
      <c r="V184" s="446">
        <f t="shared" si="8"/>
        <v>0</v>
      </c>
      <c r="X184" s="540"/>
      <c r="Y184" s="540"/>
      <c r="Z184" s="540"/>
      <c r="AA184" s="540"/>
      <c r="AB184" s="540"/>
      <c r="AC184" s="540"/>
      <c r="AD184" s="540"/>
      <c r="AE184" s="540"/>
      <c r="AF184" s="540"/>
      <c r="AG184" s="162"/>
      <c r="AH184" s="116"/>
    </row>
    <row r="185" spans="1:34" ht="17.899999999999999" customHeight="1">
      <c r="A185" s="116"/>
      <c r="B185" s="121"/>
      <c r="P185" s="375" t="s">
        <v>2361</v>
      </c>
      <c r="Q185" s="376"/>
      <c r="R185" s="376"/>
      <c r="S185" s="376"/>
      <c r="T185" s="446">
        <f>COUNTIFS(Table4[Status Anterior],'1. Status Resumo FY24'!$P183,Table4[Sub-âmbito],'1. Status Resumo FY24'!$G$147,Table4[Tipo de teste],"2. Campo",'2. Status Detalhe Campos FY24'!$U$7:$U$740,"*Novo Plano*",'2. Status Detalhe Campos FY24'!$T$7:$T$740,"*Âmbito ESTR e (ou) LF*")</f>
        <v>0</v>
      </c>
      <c r="U185" s="446">
        <f>COUNTIFS(Table4[Status Atual],'1. Status Resumo FY24'!$P183,Table4[Sub-âmbito],'1. Status Resumo FY24'!$G$147,Table4[Tipo de teste],"2. Campo",'2. Status Detalhe Campos FY24'!$U$7:$U$740,"*Novo Plano*",'2. Status Detalhe Campos FY24'!$U$7:$U$740,"*Novo Plano*",'2. Status Detalhe Campos FY24'!$T$7:$T$740,"*Âmbito ESTR e (ou) LF*")</f>
        <v>0</v>
      </c>
      <c r="V185" s="446">
        <f t="shared" si="8"/>
        <v>0</v>
      </c>
      <c r="X185" s="540"/>
      <c r="Y185" s="540"/>
      <c r="Z185" s="540"/>
      <c r="AA185" s="540"/>
      <c r="AB185" s="540"/>
      <c r="AC185" s="540"/>
      <c r="AD185" s="540"/>
      <c r="AE185" s="540"/>
      <c r="AF185" s="540"/>
      <c r="AG185" s="162"/>
      <c r="AH185" s="116"/>
    </row>
    <row r="186" spans="1:34" ht="17.899999999999999" customHeight="1">
      <c r="A186" s="116"/>
      <c r="B186" s="121"/>
      <c r="P186" s="379" t="s">
        <v>2362</v>
      </c>
      <c r="Q186" s="380"/>
      <c r="R186" s="380"/>
      <c r="S186" s="380"/>
      <c r="T186" s="448">
        <f>COUNTIFS(Table4[Status Anterior],'1. Status Resumo FY24'!$P183,Table4[Sub-âmbito],'1. Status Resumo FY24'!$G$147,Table4[Tipo de teste],"2. Campo",'2. Status Detalhe Campos FY24'!$U$7:$U$740,"*Novo Plano*",'2. Status Detalhe Campos FY24'!$T$7:$T$740,"*Outros*")</f>
        <v>0</v>
      </c>
      <c r="U186" s="448">
        <f>COUNTIFS(Table4[Status Atual],'1. Status Resumo FY24'!$P183,Table4[Sub-âmbito],'1. Status Resumo FY24'!$G$147,Table4[Tipo de teste],"2. Campo",'2. Status Detalhe Campos FY24'!$U$7:$U$740,"*Novo Plano*",'2. Status Detalhe Campos FY24'!$U$7:$U$740,"*Novo Plano*",'2. Status Detalhe Campos FY24'!$T$7:$T$740,"*Outros*")</f>
        <v>0</v>
      </c>
      <c r="V186" s="448">
        <f t="shared" si="8"/>
        <v>0</v>
      </c>
      <c r="X186" s="540"/>
      <c r="Y186" s="540"/>
      <c r="Z186" s="540"/>
      <c r="AA186" s="540"/>
      <c r="AB186" s="540"/>
      <c r="AC186" s="540"/>
      <c r="AD186" s="540"/>
      <c r="AE186" s="540"/>
      <c r="AF186" s="540"/>
      <c r="AG186" s="162"/>
      <c r="AH186" s="116"/>
    </row>
    <row r="187" spans="1:34" ht="17.899999999999999" customHeight="1">
      <c r="A187" s="116"/>
      <c r="B187" s="121"/>
      <c r="P187" s="127" t="s">
        <v>2326</v>
      </c>
      <c r="T187" s="127">
        <f t="shared" ref="T187:U190" si="9">+SUM(T151,T155,T159,T163,T167,T171,T175,T179,T183)</f>
        <v>205</v>
      </c>
      <c r="U187" s="127">
        <f t="shared" si="9"/>
        <v>205</v>
      </c>
      <c r="V187" s="127">
        <f>+U187-T187</f>
        <v>0</v>
      </c>
      <c r="X187" s="540"/>
      <c r="Y187" s="540"/>
      <c r="Z187" s="540"/>
      <c r="AA187" s="540"/>
      <c r="AB187" s="540"/>
      <c r="AC187" s="540"/>
      <c r="AD187" s="540"/>
      <c r="AE187" s="540"/>
      <c r="AF187" s="540"/>
      <c r="AG187" s="162"/>
      <c r="AH187" s="116"/>
    </row>
    <row r="188" spans="1:34" ht="17.899999999999999" customHeight="1">
      <c r="A188" s="116"/>
      <c r="B188" s="121"/>
      <c r="P188" s="381" t="s">
        <v>2366</v>
      </c>
      <c r="T188" s="449">
        <f t="shared" si="9"/>
        <v>134</v>
      </c>
      <c r="U188" s="449">
        <f t="shared" si="9"/>
        <v>134</v>
      </c>
      <c r="V188" s="449">
        <f>+U188-T188</f>
        <v>0</v>
      </c>
      <c r="X188" s="540"/>
      <c r="Y188" s="540"/>
      <c r="Z188" s="540"/>
      <c r="AA188" s="540"/>
      <c r="AB188" s="540"/>
      <c r="AC188" s="540"/>
      <c r="AD188" s="540"/>
      <c r="AE188" s="540"/>
      <c r="AF188" s="540"/>
      <c r="AG188" s="162"/>
      <c r="AH188" s="116"/>
    </row>
    <row r="189" spans="1:34" ht="17.899999999999999" customHeight="1">
      <c r="A189" s="116"/>
      <c r="B189" s="121"/>
      <c r="P189" s="381" t="s">
        <v>2361</v>
      </c>
      <c r="T189" s="449">
        <f t="shared" si="9"/>
        <v>20</v>
      </c>
      <c r="U189" s="449">
        <f t="shared" si="9"/>
        <v>20</v>
      </c>
      <c r="V189" s="449">
        <f>+U189-T189</f>
        <v>0</v>
      </c>
      <c r="X189" s="540"/>
      <c r="Y189" s="540"/>
      <c r="Z189" s="540"/>
      <c r="AA189" s="540"/>
      <c r="AB189" s="540"/>
      <c r="AC189" s="540"/>
      <c r="AD189" s="540"/>
      <c r="AE189" s="540"/>
      <c r="AF189" s="540"/>
      <c r="AG189" s="162"/>
      <c r="AH189" s="116"/>
    </row>
    <row r="190" spans="1:34" ht="17.899999999999999" customHeight="1">
      <c r="A190" s="116"/>
      <c r="B190" s="121"/>
      <c r="P190" s="382" t="s">
        <v>2362</v>
      </c>
      <c r="Q190" s="130"/>
      <c r="R190" s="130"/>
      <c r="S190" s="130"/>
      <c r="T190" s="450">
        <f t="shared" si="9"/>
        <v>51</v>
      </c>
      <c r="U190" s="450">
        <f t="shared" si="9"/>
        <v>51</v>
      </c>
      <c r="V190" s="450">
        <f>+U190-T190</f>
        <v>0</v>
      </c>
      <c r="X190" s="540"/>
      <c r="Y190" s="540"/>
      <c r="Z190" s="540"/>
      <c r="AA190" s="540"/>
      <c r="AB190" s="540"/>
      <c r="AC190" s="540"/>
      <c r="AD190" s="540"/>
      <c r="AE190" s="540"/>
      <c r="AF190" s="540"/>
      <c r="AG190" s="162"/>
      <c r="AH190" s="116"/>
    </row>
    <row r="191" spans="1:34">
      <c r="A191" s="116"/>
      <c r="B191" s="121"/>
      <c r="T191" s="127"/>
      <c r="U191" s="127"/>
      <c r="X191" s="540"/>
      <c r="Y191" s="540"/>
      <c r="Z191" s="540"/>
      <c r="AA191" s="540"/>
      <c r="AB191" s="540"/>
      <c r="AC191" s="540"/>
      <c r="AD191" s="540"/>
      <c r="AE191" s="540"/>
      <c r="AF191" s="540"/>
      <c r="AG191" s="162"/>
      <c r="AH191" s="116"/>
    </row>
    <row r="192" spans="1:34">
      <c r="A192" s="116"/>
      <c r="B192" s="121"/>
      <c r="P192" s="129" t="s">
        <v>617</v>
      </c>
      <c r="Q192" s="130"/>
      <c r="R192" s="130"/>
      <c r="S192" s="130"/>
      <c r="T192" s="130"/>
      <c r="U192" s="130"/>
      <c r="V192" s="130"/>
      <c r="X192" s="540"/>
      <c r="Y192" s="540"/>
      <c r="Z192" s="540"/>
      <c r="AA192" s="540"/>
      <c r="AB192" s="540"/>
      <c r="AC192" s="540"/>
      <c r="AD192" s="540"/>
      <c r="AE192" s="540"/>
      <c r="AF192" s="540"/>
      <c r="AG192" s="162"/>
      <c r="AH192" s="116"/>
    </row>
    <row r="193" spans="1:34">
      <c r="A193" s="116"/>
      <c r="B193" s="121"/>
      <c r="O193" s="159" t="s">
        <v>619</v>
      </c>
      <c r="P193" s="25" t="s">
        <v>379</v>
      </c>
      <c r="T193" s="200" t="s">
        <v>1841</v>
      </c>
      <c r="X193" s="540"/>
      <c r="Y193" s="540"/>
      <c r="Z193" s="540"/>
      <c r="AA193" s="540"/>
      <c r="AB193" s="540"/>
      <c r="AC193" s="540"/>
      <c r="AD193" s="540"/>
      <c r="AE193" s="540"/>
      <c r="AF193" s="540"/>
      <c r="AG193" s="162"/>
      <c r="AH193" s="116"/>
    </row>
    <row r="194" spans="1:34">
      <c r="A194" s="116"/>
      <c r="B194" s="121"/>
      <c r="O194" s="159" t="s">
        <v>619</v>
      </c>
      <c r="P194" s="25" t="s">
        <v>335</v>
      </c>
      <c r="T194" s="200" t="s">
        <v>1841</v>
      </c>
      <c r="X194" s="540"/>
      <c r="Y194" s="540"/>
      <c r="Z194" s="540"/>
      <c r="AA194" s="540"/>
      <c r="AB194" s="540"/>
      <c r="AC194" s="540"/>
      <c r="AD194" s="540"/>
      <c r="AE194" s="540"/>
      <c r="AF194" s="540"/>
      <c r="AG194" s="162"/>
      <c r="AH194" s="116"/>
    </row>
    <row r="195" spans="1:34">
      <c r="A195" s="116"/>
      <c r="B195" s="121"/>
      <c r="O195" s="159" t="s">
        <v>619</v>
      </c>
      <c r="P195" s="25" t="s">
        <v>368</v>
      </c>
      <c r="T195" s="200" t="s">
        <v>1841</v>
      </c>
      <c r="X195" s="540"/>
      <c r="Y195" s="540"/>
      <c r="Z195" s="540"/>
      <c r="AA195" s="540"/>
      <c r="AB195" s="540"/>
      <c r="AC195" s="540"/>
      <c r="AD195" s="540"/>
      <c r="AE195" s="540"/>
      <c r="AF195" s="540"/>
      <c r="AG195" s="162"/>
      <c r="AH195" s="116"/>
    </row>
    <row r="196" spans="1:34">
      <c r="A196" s="116"/>
      <c r="B196" s="121"/>
      <c r="O196" s="159" t="s">
        <v>619</v>
      </c>
      <c r="P196" s="25" t="s">
        <v>439</v>
      </c>
      <c r="T196" s="161" t="s">
        <v>621</v>
      </c>
      <c r="X196" s="540"/>
      <c r="Y196" s="540"/>
      <c r="Z196" s="540"/>
      <c r="AA196" s="540"/>
      <c r="AB196" s="540"/>
      <c r="AC196" s="540"/>
      <c r="AD196" s="540"/>
      <c r="AE196" s="540"/>
      <c r="AF196" s="540"/>
      <c r="AG196" s="162"/>
      <c r="AH196" s="116"/>
    </row>
    <row r="197" spans="1:34">
      <c r="A197" s="116"/>
      <c r="B197" s="121"/>
      <c r="O197" s="159" t="s">
        <v>619</v>
      </c>
      <c r="P197" s="25" t="s">
        <v>441</v>
      </c>
      <c r="T197" s="200" t="s">
        <v>1841</v>
      </c>
      <c r="X197" s="540"/>
      <c r="Y197" s="540"/>
      <c r="Z197" s="540"/>
      <c r="AA197" s="540"/>
      <c r="AB197" s="540"/>
      <c r="AC197" s="540"/>
      <c r="AD197" s="540"/>
      <c r="AE197" s="540"/>
      <c r="AF197" s="540"/>
      <c r="AG197" s="162"/>
      <c r="AH197" s="116"/>
    </row>
    <row r="198" spans="1:34">
      <c r="A198" s="116"/>
      <c r="B198" s="121"/>
      <c r="O198" s="159" t="s">
        <v>619</v>
      </c>
      <c r="P198" s="25" t="s">
        <v>1860</v>
      </c>
      <c r="T198" s="200" t="s">
        <v>1841</v>
      </c>
      <c r="X198" s="540"/>
      <c r="Y198" s="540"/>
      <c r="Z198" s="540"/>
      <c r="AA198" s="540"/>
      <c r="AB198" s="540"/>
      <c r="AC198" s="540"/>
      <c r="AD198" s="540"/>
      <c r="AE198" s="540"/>
      <c r="AF198" s="540"/>
      <c r="AG198" s="162"/>
      <c r="AH198" s="116"/>
    </row>
    <row r="199" spans="1:34">
      <c r="A199" s="116"/>
      <c r="B199" s="121"/>
      <c r="O199" s="159" t="s">
        <v>619</v>
      </c>
      <c r="P199" s="25" t="s">
        <v>1861</v>
      </c>
      <c r="T199" s="161" t="s">
        <v>621</v>
      </c>
      <c r="X199" s="540"/>
      <c r="Y199" s="540"/>
      <c r="Z199" s="540"/>
      <c r="AA199" s="540"/>
      <c r="AB199" s="540"/>
      <c r="AC199" s="540"/>
      <c r="AD199" s="540"/>
      <c r="AE199" s="540"/>
      <c r="AF199" s="540"/>
      <c r="AG199" s="162"/>
      <c r="AH199" s="116"/>
    </row>
    <row r="200" spans="1:34">
      <c r="A200" s="116"/>
      <c r="B200" s="121"/>
      <c r="O200" s="159" t="s">
        <v>619</v>
      </c>
      <c r="P200" s="25" t="s">
        <v>392</v>
      </c>
      <c r="T200" s="161" t="s">
        <v>621</v>
      </c>
      <c r="X200" s="540"/>
      <c r="Y200" s="540"/>
      <c r="Z200" s="540"/>
      <c r="AA200" s="540"/>
      <c r="AB200" s="540"/>
      <c r="AC200" s="540"/>
      <c r="AD200" s="540"/>
      <c r="AE200" s="540"/>
      <c r="AF200" s="540"/>
      <c r="AG200" s="162"/>
      <c r="AH200" s="116"/>
    </row>
    <row r="201" spans="1:34">
      <c r="A201" s="116"/>
      <c r="B201" s="121"/>
      <c r="X201" s="540"/>
      <c r="Y201" s="540"/>
      <c r="Z201" s="540"/>
      <c r="AA201" s="540"/>
      <c r="AB201" s="540"/>
      <c r="AC201" s="540"/>
      <c r="AD201" s="540"/>
      <c r="AE201" s="540"/>
      <c r="AF201" s="540"/>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4"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15"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198"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198"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198" customFormat="1" hidden="1"/>
    <row r="234" spans="1:34" s="198" customFormat="1" hidden="1"/>
    <row r="235" spans="1:34" s="198" customFormat="1" hidden="1"/>
    <row r="236" spans="1:34" hidden="1">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c r="AA236" s="198"/>
      <c r="AB236" s="198"/>
      <c r="AC236" s="198"/>
      <c r="AD236" s="198"/>
      <c r="AE236" s="198"/>
      <c r="AF236" s="198"/>
      <c r="AG236" s="198"/>
    </row>
    <row r="237" spans="1:34"/>
    <row r="238" spans="1:34"/>
    <row r="239" spans="1:34"/>
    <row r="240" spans="1:34"/>
    <row r="241"/>
    <row r="242"/>
    <row r="243"/>
    <row r="244"/>
    <row r="245"/>
    <row r="246"/>
    <row r="247"/>
    <row r="248"/>
    <row r="249"/>
    <row r="250"/>
    <row r="251"/>
    <row r="252"/>
  </sheetData>
  <sortState ref="O13:O20">
    <sortCondition ref="O13:O20"/>
  </sortState>
  <mergeCells count="38">
    <mergeCell ref="X10:AF43"/>
    <mergeCell ref="E160:E162"/>
    <mergeCell ref="E180:E182"/>
    <mergeCell ref="D107:D109"/>
    <mergeCell ref="J26:O26"/>
    <mergeCell ref="E26:I26"/>
    <mergeCell ref="P26:R26"/>
    <mergeCell ref="X50:AF88"/>
    <mergeCell ref="D59:E65"/>
    <mergeCell ref="X151:AF201"/>
    <mergeCell ref="X95:AF144"/>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27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0"/>
  <sheetViews>
    <sheetView showGridLines="0" tabSelected="1" zoomScale="70" zoomScaleNormal="70" workbookViewId="0">
      <pane xSplit="3" ySplit="6" topLeftCell="D7" activePane="bottomRight" state="frozen"/>
      <selection pane="topRight" activeCell="D136" sqref="D136"/>
      <selection pane="bottomLeft" activeCell="D136" sqref="D136"/>
      <selection pane="bottomRight" activeCell="F753" sqref="F753"/>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3" customWidth="1"/>
    <col min="10" max="10" width="40.08203125" bestFit="1" customWidth="1"/>
    <col min="11" max="12" width="40.08203125" customWidth="1"/>
    <col min="13" max="13" width="35" hidden="1" customWidth="1"/>
    <col min="14" max="14" width="24" hidden="1" customWidth="1"/>
    <col min="15" max="17" width="22" hidden="1" customWidth="1"/>
    <col min="18" max="18" width="24.1640625" bestFit="1" customWidth="1"/>
    <col min="19" max="19" width="15.83203125" customWidth="1"/>
    <col min="20" max="20" width="42.58203125" customWidth="1"/>
    <col min="21" max="21" width="40.83203125" style="263" bestFit="1" customWidth="1"/>
    <col min="22" max="22" width="14.33203125" bestFit="1" customWidth="1"/>
  </cols>
  <sheetData>
    <row r="1" spans="1:22" ht="18">
      <c r="A1" s="25"/>
      <c r="B1" s="25"/>
      <c r="C1" s="25"/>
      <c r="D1" s="25"/>
      <c r="E1" s="25"/>
      <c r="F1" s="25"/>
      <c r="G1" s="25"/>
      <c r="H1" s="25"/>
      <c r="I1" s="471"/>
      <c r="J1" s="25"/>
      <c r="K1" s="25"/>
      <c r="L1" s="25"/>
      <c r="M1" s="25"/>
      <c r="N1" s="25"/>
      <c r="O1" s="25"/>
      <c r="P1" s="25"/>
      <c r="Q1" s="25"/>
      <c r="R1" s="25"/>
    </row>
    <row r="2" spans="1:22" ht="18">
      <c r="A2" s="25"/>
      <c r="B2" s="25"/>
      <c r="C2" s="25"/>
      <c r="D2" s="25"/>
      <c r="E2" s="25"/>
      <c r="F2" s="25"/>
      <c r="G2" s="25"/>
      <c r="H2" s="25"/>
      <c r="I2" s="471"/>
      <c r="J2" s="25"/>
      <c r="K2" s="25"/>
      <c r="L2" s="25"/>
      <c r="M2" s="25"/>
      <c r="N2" s="25"/>
      <c r="O2" s="25"/>
      <c r="P2" s="25"/>
      <c r="Q2" s="25"/>
      <c r="R2" s="25"/>
    </row>
    <row r="3" spans="1:22" ht="18">
      <c r="A3" s="25"/>
      <c r="B3" s="25"/>
      <c r="C3" s="25"/>
      <c r="D3" s="25"/>
      <c r="E3" s="25"/>
      <c r="F3" s="25"/>
      <c r="G3" s="25"/>
      <c r="H3" s="25"/>
      <c r="I3" s="471"/>
      <c r="J3" s="25"/>
      <c r="K3" s="25"/>
      <c r="L3" s="25"/>
      <c r="M3" s="25"/>
      <c r="N3" s="25"/>
      <c r="O3" s="25"/>
      <c r="P3" s="25"/>
      <c r="Q3" s="25"/>
      <c r="R3" s="25"/>
    </row>
    <row r="4" spans="1:22" ht="5.15"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2365</v>
      </c>
      <c r="K5" s="104" t="s">
        <v>2365</v>
      </c>
      <c r="L5" s="104" t="s">
        <v>2365</v>
      </c>
      <c r="M5" s="29"/>
      <c r="N5" s="29"/>
      <c r="O5" s="29"/>
      <c r="P5" s="29"/>
      <c r="Q5" s="29"/>
      <c r="R5" s="104" t="s">
        <v>2365</v>
      </c>
      <c r="S5" s="104" t="s">
        <v>2365</v>
      </c>
      <c r="T5" s="104" t="s">
        <v>2365</v>
      </c>
      <c r="U5" s="104" t="s">
        <v>2365</v>
      </c>
      <c r="V5" s="104" t="s">
        <v>2365</v>
      </c>
    </row>
    <row r="6" spans="1:22" ht="18">
      <c r="B6" s="216" t="s">
        <v>8</v>
      </c>
      <c r="C6" s="217" t="s">
        <v>9</v>
      </c>
      <c r="D6" s="217" t="s">
        <v>10</v>
      </c>
      <c r="E6" s="217" t="s">
        <v>11</v>
      </c>
      <c r="F6" s="217" t="s">
        <v>12</v>
      </c>
      <c r="G6" s="217" t="s">
        <v>636</v>
      </c>
      <c r="H6" s="217" t="s">
        <v>637</v>
      </c>
      <c r="I6" s="362" t="s">
        <v>2415</v>
      </c>
      <c r="J6" s="362" t="s">
        <v>2341</v>
      </c>
      <c r="K6" s="362" t="s">
        <v>2342</v>
      </c>
      <c r="L6" s="362" t="s">
        <v>2364</v>
      </c>
      <c r="M6" s="363" t="s">
        <v>638</v>
      </c>
      <c r="N6" s="363" t="s">
        <v>639</v>
      </c>
      <c r="O6" s="364" t="s">
        <v>640</v>
      </c>
      <c r="P6" s="365" t="s">
        <v>1843</v>
      </c>
      <c r="Q6" s="366" t="s">
        <v>1844</v>
      </c>
      <c r="R6" s="366" t="s">
        <v>2382</v>
      </c>
      <c r="S6" s="369" t="s">
        <v>2325</v>
      </c>
      <c r="T6" s="366" t="s">
        <v>2375</v>
      </c>
      <c r="U6" s="369" t="s">
        <v>1935</v>
      </c>
      <c r="V6" s="367" t="s">
        <v>1158</v>
      </c>
    </row>
    <row r="7" spans="1:22" ht="16.399999999999999" customHeight="1">
      <c r="A7" s="29" t="str">
        <f>E7&amp;F7</f>
        <v>PROPERTY_ENERGY_CERTIFICATECURRENT_ENERGY_RATING_PERCENTAGE</v>
      </c>
      <c r="B7" s="141" t="s">
        <v>26</v>
      </c>
      <c r="C7" s="137" t="s">
        <v>54</v>
      </c>
      <c r="D7" s="133" t="s">
        <v>40</v>
      </c>
      <c r="E7" s="134" t="s">
        <v>123</v>
      </c>
      <c r="F7" s="476" t="s">
        <v>1958</v>
      </c>
      <c r="G7" s="135" t="str">
        <f>VLOOKUP(A7,Plano_V3!$A$26:$G$768,7,0)</f>
        <v xml:space="preserve">6. Em implementação </v>
      </c>
      <c r="H7" s="135" t="s">
        <v>2320</v>
      </c>
      <c r="I7" s="473"/>
      <c r="J7" s="359" t="s">
        <v>2243</v>
      </c>
      <c r="K7" s="359" t="s">
        <v>2243</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2321</v>
      </c>
      <c r="V7" s="324" t="s">
        <v>1857</v>
      </c>
    </row>
    <row r="8" spans="1:22" ht="16.399999999999999" hidden="1" customHeight="1">
      <c r="A8" s="29" t="str">
        <f t="shared" ref="A8:A72" si="0">E8&amp;F8</f>
        <v>lt002_instrumentOFF_BLNC_SHT_AMNT_INSTRMNT</v>
      </c>
      <c r="B8" s="141" t="s">
        <v>26</v>
      </c>
      <c r="C8" s="137" t="s">
        <v>26</v>
      </c>
      <c r="D8" s="133" t="s">
        <v>40</v>
      </c>
      <c r="E8" s="136" t="s">
        <v>379</v>
      </c>
      <c r="F8" s="480" t="s">
        <v>1412</v>
      </c>
      <c r="G8" s="135" t="str">
        <f>VLOOKUP(A8,Plano_V3!$A$26:$G$768,7,0)</f>
        <v xml:space="preserve">6. Em implementação </v>
      </c>
      <c r="H8" s="135" t="s">
        <v>2320</v>
      </c>
      <c r="I8" s="473"/>
      <c r="J8" s="142" t="s">
        <v>2306</v>
      </c>
      <c r="K8" s="359" t="s">
        <v>2440</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2314</v>
      </c>
      <c r="S8" s="324" t="s">
        <v>2389</v>
      </c>
      <c r="T8" s="372" t="s">
        <v>2361</v>
      </c>
      <c r="U8" s="372" t="s">
        <v>2322</v>
      </c>
      <c r="V8" s="324" t="s">
        <v>1857</v>
      </c>
    </row>
    <row r="9" spans="1:22" ht="16.399999999999999" hidden="1" customHeight="1">
      <c r="A9" s="29" t="str">
        <f t="shared" si="0"/>
        <v>lt003_entityec_grp_id</v>
      </c>
      <c r="B9" s="141" t="s">
        <v>26</v>
      </c>
      <c r="C9" s="137" t="s">
        <v>26</v>
      </c>
      <c r="D9" s="133" t="s">
        <v>40</v>
      </c>
      <c r="E9" s="136" t="s">
        <v>335</v>
      </c>
      <c r="F9" s="480" t="s">
        <v>2193</v>
      </c>
      <c r="G9" s="135" t="str">
        <f>VLOOKUP(A9,Plano_V3!$A$26:$G$768,7,0)</f>
        <v xml:space="preserve">6. Em implementação </v>
      </c>
      <c r="H9" s="135" t="s">
        <v>2320</v>
      </c>
      <c r="I9" s="473"/>
      <c r="J9" s="359" t="s">
        <v>2241</v>
      </c>
      <c r="K9" s="359" t="s">
        <v>2440</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2314</v>
      </c>
      <c r="S9" s="324" t="s">
        <v>2387</v>
      </c>
      <c r="T9" s="372" t="s">
        <v>2361</v>
      </c>
      <c r="U9" s="372" t="s">
        <v>2322</v>
      </c>
      <c r="V9" s="324" t="s">
        <v>1856</v>
      </c>
    </row>
    <row r="10" spans="1:22" ht="16.399999999999999" hidden="1" customHeight="1">
      <c r="A10" s="29" t="str">
        <f t="shared" si="0"/>
        <v>lt003_entityec_grp_nm</v>
      </c>
      <c r="B10" s="141" t="s">
        <v>26</v>
      </c>
      <c r="C10" s="137" t="s">
        <v>26</v>
      </c>
      <c r="D10" s="133" t="s">
        <v>40</v>
      </c>
      <c r="E10" s="136" t="s">
        <v>335</v>
      </c>
      <c r="F10" s="480" t="s">
        <v>2194</v>
      </c>
      <c r="G10" s="135" t="str">
        <f>VLOOKUP(A10,Plano_V3!$A$26:$G$768,7,0)</f>
        <v xml:space="preserve">6. Em implementação </v>
      </c>
      <c r="H10" s="135" t="s">
        <v>2320</v>
      </c>
      <c r="I10" s="473"/>
      <c r="J10" s="359" t="s">
        <v>2241</v>
      </c>
      <c r="K10" s="359" t="s">
        <v>2440</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2314</v>
      </c>
      <c r="S10" s="324" t="s">
        <v>2387</v>
      </c>
      <c r="T10" s="372" t="s">
        <v>2361</v>
      </c>
      <c r="U10" s="372" t="s">
        <v>2322</v>
      </c>
      <c r="V10" s="324" t="s">
        <v>1856</v>
      </c>
    </row>
    <row r="11" spans="1:22" ht="16.399999999999999" hidden="1" customHeight="1">
      <c r="A11" s="29" t="str">
        <f t="shared" si="0"/>
        <v>lt004_protectionRL_ESTT_ADDRSS</v>
      </c>
      <c r="B11" s="141" t="s">
        <v>26</v>
      </c>
      <c r="C11" s="137" t="s">
        <v>26</v>
      </c>
      <c r="D11" s="133" t="s">
        <v>40</v>
      </c>
      <c r="E11" s="136" t="s">
        <v>368</v>
      </c>
      <c r="F11" s="480" t="s">
        <v>2244</v>
      </c>
      <c r="G11" s="135" t="str">
        <f>VLOOKUP(A11,Plano_V3!$A$26:$G$768,7,0)</f>
        <v xml:space="preserve">6. Em implementação </v>
      </c>
      <c r="H11" s="135" t="s">
        <v>2320</v>
      </c>
      <c r="I11" s="473"/>
      <c r="J11" s="359" t="s">
        <v>2241</v>
      </c>
      <c r="K11" s="359" t="s">
        <v>2440</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2314</v>
      </c>
      <c r="S11" s="324" t="s">
        <v>2392</v>
      </c>
      <c r="T11" s="372" t="s">
        <v>2361</v>
      </c>
      <c r="U11" s="372" t="s">
        <v>2322</v>
      </c>
      <c r="V11" s="324" t="s">
        <v>1856</v>
      </c>
    </row>
    <row r="12" spans="1:22" ht="16.399999999999999" hidden="1" customHeight="1">
      <c r="A12" s="29" t="str">
        <f t="shared" si="0"/>
        <v>lt004_protectionRL_ESTT_CLLTRL_LCTN_INT</v>
      </c>
      <c r="B12" s="141" t="s">
        <v>26</v>
      </c>
      <c r="C12" s="137" t="s">
        <v>26</v>
      </c>
      <c r="D12" s="133" t="s">
        <v>40</v>
      </c>
      <c r="E12" s="136" t="s">
        <v>368</v>
      </c>
      <c r="F12" s="480" t="s">
        <v>2245</v>
      </c>
      <c r="G12" s="135" t="str">
        <f>VLOOKUP(A12,Plano_V3!$A$26:$G$768,7,0)</f>
        <v xml:space="preserve">6. Em implementação </v>
      </c>
      <c r="H12" s="135" t="s">
        <v>2320</v>
      </c>
      <c r="I12" s="473"/>
      <c r="J12" s="359" t="s">
        <v>2242</v>
      </c>
      <c r="K12" s="359" t="s">
        <v>2440</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2314</v>
      </c>
      <c r="S12" s="324" t="s">
        <v>2392</v>
      </c>
      <c r="T12" s="372" t="s">
        <v>2361</v>
      </c>
      <c r="U12" s="372" t="s">
        <v>2322</v>
      </c>
      <c r="V12" s="324" t="s">
        <v>1856</v>
      </c>
    </row>
    <row r="13" spans="1:22" ht="16.399999999999999" hidden="1" customHeight="1">
      <c r="A13" s="29" t="str">
        <f t="shared" si="0"/>
        <v>lt004_protectionRL_ESTT_CTY</v>
      </c>
      <c r="B13" s="141" t="s">
        <v>26</v>
      </c>
      <c r="C13" s="137" t="s">
        <v>26</v>
      </c>
      <c r="D13" s="133" t="s">
        <v>40</v>
      </c>
      <c r="E13" s="136" t="s">
        <v>368</v>
      </c>
      <c r="F13" s="480" t="s">
        <v>2246</v>
      </c>
      <c r="G13" s="135" t="str">
        <f>VLOOKUP(A13,Plano_V3!$A$26:$G$768,7,0)</f>
        <v xml:space="preserve">6. Em implementação </v>
      </c>
      <c r="H13" s="135" t="s">
        <v>2320</v>
      </c>
      <c r="I13" s="473"/>
      <c r="J13" s="359" t="s">
        <v>2240</v>
      </c>
      <c r="K13" s="359" t="s">
        <v>2440</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2314</v>
      </c>
      <c r="S13" s="324" t="s">
        <v>2392</v>
      </c>
      <c r="T13" s="372" t="s">
        <v>2361</v>
      </c>
      <c r="U13" s="372" t="s">
        <v>2322</v>
      </c>
      <c r="V13" s="324" t="s">
        <v>1856</v>
      </c>
    </row>
    <row r="14" spans="1:22" ht="16.399999999999999" hidden="1" customHeight="1">
      <c r="A14" s="29" t="str">
        <f t="shared" si="0"/>
        <v>lt004_protectionYR_CNSTRCTN</v>
      </c>
      <c r="B14" s="141" t="s">
        <v>26</v>
      </c>
      <c r="C14" s="137" t="s">
        <v>26</v>
      </c>
      <c r="D14" s="133" t="s">
        <v>40</v>
      </c>
      <c r="E14" s="136" t="s">
        <v>368</v>
      </c>
      <c r="F14" s="480" t="s">
        <v>2258</v>
      </c>
      <c r="G14" s="135" t="str">
        <f>VLOOKUP(A14,Plano_V3!$A$26:$G$768,7,0)</f>
        <v xml:space="preserve">6. Em implementação </v>
      </c>
      <c r="H14" s="135" t="s">
        <v>2320</v>
      </c>
      <c r="I14" s="473"/>
      <c r="J14" s="359" t="s">
        <v>2240</v>
      </c>
      <c r="K14" s="359" t="s">
        <v>2440</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2314</v>
      </c>
      <c r="S14" s="324" t="s">
        <v>2398</v>
      </c>
      <c r="T14" s="372" t="s">
        <v>2361</v>
      </c>
      <c r="U14" s="372" t="s">
        <v>2322</v>
      </c>
      <c r="V14" s="324" t="s">
        <v>1856</v>
      </c>
    </row>
    <row r="15" spans="1:22" ht="16.399999999999999" hidden="1" customHeight="1">
      <c r="A15" s="29" t="str">
        <f t="shared" si="0"/>
        <v>lt004_protectionBLDNG_AR</v>
      </c>
      <c r="B15" s="141" t="s">
        <v>26</v>
      </c>
      <c r="C15" s="137" t="s">
        <v>26</v>
      </c>
      <c r="D15" s="133" t="s">
        <v>40</v>
      </c>
      <c r="E15" s="136" t="s">
        <v>368</v>
      </c>
      <c r="F15" s="480" t="s">
        <v>2259</v>
      </c>
      <c r="G15" s="135" t="str">
        <f>VLOOKUP(A15,Plano_V3!$A$26:$G$768,7,0)</f>
        <v xml:space="preserve">6. Em implementação </v>
      </c>
      <c r="H15" s="135" t="s">
        <v>2320</v>
      </c>
      <c r="I15" s="473"/>
      <c r="J15" s="359" t="s">
        <v>2240</v>
      </c>
      <c r="K15" s="359" t="s">
        <v>2440</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2314</v>
      </c>
      <c r="S15" s="324" t="s">
        <v>2394</v>
      </c>
      <c r="T15" s="372" t="s">
        <v>2362</v>
      </c>
      <c r="U15" s="372" t="s">
        <v>2322</v>
      </c>
      <c r="V15" s="324" t="s">
        <v>1856</v>
      </c>
    </row>
    <row r="16" spans="1:22" ht="16.399999999999999" hidden="1" customHeight="1">
      <c r="A16" s="29" t="str">
        <f t="shared" si="0"/>
        <v>lt002_instrumentNW_BSNSS</v>
      </c>
      <c r="B16" s="141" t="s">
        <v>26</v>
      </c>
      <c r="C16" s="137" t="s">
        <v>26</v>
      </c>
      <c r="D16" s="133" t="s">
        <v>40</v>
      </c>
      <c r="E16" s="136" t="s">
        <v>379</v>
      </c>
      <c r="F16" s="480" t="s">
        <v>1334</v>
      </c>
      <c r="G16" s="135" t="str">
        <f>VLOOKUP(A16,Plano_V3!$A$26:$G$768,7,0)</f>
        <v xml:space="preserve">6. Em implementação </v>
      </c>
      <c r="H16" s="135" t="s">
        <v>2320</v>
      </c>
      <c r="I16" s="473"/>
      <c r="J16" s="142" t="s">
        <v>2303</v>
      </c>
      <c r="K16" s="359" t="s">
        <v>2441</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2314</v>
      </c>
      <c r="S16" s="324" t="s">
        <v>2383</v>
      </c>
      <c r="T16" s="372" t="s">
        <v>2362</v>
      </c>
      <c r="U16" s="372" t="s">
        <v>2322</v>
      </c>
      <c r="V16" s="324" t="s">
        <v>2309</v>
      </c>
    </row>
    <row r="17" spans="1:22" ht="16.399999999999999" hidden="1" customHeight="1">
      <c r="A17" s="29" t="str">
        <f t="shared" si="0"/>
        <v>lt002_instrumentCNCLLD_INSTRMNT_STTS</v>
      </c>
      <c r="B17" s="141" t="s">
        <v>26</v>
      </c>
      <c r="C17" s="137" t="s">
        <v>26</v>
      </c>
      <c r="D17" s="133" t="s">
        <v>40</v>
      </c>
      <c r="E17" s="136" t="s">
        <v>379</v>
      </c>
      <c r="F17" s="480" t="s">
        <v>1344</v>
      </c>
      <c r="G17" s="135" t="str">
        <f>VLOOKUP(A17,Plano_V3!$A$26:$G$768,7,0)</f>
        <v>4. Validação EF</v>
      </c>
      <c r="H17" s="135" t="s">
        <v>614</v>
      </c>
      <c r="I17" s="473"/>
      <c r="J17" s="142" t="s">
        <v>2303</v>
      </c>
      <c r="K17" s="359" t="s">
        <v>2441</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2314</v>
      </c>
      <c r="S17" s="324" t="s">
        <v>2383</v>
      </c>
      <c r="T17" s="372" t="s">
        <v>2362</v>
      </c>
      <c r="U17" s="372" t="s">
        <v>2322</v>
      </c>
      <c r="V17" s="324" t="s">
        <v>2309</v>
      </c>
    </row>
    <row r="18" spans="1:22" ht="16.399999999999999" hidden="1" customHeight="1">
      <c r="A18" s="29" t="str">
        <f t="shared" si="0"/>
        <v>lt002_instrumentTYP_OFF_BLNC_PRDCT</v>
      </c>
      <c r="B18" s="141" t="s">
        <v>26</v>
      </c>
      <c r="C18" s="137" t="s">
        <v>26</v>
      </c>
      <c r="D18" s="133" t="s">
        <v>40</v>
      </c>
      <c r="E18" s="136" t="s">
        <v>379</v>
      </c>
      <c r="F18" s="480" t="s">
        <v>2174</v>
      </c>
      <c r="G18" s="135" t="str">
        <f>VLOOKUP(A18,Plano_V3!$A$26:$G$768,7,0)</f>
        <v xml:space="preserve">6. Em implementação </v>
      </c>
      <c r="H18" s="135" t="s">
        <v>2320</v>
      </c>
      <c r="I18" s="473"/>
      <c r="J18" s="361" t="s">
        <v>2401</v>
      </c>
      <c r="K18" s="359" t="s">
        <v>2441</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2314</v>
      </c>
      <c r="S18" s="324" t="s">
        <v>2393</v>
      </c>
      <c r="T18" s="372" t="s">
        <v>2361</v>
      </c>
      <c r="U18" s="372" t="s">
        <v>2322</v>
      </c>
      <c r="V18" s="324" t="s">
        <v>1856</v>
      </c>
    </row>
    <row r="19" spans="1:22" ht="16.399999999999999" hidden="1" customHeight="1">
      <c r="A19" s="29" t="str">
        <f t="shared" si="0"/>
        <v>modesg_out_empr_info_nfinppc_trnvr_ttl_elgbl</v>
      </c>
      <c r="B19" s="141" t="s">
        <v>26</v>
      </c>
      <c r="C19" s="137" t="s">
        <v>310</v>
      </c>
      <c r="D19" s="133" t="s">
        <v>40</v>
      </c>
      <c r="E19" s="134" t="s">
        <v>325</v>
      </c>
      <c r="F19" s="476" t="s">
        <v>259</v>
      </c>
      <c r="G19" s="135" t="str">
        <f>VLOOKUP(A19,Plano_V3!$A$26:$G$768,7,0)</f>
        <v>1. Concluído</v>
      </c>
      <c r="H19" s="135" t="s">
        <v>612</v>
      </c>
      <c r="I19" s="473"/>
      <c r="J19" s="368" t="s">
        <v>2243</v>
      </c>
      <c r="K19" s="359" t="s">
        <v>2307</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2322</v>
      </c>
      <c r="V19" s="324"/>
    </row>
    <row r="20" spans="1:22" ht="16.399999999999999" hidden="1" customHeight="1">
      <c r="A20" s="29" t="str">
        <f t="shared" si="0"/>
        <v>modesg_out_empr_info_nfinppc_turnover_own_prfrmnce_algnd</v>
      </c>
      <c r="B20" s="141" t="s">
        <v>26</v>
      </c>
      <c r="C20" s="137" t="s">
        <v>310</v>
      </c>
      <c r="D20" s="133" t="s">
        <v>40</v>
      </c>
      <c r="E20" s="134" t="s">
        <v>325</v>
      </c>
      <c r="F20" s="476" t="s">
        <v>260</v>
      </c>
      <c r="G20" s="135" t="str">
        <f>VLOOKUP(A20,Plano_V3!$A$26:$G$768,7,0)</f>
        <v>1. Concluído</v>
      </c>
      <c r="H20" s="135" t="s">
        <v>612</v>
      </c>
      <c r="I20" s="473"/>
      <c r="J20" s="368" t="s">
        <v>2243</v>
      </c>
      <c r="K20" s="359" t="s">
        <v>2307</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2322</v>
      </c>
      <c r="V20" s="324"/>
    </row>
    <row r="21" spans="1:22" ht="16.399999999999999" hidden="1" customHeight="1">
      <c r="A21" s="29" t="str">
        <f t="shared" si="0"/>
        <v>modesg_out_empr_info_nfinppc_capex_ttl_elgbl</v>
      </c>
      <c r="B21" s="141" t="s">
        <v>26</v>
      </c>
      <c r="C21" s="137" t="s">
        <v>310</v>
      </c>
      <c r="D21" s="133" t="s">
        <v>40</v>
      </c>
      <c r="E21" s="134" t="s">
        <v>325</v>
      </c>
      <c r="F21" s="476" t="s">
        <v>261</v>
      </c>
      <c r="G21" s="135" t="str">
        <f>VLOOKUP(A21,Plano_V3!$A$26:$G$768,7,0)</f>
        <v>1. Concluído</v>
      </c>
      <c r="H21" s="135" t="s">
        <v>612</v>
      </c>
      <c r="I21" s="473"/>
      <c r="J21" s="368" t="s">
        <v>2243</v>
      </c>
      <c r="K21" s="359" t="s">
        <v>2307</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2322</v>
      </c>
      <c r="V21" s="324"/>
    </row>
    <row r="22" spans="1:22" ht="16.399999999999999" hidden="1" customHeight="1">
      <c r="A22" s="29" t="str">
        <f t="shared" si="0"/>
        <v>modesg_out_empr_info_nfinppc_capex_own_prfrmnce_algnd</v>
      </c>
      <c r="B22" s="141" t="s">
        <v>26</v>
      </c>
      <c r="C22" s="137" t="s">
        <v>310</v>
      </c>
      <c r="D22" s="133" t="s">
        <v>40</v>
      </c>
      <c r="E22" s="134" t="s">
        <v>325</v>
      </c>
      <c r="F22" s="476" t="s">
        <v>262</v>
      </c>
      <c r="G22" s="135" t="str">
        <f>VLOOKUP(A22,Plano_V3!$A$26:$G$768,7,0)</f>
        <v>1. Concluído</v>
      </c>
      <c r="H22" s="135" t="s">
        <v>612</v>
      </c>
      <c r="I22" s="473"/>
      <c r="J22" s="368" t="s">
        <v>2243</v>
      </c>
      <c r="K22" s="359" t="s">
        <v>2307</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2322</v>
      </c>
      <c r="V22" s="324"/>
    </row>
    <row r="23" spans="1:22" ht="16.399999999999999" hidden="1" customHeight="1">
      <c r="A23" s="29" t="str">
        <f t="shared" si="0"/>
        <v>modesg_out_empr_info_nfinbio_trnvr_ttl_elgbl</v>
      </c>
      <c r="B23" s="141" t="s">
        <v>26</v>
      </c>
      <c r="C23" s="137" t="s">
        <v>310</v>
      </c>
      <c r="D23" s="133" t="s">
        <v>40</v>
      </c>
      <c r="E23" s="134" t="s">
        <v>325</v>
      </c>
      <c r="F23" s="476" t="s">
        <v>263</v>
      </c>
      <c r="G23" s="135" t="str">
        <f>VLOOKUP(A23,Plano_V3!$A$26:$G$768,7,0)</f>
        <v>1. Concluído</v>
      </c>
      <c r="H23" s="135" t="s">
        <v>612</v>
      </c>
      <c r="I23" s="473"/>
      <c r="J23" s="368" t="s">
        <v>2243</v>
      </c>
      <c r="K23" s="359" t="s">
        <v>2307</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2322</v>
      </c>
      <c r="V23" s="324"/>
    </row>
    <row r="24" spans="1:22" ht="16.399999999999999" hidden="1" customHeight="1">
      <c r="A24" s="29" t="str">
        <f t="shared" si="0"/>
        <v>modesg_out_empr_info_nfinbio_turnover_own_prfrmnce_algnd</v>
      </c>
      <c r="B24" s="141" t="s">
        <v>26</v>
      </c>
      <c r="C24" s="137" t="s">
        <v>310</v>
      </c>
      <c r="D24" s="133" t="s">
        <v>40</v>
      </c>
      <c r="E24" s="134" t="s">
        <v>325</v>
      </c>
      <c r="F24" s="476" t="s">
        <v>264</v>
      </c>
      <c r="G24" s="135" t="str">
        <f>VLOOKUP(A24,Plano_V3!$A$26:$G$768,7,0)</f>
        <v>1. Concluído</v>
      </c>
      <c r="H24" s="135" t="s">
        <v>612</v>
      </c>
      <c r="I24" s="473"/>
      <c r="J24" s="368" t="s">
        <v>2243</v>
      </c>
      <c r="K24" s="359" t="s">
        <v>2307</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2322</v>
      </c>
      <c r="V24" s="324"/>
    </row>
    <row r="25" spans="1:22" ht="16.399999999999999" hidden="1" customHeight="1">
      <c r="A25" s="29" t="str">
        <f t="shared" si="0"/>
        <v>modesg_out_empr_info_nfinbio_capex_ttl_elgbl</v>
      </c>
      <c r="B25" s="141" t="s">
        <v>26</v>
      </c>
      <c r="C25" s="137" t="s">
        <v>310</v>
      </c>
      <c r="D25" s="133" t="s">
        <v>40</v>
      </c>
      <c r="E25" s="134" t="s">
        <v>325</v>
      </c>
      <c r="F25" s="476" t="s">
        <v>265</v>
      </c>
      <c r="G25" s="135" t="str">
        <f>VLOOKUP(A25,Plano_V3!$A$26:$G$768,7,0)</f>
        <v>1. Concluído</v>
      </c>
      <c r="H25" s="135" t="s">
        <v>612</v>
      </c>
      <c r="I25" s="473"/>
      <c r="J25" s="368" t="s">
        <v>2243</v>
      </c>
      <c r="K25" s="359" t="s">
        <v>2307</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2322</v>
      </c>
      <c r="V25" s="324"/>
    </row>
    <row r="26" spans="1:22" ht="16.399999999999999" hidden="1" customHeight="1">
      <c r="A26" s="29" t="str">
        <f t="shared" si="0"/>
        <v>modesg_out_empr_info_nfinbio_capex_own_prfrmnce_algnd</v>
      </c>
      <c r="B26" s="141" t="s">
        <v>26</v>
      </c>
      <c r="C26" s="137" t="s">
        <v>310</v>
      </c>
      <c r="D26" s="133" t="s">
        <v>40</v>
      </c>
      <c r="E26" s="134" t="s">
        <v>325</v>
      </c>
      <c r="F26" s="476" t="s">
        <v>266</v>
      </c>
      <c r="G26" s="135" t="str">
        <f>VLOOKUP(A26,Plano_V3!$A$26:$G$768,7,0)</f>
        <v>1. Concluído</v>
      </c>
      <c r="H26" s="135" t="s">
        <v>612</v>
      </c>
      <c r="I26" s="473"/>
      <c r="J26" s="368" t="s">
        <v>2243</v>
      </c>
      <c r="K26" s="359" t="s">
        <v>2307</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2322</v>
      </c>
      <c r="V26" s="324"/>
    </row>
    <row r="27" spans="1:22" ht="16.399999999999999" hidden="1" customHeight="1">
      <c r="A27" s="29" t="str">
        <f t="shared" si="0"/>
        <v>modesg_out_empr_info_nfinwtr_trnvr_ttl_elgbl</v>
      </c>
      <c r="B27" s="141" t="s">
        <v>26</v>
      </c>
      <c r="C27" s="137" t="s">
        <v>310</v>
      </c>
      <c r="D27" s="133" t="s">
        <v>40</v>
      </c>
      <c r="E27" s="134" t="s">
        <v>325</v>
      </c>
      <c r="F27" s="476" t="s">
        <v>267</v>
      </c>
      <c r="G27" s="135" t="str">
        <f>VLOOKUP(A27,Plano_V3!$A$26:$G$768,7,0)</f>
        <v>1. Concluído</v>
      </c>
      <c r="H27" s="135" t="s">
        <v>612</v>
      </c>
      <c r="I27" s="473"/>
      <c r="J27" s="368" t="s">
        <v>2243</v>
      </c>
      <c r="K27" s="359" t="s">
        <v>2307</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2322</v>
      </c>
      <c r="V27" s="324"/>
    </row>
    <row r="28" spans="1:22" ht="16.399999999999999" hidden="1" customHeight="1">
      <c r="A28" s="29" t="str">
        <f t="shared" si="0"/>
        <v>modesg_out_empr_info_nfinwtr_trnvr_enblng_alignd</v>
      </c>
      <c r="B28" s="141" t="s">
        <v>26</v>
      </c>
      <c r="C28" s="137" t="s">
        <v>310</v>
      </c>
      <c r="D28" s="133" t="s">
        <v>40</v>
      </c>
      <c r="E28" s="134" t="s">
        <v>325</v>
      </c>
      <c r="F28" s="476" t="s">
        <v>268</v>
      </c>
      <c r="G28" s="135" t="str">
        <f>VLOOKUP(A28,Plano_V3!$A$26:$G$768,7,0)</f>
        <v>1. Concluído</v>
      </c>
      <c r="H28" s="135" t="s">
        <v>612</v>
      </c>
      <c r="I28" s="473"/>
      <c r="J28" s="368" t="s">
        <v>2243</v>
      </c>
      <c r="K28" s="359" t="s">
        <v>2307</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2322</v>
      </c>
      <c r="V28" s="324"/>
    </row>
    <row r="29" spans="1:22" ht="16.399999999999999" hidden="1" customHeight="1">
      <c r="A29" s="29" t="str">
        <f t="shared" si="0"/>
        <v>modesg_out_empr_info_nfinwtr_turnover_own_prfrmnce_algnd</v>
      </c>
      <c r="B29" s="141" t="s">
        <v>26</v>
      </c>
      <c r="C29" s="137" t="s">
        <v>310</v>
      </c>
      <c r="D29" s="133" t="s">
        <v>40</v>
      </c>
      <c r="E29" s="134" t="s">
        <v>325</v>
      </c>
      <c r="F29" s="476" t="s">
        <v>269</v>
      </c>
      <c r="G29" s="135" t="str">
        <f>VLOOKUP(A29,Plano_V3!$A$26:$G$768,7,0)</f>
        <v>1. Concluído</v>
      </c>
      <c r="H29" s="135" t="s">
        <v>612</v>
      </c>
      <c r="I29" s="473"/>
      <c r="J29" s="368" t="s">
        <v>2243</v>
      </c>
      <c r="K29" s="359" t="s">
        <v>2307</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2322</v>
      </c>
      <c r="V29" s="324"/>
    </row>
    <row r="30" spans="1:22" ht="16.399999999999999" hidden="1" customHeight="1">
      <c r="A30" s="29" t="str">
        <f t="shared" si="0"/>
        <v>modesg_out_empr_info_nfinwtr_capex_ttl_elgbl</v>
      </c>
      <c r="B30" s="141" t="s">
        <v>26</v>
      </c>
      <c r="C30" s="137" t="s">
        <v>310</v>
      </c>
      <c r="D30" s="133" t="s">
        <v>40</v>
      </c>
      <c r="E30" s="134" t="s">
        <v>325</v>
      </c>
      <c r="F30" s="476" t="s">
        <v>270</v>
      </c>
      <c r="G30" s="135" t="str">
        <f>VLOOKUP(A30,Plano_V3!$A$26:$G$768,7,0)</f>
        <v>1. Concluído</v>
      </c>
      <c r="H30" s="135" t="s">
        <v>612</v>
      </c>
      <c r="I30" s="473"/>
      <c r="J30" s="368" t="s">
        <v>2243</v>
      </c>
      <c r="K30" s="359" t="s">
        <v>2307</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2322</v>
      </c>
      <c r="V30" s="324"/>
    </row>
    <row r="31" spans="1:22" ht="16.399999999999999" hidden="1" customHeight="1">
      <c r="A31" s="29" t="str">
        <f t="shared" si="0"/>
        <v>modesg_out_empr_info_nfinwtr_capex_enblng_algnd</v>
      </c>
      <c r="B31" s="141" t="s">
        <v>26</v>
      </c>
      <c r="C31" s="137" t="s">
        <v>310</v>
      </c>
      <c r="D31" s="133" t="s">
        <v>40</v>
      </c>
      <c r="E31" s="134" t="s">
        <v>325</v>
      </c>
      <c r="F31" s="476" t="s">
        <v>271</v>
      </c>
      <c r="G31" s="135" t="str">
        <f>VLOOKUP(A31,Plano_V3!$A$26:$G$768,7,0)</f>
        <v>1. Concluído</v>
      </c>
      <c r="H31" s="135" t="s">
        <v>612</v>
      </c>
      <c r="I31" s="473"/>
      <c r="J31" s="368" t="s">
        <v>2243</v>
      </c>
      <c r="K31" s="359" t="s">
        <v>2307</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2322</v>
      </c>
      <c r="V31" s="324"/>
    </row>
    <row r="32" spans="1:22" ht="16.399999999999999" hidden="1" customHeight="1">
      <c r="A32" s="29" t="str">
        <f t="shared" si="0"/>
        <v>modesg_out_empr_info_nfinwtr_capex_own_prfrmnce_algnd</v>
      </c>
      <c r="B32" s="141" t="s">
        <v>26</v>
      </c>
      <c r="C32" s="137" t="s">
        <v>310</v>
      </c>
      <c r="D32" s="133" t="s">
        <v>40</v>
      </c>
      <c r="E32" s="134" t="s">
        <v>325</v>
      </c>
      <c r="F32" s="476" t="s">
        <v>272</v>
      </c>
      <c r="G32" s="135" t="str">
        <f>VLOOKUP(A32,Plano_V3!$A$26:$G$768,7,0)</f>
        <v>1. Concluído</v>
      </c>
      <c r="H32" s="135" t="s">
        <v>612</v>
      </c>
      <c r="I32" s="473"/>
      <c r="J32" s="368" t="s">
        <v>2243</v>
      </c>
      <c r="K32" s="359" t="s">
        <v>2307</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2322</v>
      </c>
      <c r="V32" s="324"/>
    </row>
    <row r="33" spans="1:22" ht="16.399999999999999" hidden="1" customHeight="1">
      <c r="A33" s="29" t="str">
        <f t="shared" si="0"/>
        <v>modesg_out_empr_info_nfince_trnvr_ttl_elgbl</v>
      </c>
      <c r="B33" s="141" t="s">
        <v>26</v>
      </c>
      <c r="C33" s="137" t="s">
        <v>310</v>
      </c>
      <c r="D33" s="133" t="s">
        <v>40</v>
      </c>
      <c r="E33" s="134" t="s">
        <v>325</v>
      </c>
      <c r="F33" s="476" t="s">
        <v>273</v>
      </c>
      <c r="G33" s="135" t="str">
        <f>VLOOKUP(A33,Plano_V3!$A$26:$G$768,7,0)</f>
        <v>1. Concluído</v>
      </c>
      <c r="H33" s="135" t="s">
        <v>612</v>
      </c>
      <c r="I33" s="473"/>
      <c r="J33" s="368" t="s">
        <v>2243</v>
      </c>
      <c r="K33" s="359" t="s">
        <v>2307</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2322</v>
      </c>
      <c r="V33" s="324"/>
    </row>
    <row r="34" spans="1:22" ht="16.399999999999999" hidden="1" customHeight="1">
      <c r="A34" s="29" t="str">
        <f t="shared" si="0"/>
        <v>modesg_out_empr_info_nfince_trnvr_enblng_alignd</v>
      </c>
      <c r="B34" s="141" t="s">
        <v>26</v>
      </c>
      <c r="C34" s="137" t="s">
        <v>310</v>
      </c>
      <c r="D34" s="133" t="s">
        <v>40</v>
      </c>
      <c r="E34" s="134" t="s">
        <v>325</v>
      </c>
      <c r="F34" s="476" t="s">
        <v>274</v>
      </c>
      <c r="G34" s="135" t="str">
        <f>VLOOKUP(A34,Plano_V3!$A$26:$G$768,7,0)</f>
        <v>1. Concluído</v>
      </c>
      <c r="H34" s="135" t="s">
        <v>612</v>
      </c>
      <c r="I34" s="473"/>
      <c r="J34" s="368" t="s">
        <v>2243</v>
      </c>
      <c r="K34" s="359" t="s">
        <v>2307</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2322</v>
      </c>
      <c r="V34" s="324"/>
    </row>
    <row r="35" spans="1:22" ht="16.399999999999999" hidden="1" customHeight="1">
      <c r="A35" s="29" t="str">
        <f t="shared" si="0"/>
        <v>modesg_out_empr_info_nfince_turnover_own_prfrmnce_algnd</v>
      </c>
      <c r="B35" s="141" t="s">
        <v>26</v>
      </c>
      <c r="C35" s="137" t="s">
        <v>310</v>
      </c>
      <c r="D35" s="133" t="s">
        <v>40</v>
      </c>
      <c r="E35" s="134" t="s">
        <v>325</v>
      </c>
      <c r="F35" s="476" t="s">
        <v>275</v>
      </c>
      <c r="G35" s="135" t="str">
        <f>VLOOKUP(A35,Plano_V3!$A$26:$G$768,7,0)</f>
        <v>1. Concluído</v>
      </c>
      <c r="H35" s="135" t="s">
        <v>612</v>
      </c>
      <c r="I35" s="473"/>
      <c r="J35" s="368" t="s">
        <v>2243</v>
      </c>
      <c r="K35" s="359" t="s">
        <v>2307</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2322</v>
      </c>
      <c r="V35" s="324"/>
    </row>
    <row r="36" spans="1:22" ht="16.399999999999999" hidden="1" customHeight="1">
      <c r="A36" s="29" t="str">
        <f t="shared" si="0"/>
        <v>modesg_out_empr_info_nfince_capex_ttl_elgbl</v>
      </c>
      <c r="B36" s="141" t="s">
        <v>26</v>
      </c>
      <c r="C36" s="137" t="s">
        <v>310</v>
      </c>
      <c r="D36" s="133" t="s">
        <v>40</v>
      </c>
      <c r="E36" s="134" t="s">
        <v>325</v>
      </c>
      <c r="F36" s="476" t="s">
        <v>276</v>
      </c>
      <c r="G36" s="135" t="str">
        <f>VLOOKUP(A36,Plano_V3!$A$26:$G$768,7,0)</f>
        <v>1. Concluído</v>
      </c>
      <c r="H36" s="135" t="s">
        <v>612</v>
      </c>
      <c r="I36" s="473"/>
      <c r="J36" s="368" t="s">
        <v>2243</v>
      </c>
      <c r="K36" s="359" t="s">
        <v>2307</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2322</v>
      </c>
      <c r="V36" s="324"/>
    </row>
    <row r="37" spans="1:22" ht="16.399999999999999" hidden="1" customHeight="1">
      <c r="A37" s="29" t="str">
        <f t="shared" si="0"/>
        <v>modesg_out_empr_info_nfince_capex_enblng_algnd</v>
      </c>
      <c r="B37" s="141" t="s">
        <v>26</v>
      </c>
      <c r="C37" s="137" t="s">
        <v>310</v>
      </c>
      <c r="D37" s="133" t="s">
        <v>40</v>
      </c>
      <c r="E37" s="134" t="s">
        <v>325</v>
      </c>
      <c r="F37" s="476" t="s">
        <v>277</v>
      </c>
      <c r="G37" s="135" t="str">
        <f>VLOOKUP(A37,Plano_V3!$A$26:$G$768,7,0)</f>
        <v>1. Concluído</v>
      </c>
      <c r="H37" s="135" t="s">
        <v>612</v>
      </c>
      <c r="I37" s="473"/>
      <c r="J37" s="368" t="s">
        <v>2243</v>
      </c>
      <c r="K37" s="359" t="s">
        <v>2307</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2322</v>
      </c>
      <c r="V37" s="324"/>
    </row>
    <row r="38" spans="1:22" ht="16.399999999999999" hidden="1" customHeight="1">
      <c r="A38" s="29" t="str">
        <f t="shared" si="0"/>
        <v>modesg_out_empr_info_nfince_capex_own_prfrmnce_algnd</v>
      </c>
      <c r="B38" s="141" t="s">
        <v>26</v>
      </c>
      <c r="C38" s="137" t="s">
        <v>310</v>
      </c>
      <c r="D38" s="133" t="s">
        <v>40</v>
      </c>
      <c r="E38" s="134" t="s">
        <v>325</v>
      </c>
      <c r="F38" s="476" t="s">
        <v>278</v>
      </c>
      <c r="G38" s="135" t="str">
        <f>VLOOKUP(A38,Plano_V3!$A$26:$G$768,7,0)</f>
        <v>1. Concluído</v>
      </c>
      <c r="H38" s="135" t="s">
        <v>612</v>
      </c>
      <c r="I38" s="473"/>
      <c r="J38" s="368" t="s">
        <v>2243</v>
      </c>
      <c r="K38" s="359" t="s">
        <v>2307</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2322</v>
      </c>
      <c r="V38" s="372"/>
    </row>
    <row r="39" spans="1:22" ht="16.399999999999999" hidden="1" customHeight="1">
      <c r="A39" s="29" t="str">
        <f t="shared" si="0"/>
        <v>lt007_instr_activityPRCNTG_ACTVTY</v>
      </c>
      <c r="B39" s="141" t="s">
        <v>26</v>
      </c>
      <c r="C39" s="137" t="s">
        <v>26</v>
      </c>
      <c r="D39" s="133" t="s">
        <v>40</v>
      </c>
      <c r="E39" s="136" t="s">
        <v>1860</v>
      </c>
      <c r="F39" s="480" t="s">
        <v>2292</v>
      </c>
      <c r="G39" s="135" t="str">
        <f>VLOOKUP(A39,Plano_V3!$A$26:$G$768,7,0)</f>
        <v xml:space="preserve">6. Em implementação </v>
      </c>
      <c r="H39" s="135" t="s">
        <v>2320</v>
      </c>
      <c r="I39" s="473"/>
      <c r="J39" s="359" t="s">
        <v>2242</v>
      </c>
      <c r="K39" s="359" t="s">
        <v>2442</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2314</v>
      </c>
      <c r="S39" s="324" t="s">
        <v>2383</v>
      </c>
      <c r="T39" s="372" t="s">
        <v>2362</v>
      </c>
      <c r="U39" s="372" t="s">
        <v>2322</v>
      </c>
      <c r="V39" s="324" t="s">
        <v>2309</v>
      </c>
    </row>
    <row r="40" spans="1:22" ht="16.399999999999999" hidden="1" customHeight="1">
      <c r="A40" s="29" t="str">
        <f t="shared" si="0"/>
        <v>lt007_instr_activityFLG_SBSTNTL_CNTRBTN</v>
      </c>
      <c r="B40" s="141" t="s">
        <v>26</v>
      </c>
      <c r="C40" s="137" t="s">
        <v>26</v>
      </c>
      <c r="D40" s="133" t="s">
        <v>40</v>
      </c>
      <c r="E40" s="136" t="s">
        <v>1860</v>
      </c>
      <c r="F40" s="480" t="s">
        <v>2293</v>
      </c>
      <c r="G40" s="135" t="str">
        <f>VLOOKUP(A40,Plano_V3!$A$26:$G$768,7,0)</f>
        <v xml:space="preserve">6. Em implementação </v>
      </c>
      <c r="H40" s="135" t="s">
        <v>2320</v>
      </c>
      <c r="I40" s="473"/>
      <c r="J40" s="359" t="s">
        <v>2242</v>
      </c>
      <c r="K40" s="359" t="s">
        <v>2442</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2314</v>
      </c>
      <c r="S40" s="324" t="s">
        <v>2384</v>
      </c>
      <c r="T40" s="372" t="s">
        <v>2362</v>
      </c>
      <c r="U40" s="372" t="s">
        <v>2322</v>
      </c>
      <c r="V40" s="324" t="s">
        <v>2309</v>
      </c>
    </row>
    <row r="41" spans="1:22" ht="16.399999999999999" hidden="1" customHeight="1">
      <c r="A41" s="29" t="str">
        <f t="shared" si="0"/>
        <v>lt003_entitygrp_ecnmc_actvty</v>
      </c>
      <c r="B41" s="141" t="s">
        <v>26</v>
      </c>
      <c r="C41" s="137" t="s">
        <v>26</v>
      </c>
      <c r="D41" s="133" t="s">
        <v>40</v>
      </c>
      <c r="E41" s="136" t="s">
        <v>335</v>
      </c>
      <c r="F41" s="480" t="s">
        <v>2195</v>
      </c>
      <c r="G41" s="135" t="str">
        <f>VLOOKUP(A41,Plano_V3!$A$26:$G$768,7,0)</f>
        <v xml:space="preserve">6. Em implementação </v>
      </c>
      <c r="H41" s="135" t="s">
        <v>2320</v>
      </c>
      <c r="I41" s="473"/>
      <c r="J41" s="359" t="s">
        <v>2242</v>
      </c>
      <c r="K41" s="359" t="s">
        <v>2442</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2314</v>
      </c>
      <c r="S41" s="324" t="s">
        <v>2395</v>
      </c>
      <c r="T41" s="372" t="s">
        <v>2362</v>
      </c>
      <c r="U41" s="372" t="s">
        <v>2322</v>
      </c>
      <c r="V41" s="324" t="s">
        <v>1856</v>
      </c>
    </row>
    <row r="42" spans="1:22" ht="16.399999999999999" hidden="1" customHeight="1">
      <c r="A42" s="29" t="str">
        <f t="shared" si="0"/>
        <v>lt006_instr_protTYP_RLTN</v>
      </c>
      <c r="B42" s="141" t="s">
        <v>26</v>
      </c>
      <c r="C42" s="137" t="s">
        <v>26</v>
      </c>
      <c r="D42" s="133" t="s">
        <v>40</v>
      </c>
      <c r="E42" s="136" t="s">
        <v>441</v>
      </c>
      <c r="F42" s="480" t="s">
        <v>2290</v>
      </c>
      <c r="G42" s="135" t="str">
        <f>VLOOKUP(A42,Plano_V3!$A$26:$G$768,7,0)</f>
        <v xml:space="preserve">6. Em implementação </v>
      </c>
      <c r="H42" s="135" t="s">
        <v>2320</v>
      </c>
      <c r="I42" s="473"/>
      <c r="J42" s="359" t="s">
        <v>2242</v>
      </c>
      <c r="K42" s="359" t="s">
        <v>2442</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2314</v>
      </c>
      <c r="S42" s="324" t="s">
        <v>2396</v>
      </c>
      <c r="T42" s="372" t="s">
        <v>2362</v>
      </c>
      <c r="U42" s="372" t="s">
        <v>2322</v>
      </c>
      <c r="V42" s="324" t="s">
        <v>1856</v>
      </c>
    </row>
    <row r="43" spans="1:22" ht="16.399999999999999" hidden="1" customHeight="1">
      <c r="A43" s="29" t="str">
        <f t="shared" si="0"/>
        <v>lt004_protectionEPC_EMSSNS_LBL</v>
      </c>
      <c r="B43" s="141" t="s">
        <v>26</v>
      </c>
      <c r="C43" s="137" t="s">
        <v>26</v>
      </c>
      <c r="D43" s="133" t="s">
        <v>40</v>
      </c>
      <c r="E43" s="136" t="s">
        <v>368</v>
      </c>
      <c r="F43" s="480" t="s">
        <v>2248</v>
      </c>
      <c r="G43" s="135" t="str">
        <f>VLOOKUP(A43,Plano_V3!$A$26:$G$768,7,0)</f>
        <v xml:space="preserve">6. Em implementação </v>
      </c>
      <c r="H43" s="135" t="s">
        <v>2320</v>
      </c>
      <c r="I43" s="473"/>
      <c r="J43" s="359" t="s">
        <v>2241</v>
      </c>
      <c r="K43" s="359" t="s">
        <v>2442</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2314</v>
      </c>
      <c r="S43" s="324" t="s">
        <v>2397</v>
      </c>
      <c r="T43" s="372" t="s">
        <v>2362</v>
      </c>
      <c r="U43" s="372" t="s">
        <v>2322</v>
      </c>
      <c r="V43" s="324" t="s">
        <v>1856</v>
      </c>
    </row>
    <row r="44" spans="1:22" ht="16.399999999999999" hidden="1" customHeight="1">
      <c r="A44" s="29" t="str">
        <f t="shared" si="0"/>
        <v>lt004_protectionTYP_EMSSNS_SCR</v>
      </c>
      <c r="B44" s="141" t="s">
        <v>26</v>
      </c>
      <c r="C44" s="137" t="s">
        <v>26</v>
      </c>
      <c r="D44" s="133" t="s">
        <v>40</v>
      </c>
      <c r="E44" s="136" t="s">
        <v>368</v>
      </c>
      <c r="F44" s="480" t="s">
        <v>2250</v>
      </c>
      <c r="G44" s="135" t="str">
        <f>VLOOKUP(A44,Plano_V3!$A$26:$G$768,7,0)</f>
        <v xml:space="preserve">6. Em implementação </v>
      </c>
      <c r="H44" s="135" t="s">
        <v>2320</v>
      </c>
      <c r="I44" s="473"/>
      <c r="J44" s="359" t="s">
        <v>2241</v>
      </c>
      <c r="K44" s="359" t="s">
        <v>2442</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2314</v>
      </c>
      <c r="S44" s="324" t="s">
        <v>2397</v>
      </c>
      <c r="T44" s="372" t="s">
        <v>2362</v>
      </c>
      <c r="U44" s="372" t="s">
        <v>2322</v>
      </c>
      <c r="V44" s="324" t="s">
        <v>1856</v>
      </c>
    </row>
    <row r="45" spans="1:22" ht="16.399999999999999" hidden="1" customHeight="1">
      <c r="A45" s="29" t="str">
        <f t="shared" si="0"/>
        <v>lt004_protectionEPC_EMSSNS_SCR</v>
      </c>
      <c r="B45" s="141" t="s">
        <v>26</v>
      </c>
      <c r="C45" s="137" t="s">
        <v>26</v>
      </c>
      <c r="D45" s="133" t="s">
        <v>40</v>
      </c>
      <c r="E45" s="136" t="s">
        <v>368</v>
      </c>
      <c r="F45" s="480" t="s">
        <v>2251</v>
      </c>
      <c r="G45" s="135" t="str">
        <f>VLOOKUP(A45,Plano_V3!$A$26:$G$768,7,0)</f>
        <v xml:space="preserve">6. Em implementação </v>
      </c>
      <c r="H45" s="135" t="s">
        <v>2320</v>
      </c>
      <c r="I45" s="473"/>
      <c r="J45" s="359" t="s">
        <v>2241</v>
      </c>
      <c r="K45" s="359" t="s">
        <v>2442</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2314</v>
      </c>
      <c r="S45" s="324" t="s">
        <v>2397</v>
      </c>
      <c r="T45" s="372" t="s">
        <v>2362</v>
      </c>
      <c r="U45" s="372" t="s">
        <v>2322</v>
      </c>
      <c r="V45" s="324" t="s">
        <v>1856</v>
      </c>
    </row>
    <row r="46" spans="1:22" ht="16.399999999999999" hidden="1" customHeight="1">
      <c r="A46" s="29" t="str">
        <f t="shared" si="0"/>
        <v>lt004_protectionTYP_VHCL</v>
      </c>
      <c r="B46" s="141" t="s">
        <v>26</v>
      </c>
      <c r="C46" s="137" t="s">
        <v>26</v>
      </c>
      <c r="D46" s="133" t="s">
        <v>40</v>
      </c>
      <c r="E46" s="136" t="s">
        <v>368</v>
      </c>
      <c r="F46" s="480" t="s">
        <v>2261</v>
      </c>
      <c r="G46" s="135" t="str">
        <f>VLOOKUP(A46,Plano_V3!$A$26:$G$768,7,0)</f>
        <v xml:space="preserve">6. Em implementação </v>
      </c>
      <c r="H46" s="135" t="s">
        <v>2320</v>
      </c>
      <c r="I46" s="473"/>
      <c r="J46" s="359" t="s">
        <v>2241</v>
      </c>
      <c r="K46" s="359" t="s">
        <v>2442</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2314</v>
      </c>
      <c r="S46" s="324" t="s">
        <v>2399</v>
      </c>
      <c r="T46" s="372" t="s">
        <v>2362</v>
      </c>
      <c r="U46" s="372" t="s">
        <v>2322</v>
      </c>
      <c r="V46" s="324" t="s">
        <v>1856</v>
      </c>
    </row>
    <row r="47" spans="1:22" ht="16.399999999999999" hidden="1" customHeight="1">
      <c r="A47" s="29" t="str">
        <f t="shared" si="0"/>
        <v>lt004_protectionPRMRY_ENRGY_DMND_TTL</v>
      </c>
      <c r="B47" s="141" t="s">
        <v>26</v>
      </c>
      <c r="C47" s="137" t="s">
        <v>26</v>
      </c>
      <c r="D47" s="133" t="s">
        <v>40</v>
      </c>
      <c r="E47" s="136" t="s">
        <v>368</v>
      </c>
      <c r="F47" s="480" t="s">
        <v>2264</v>
      </c>
      <c r="G47" s="135" t="str">
        <f>VLOOKUP(A47,Plano_V3!$A$26:$G$768,7,0)</f>
        <v xml:space="preserve">6. Em implementação </v>
      </c>
      <c r="H47" s="135" t="s">
        <v>2320</v>
      </c>
      <c r="I47" s="473"/>
      <c r="J47" s="359" t="s">
        <v>2241</v>
      </c>
      <c r="K47" s="359" t="s">
        <v>2442</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2314</v>
      </c>
      <c r="S47" s="324" t="s">
        <v>2394</v>
      </c>
      <c r="T47" s="372" t="s">
        <v>2362</v>
      </c>
      <c r="U47" s="372" t="s">
        <v>2322</v>
      </c>
      <c r="V47" s="324" t="s">
        <v>1857</v>
      </c>
    </row>
    <row r="48" spans="1:22" ht="16.399999999999999" hidden="1" customHeight="1">
      <c r="A48" s="29" t="str">
        <f t="shared" si="0"/>
        <v>lt004_protectionPRMRY_ENRGY_DMND_RFRNC_VL</v>
      </c>
      <c r="B48" s="141" t="s">
        <v>26</v>
      </c>
      <c r="C48" s="137" t="s">
        <v>26</v>
      </c>
      <c r="D48" s="133" t="s">
        <v>40</v>
      </c>
      <c r="E48" s="136" t="s">
        <v>368</v>
      </c>
      <c r="F48" s="480" t="s">
        <v>2265</v>
      </c>
      <c r="G48" s="135" t="str">
        <f>VLOOKUP(A48,Plano_V3!$A$26:$G$768,7,0)</f>
        <v xml:space="preserve">6. Em implementação </v>
      </c>
      <c r="H48" s="135" t="s">
        <v>2320</v>
      </c>
      <c r="I48" s="473"/>
      <c r="J48" s="359" t="s">
        <v>2241</v>
      </c>
      <c r="K48" s="359" t="s">
        <v>2442</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2314</v>
      </c>
      <c r="S48" s="324" t="s">
        <v>2394</v>
      </c>
      <c r="T48" s="372" t="s">
        <v>2362</v>
      </c>
      <c r="U48" s="372" t="s">
        <v>2322</v>
      </c>
      <c r="V48" s="324" t="s">
        <v>1857</v>
      </c>
    </row>
    <row r="49" spans="1:22" ht="16.399999999999999" hidden="1" customHeight="1">
      <c r="A49" s="29" t="str">
        <f t="shared" si="0"/>
        <v>lt004_protectionRL_ESTT_CLMT_ZN</v>
      </c>
      <c r="B49" s="141" t="s">
        <v>26</v>
      </c>
      <c r="C49" s="137" t="s">
        <v>26</v>
      </c>
      <c r="D49" s="133" t="s">
        <v>40</v>
      </c>
      <c r="E49" s="136" t="s">
        <v>368</v>
      </c>
      <c r="F49" s="480" t="s">
        <v>2266</v>
      </c>
      <c r="G49" s="135" t="str">
        <f>VLOOKUP(A49,Plano_V3!$A$26:$G$768,7,0)</f>
        <v xml:space="preserve">6. Em implementação </v>
      </c>
      <c r="H49" s="135" t="s">
        <v>2320</v>
      </c>
      <c r="I49" s="473"/>
      <c r="J49" s="359" t="s">
        <v>2241</v>
      </c>
      <c r="K49" s="359" t="s">
        <v>2442</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2314</v>
      </c>
      <c r="S49" s="324" t="s">
        <v>2394</v>
      </c>
      <c r="T49" s="372" t="s">
        <v>2362</v>
      </c>
      <c r="U49" s="372" t="s">
        <v>2322</v>
      </c>
      <c r="V49" s="324" t="s">
        <v>1856</v>
      </c>
    </row>
    <row r="50" spans="1:22" ht="16.399999999999999" hidden="1" customHeight="1">
      <c r="A50" s="29" t="str">
        <f t="shared" si="0"/>
        <v>ENERGY_CERTIFICATE_EST_INPUTCHAVE_GLOVAL</v>
      </c>
      <c r="B50" s="141" t="s">
        <v>26</v>
      </c>
      <c r="C50" s="137" t="s">
        <v>34</v>
      </c>
      <c r="D50" s="133" t="s">
        <v>40</v>
      </c>
      <c r="E50" s="134" t="s">
        <v>37</v>
      </c>
      <c r="F50" s="477" t="s">
        <v>1968</v>
      </c>
      <c r="G50" s="135" t="str">
        <f>VLOOKUP(A50,Plano_V3!$A$26:$G$768,7,0)</f>
        <v>1. Concluído</v>
      </c>
      <c r="H50" s="135" t="s">
        <v>612</v>
      </c>
      <c r="I50" s="473" t="s">
        <v>2416</v>
      </c>
      <c r="J50" s="359" t="s">
        <v>2243</v>
      </c>
      <c r="K50" s="359" t="s">
        <v>2240</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2379</v>
      </c>
      <c r="V50" s="372"/>
    </row>
    <row r="51" spans="1:22" ht="16.399999999999999" hidden="1" customHeight="1">
      <c r="A51" s="29" t="str">
        <f t="shared" si="0"/>
        <v>ENERGY_CERTIFICATE_EST_INPUTPROPERTY_BANK_ID</v>
      </c>
      <c r="B51" s="141" t="s">
        <v>26</v>
      </c>
      <c r="C51" s="137" t="s">
        <v>34</v>
      </c>
      <c r="D51" s="133" t="s">
        <v>40</v>
      </c>
      <c r="E51" s="134" t="s">
        <v>37</v>
      </c>
      <c r="F51" s="477" t="s">
        <v>41</v>
      </c>
      <c r="G51" s="135" t="str">
        <f>VLOOKUP(A51,Plano_V3!$A$26:$G$768,7,0)</f>
        <v>1. Concluído</v>
      </c>
      <c r="H51" s="135" t="s">
        <v>612</v>
      </c>
      <c r="I51" s="473" t="s">
        <v>2416</v>
      </c>
      <c r="J51" s="359" t="s">
        <v>2243</v>
      </c>
      <c r="K51" s="359" t="s">
        <v>2240</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2321</v>
      </c>
      <c r="V51" s="372"/>
    </row>
    <row r="52" spans="1:22" ht="16.399999999999999" hidden="1" customHeight="1">
      <c r="A52" s="29" t="str">
        <f t="shared" si="0"/>
        <v>ENERGY_CERTIFICATE_EST_INPUTPROPERTY_BRANCH_CODE</v>
      </c>
      <c r="B52" s="141" t="s">
        <v>26</v>
      </c>
      <c r="C52" s="137" t="s">
        <v>34</v>
      </c>
      <c r="D52" s="133" t="s">
        <v>40</v>
      </c>
      <c r="E52" s="134" t="s">
        <v>37</v>
      </c>
      <c r="F52" s="477" t="s">
        <v>43</v>
      </c>
      <c r="G52" s="135" t="str">
        <f>VLOOKUP(A52,Plano_V3!$A$26:$G$768,7,0)</f>
        <v>1. Concluído</v>
      </c>
      <c r="H52" s="135" t="s">
        <v>612</v>
      </c>
      <c r="I52" s="473" t="s">
        <v>2416</v>
      </c>
      <c r="J52" s="359" t="s">
        <v>2243</v>
      </c>
      <c r="K52" s="359" t="s">
        <v>2240</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2321</v>
      </c>
      <c r="V52" s="372"/>
    </row>
    <row r="53" spans="1:22" ht="16.399999999999999" hidden="1" customHeight="1">
      <c r="A53" s="29" t="str">
        <f t="shared" si="0"/>
        <v>ENERGY_CERTIFICATE_EST_INPUTPROPERTY_CONTRACT_ID</v>
      </c>
      <c r="B53" s="141" t="s">
        <v>26</v>
      </c>
      <c r="C53" s="137" t="s">
        <v>34</v>
      </c>
      <c r="D53" s="133" t="s">
        <v>40</v>
      </c>
      <c r="E53" s="134" t="s">
        <v>37</v>
      </c>
      <c r="F53" s="477" t="s">
        <v>44</v>
      </c>
      <c r="G53" s="135" t="str">
        <f>VLOOKUP(A53,Plano_V3!$A$26:$G$768,7,0)</f>
        <v>1. Concluído</v>
      </c>
      <c r="H53" s="135" t="s">
        <v>612</v>
      </c>
      <c r="I53" s="473" t="s">
        <v>2416</v>
      </c>
      <c r="J53" s="359" t="s">
        <v>2243</v>
      </c>
      <c r="K53" s="359" t="s">
        <v>2240</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2321</v>
      </c>
      <c r="V53" s="372"/>
    </row>
    <row r="54" spans="1:22" ht="16.399999999999999" hidden="1" customHeight="1">
      <c r="A54" s="29" t="str">
        <f t="shared" si="0"/>
        <v>ENERGY_CERTIFICATE_EST_INPUTPROPERTY_REFERENCE_CODE</v>
      </c>
      <c r="B54" s="141" t="s">
        <v>26</v>
      </c>
      <c r="C54" s="137" t="s">
        <v>34</v>
      </c>
      <c r="D54" s="133" t="s">
        <v>40</v>
      </c>
      <c r="E54" s="134" t="s">
        <v>37</v>
      </c>
      <c r="F54" s="477" t="s">
        <v>45</v>
      </c>
      <c r="G54" s="135" t="str">
        <f>VLOOKUP(A54,Plano_V3!$A$26:$G$768,7,0)</f>
        <v>1. Concluído</v>
      </c>
      <c r="H54" s="135" t="s">
        <v>612</v>
      </c>
      <c r="I54" s="473" t="s">
        <v>2416</v>
      </c>
      <c r="J54" s="359" t="s">
        <v>2243</v>
      </c>
      <c r="K54" s="359" t="s">
        <v>2240</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2321</v>
      </c>
      <c r="V54" s="372"/>
    </row>
    <row r="55" spans="1:22" ht="16.399999999999999" hidden="1" customHeight="1">
      <c r="A55" s="29" t="str">
        <f t="shared" si="0"/>
        <v>ENERGY_CERTIFICATE_EST_INPUTCÓDIGO_DISTRITO</v>
      </c>
      <c r="B55" s="141" t="s">
        <v>26</v>
      </c>
      <c r="C55" s="137" t="s">
        <v>34</v>
      </c>
      <c r="D55" s="133" t="s">
        <v>40</v>
      </c>
      <c r="E55" s="134" t="s">
        <v>37</v>
      </c>
      <c r="F55" s="477" t="s">
        <v>1969</v>
      </c>
      <c r="G55" s="135" t="str">
        <f>VLOOKUP(A55,Plano_V3!$A$26:$G$768,7,0)</f>
        <v>1. Concluído</v>
      </c>
      <c r="H55" s="135" t="s">
        <v>612</v>
      </c>
      <c r="I55" s="473" t="s">
        <v>2416</v>
      </c>
      <c r="J55" s="359" t="s">
        <v>2243</v>
      </c>
      <c r="K55" s="359" t="s">
        <v>2240</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2323</v>
      </c>
      <c r="V55" s="372"/>
    </row>
    <row r="56" spans="1:22" ht="16.399999999999999" hidden="1" customHeight="1">
      <c r="A56" s="29" t="str">
        <f t="shared" si="0"/>
        <v>ENERGY_CERTIFICATE_EST_INPUTNOMBRE_DISTRITO</v>
      </c>
      <c r="B56" s="141" t="s">
        <v>26</v>
      </c>
      <c r="C56" s="137" t="s">
        <v>34</v>
      </c>
      <c r="D56" s="133" t="s">
        <v>40</v>
      </c>
      <c r="E56" s="134" t="s">
        <v>37</v>
      </c>
      <c r="F56" s="477" t="s">
        <v>1970</v>
      </c>
      <c r="G56" s="135" t="str">
        <f>VLOOKUP(A56,Plano_V3!$A$26:$G$768,7,0)</f>
        <v>1. Concluído</v>
      </c>
      <c r="H56" s="135" t="s">
        <v>612</v>
      </c>
      <c r="I56" s="473" t="s">
        <v>2416</v>
      </c>
      <c r="J56" s="359" t="s">
        <v>2243</v>
      </c>
      <c r="K56" s="359" t="s">
        <v>2240</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2323</v>
      </c>
      <c r="V56" s="372"/>
    </row>
    <row r="57" spans="1:22" ht="16.399999999999999" hidden="1" customHeight="1">
      <c r="A57" s="29" t="str">
        <f t="shared" si="0"/>
        <v>ENERGY_CERTIFICATE_EST_INPUTCÓDIGO_CONCEJO</v>
      </c>
      <c r="B57" s="141" t="s">
        <v>26</v>
      </c>
      <c r="C57" s="137" t="s">
        <v>34</v>
      </c>
      <c r="D57" s="133" t="s">
        <v>40</v>
      </c>
      <c r="E57" s="134" t="s">
        <v>37</v>
      </c>
      <c r="F57" s="477" t="s">
        <v>1971</v>
      </c>
      <c r="G57" s="135" t="str">
        <f>VLOOKUP(A57,Plano_V3!$A$26:$G$768,7,0)</f>
        <v>1. Concluído</v>
      </c>
      <c r="H57" s="135" t="s">
        <v>612</v>
      </c>
      <c r="I57" s="473" t="s">
        <v>2416</v>
      </c>
      <c r="J57" s="359" t="s">
        <v>2243</v>
      </c>
      <c r="K57" s="359" t="s">
        <v>2240</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2323</v>
      </c>
      <c r="V57" s="372"/>
    </row>
    <row r="58" spans="1:22" ht="16.399999999999999" hidden="1" customHeight="1">
      <c r="A58" s="29" t="str">
        <f t="shared" si="0"/>
        <v>ENERGY_CERTIFICATE_EST_INPUTNOMBRE_CONCEJO</v>
      </c>
      <c r="B58" s="141" t="s">
        <v>26</v>
      </c>
      <c r="C58" s="137" t="s">
        <v>34</v>
      </c>
      <c r="D58" s="133" t="s">
        <v>40</v>
      </c>
      <c r="E58" s="134" t="s">
        <v>37</v>
      </c>
      <c r="F58" s="477" t="s">
        <v>1972</v>
      </c>
      <c r="G58" s="135" t="str">
        <f>VLOOKUP(A58,Plano_V3!$A$26:$G$768,7,0)</f>
        <v>1. Concluído</v>
      </c>
      <c r="H58" s="135" t="s">
        <v>612</v>
      </c>
      <c r="I58" s="473" t="s">
        <v>2416</v>
      </c>
      <c r="J58" s="359" t="s">
        <v>2243</v>
      </c>
      <c r="K58" s="359" t="s">
        <v>2240</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2323</v>
      </c>
      <c r="V58" s="372"/>
    </row>
    <row r="59" spans="1:22" ht="16.399999999999999" hidden="1" customHeight="1">
      <c r="A59" s="29" t="str">
        <f t="shared" si="0"/>
        <v>ENERGY_CERTIFICATE_EST_INPUTCÓDIGO_FREGUESIA</v>
      </c>
      <c r="B59" s="141" t="s">
        <v>26</v>
      </c>
      <c r="C59" s="137" t="s">
        <v>34</v>
      </c>
      <c r="D59" s="133" t="s">
        <v>40</v>
      </c>
      <c r="E59" s="134" t="s">
        <v>37</v>
      </c>
      <c r="F59" s="477" t="s">
        <v>1973</v>
      </c>
      <c r="G59" s="135" t="str">
        <f>VLOOKUP(A59,Plano_V3!$A$26:$G$768,7,0)</f>
        <v>1. Concluído</v>
      </c>
      <c r="H59" s="135" t="s">
        <v>612</v>
      </c>
      <c r="I59" s="473" t="s">
        <v>2416</v>
      </c>
      <c r="J59" s="359" t="s">
        <v>2243</v>
      </c>
      <c r="K59" s="359" t="s">
        <v>2240</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2323</v>
      </c>
      <c r="V59" s="372"/>
    </row>
    <row r="60" spans="1:22" ht="16.399999999999999" hidden="1" customHeight="1">
      <c r="A60" s="29" t="str">
        <f t="shared" si="0"/>
        <v>ENERGY_CERTIFICATE_EST_INPUTNOMBRE_FREGUESIA</v>
      </c>
      <c r="B60" s="141" t="s">
        <v>26</v>
      </c>
      <c r="C60" s="137" t="s">
        <v>34</v>
      </c>
      <c r="D60" s="133" t="s">
        <v>40</v>
      </c>
      <c r="E60" s="134" t="s">
        <v>37</v>
      </c>
      <c r="F60" s="477" t="s">
        <v>1974</v>
      </c>
      <c r="G60" s="135" t="str">
        <f>VLOOKUP(A60,Plano_V3!$A$26:$G$768,7,0)</f>
        <v>1. Concluído</v>
      </c>
      <c r="H60" s="135" t="s">
        <v>612</v>
      </c>
      <c r="I60" s="473" t="s">
        <v>2416</v>
      </c>
      <c r="J60" s="359" t="s">
        <v>2243</v>
      </c>
      <c r="K60" s="359" t="s">
        <v>2240</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2323</v>
      </c>
      <c r="V60" s="372"/>
    </row>
    <row r="61" spans="1:22" ht="16.399999999999999" hidden="1" customHeight="1">
      <c r="A61" s="29" t="str">
        <f t="shared" si="0"/>
        <v>ENERGY_CERTIFICATE_EST_INPUTLOCALIDADE</v>
      </c>
      <c r="B61" s="141" t="s">
        <v>26</v>
      </c>
      <c r="C61" s="137" t="s">
        <v>34</v>
      </c>
      <c r="D61" s="133" t="s">
        <v>40</v>
      </c>
      <c r="E61" s="134" t="s">
        <v>37</v>
      </c>
      <c r="F61" s="477" t="s">
        <v>1975</v>
      </c>
      <c r="G61" s="135" t="str">
        <f>VLOOKUP(A61,Plano_V3!$A$26:$G$768,7,0)</f>
        <v>1. Concluído</v>
      </c>
      <c r="H61" s="135" t="s">
        <v>612</v>
      </c>
      <c r="I61" s="473" t="s">
        <v>2416</v>
      </c>
      <c r="J61" s="359" t="s">
        <v>2243</v>
      </c>
      <c r="K61" s="359" t="s">
        <v>2240</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2323</v>
      </c>
      <c r="V61" s="372"/>
    </row>
    <row r="62" spans="1:22" ht="16.399999999999999" hidden="1" customHeight="1">
      <c r="A62" s="29" t="str">
        <f t="shared" si="0"/>
        <v>ENERGY_CERTIFICATE_EST_INPUTTIPO_VIA</v>
      </c>
      <c r="B62" s="141" t="s">
        <v>26</v>
      </c>
      <c r="C62" s="137" t="s">
        <v>34</v>
      </c>
      <c r="D62" s="133" t="s">
        <v>40</v>
      </c>
      <c r="E62" s="134" t="s">
        <v>37</v>
      </c>
      <c r="F62" s="477" t="s">
        <v>1976</v>
      </c>
      <c r="G62" s="135" t="str">
        <f>VLOOKUP(A62,Plano_V3!$A$26:$G$768,7,0)</f>
        <v>1. Concluído</v>
      </c>
      <c r="H62" s="135" t="s">
        <v>612</v>
      </c>
      <c r="I62" s="473" t="s">
        <v>2416</v>
      </c>
      <c r="J62" s="359" t="s">
        <v>2243</v>
      </c>
      <c r="K62" s="359" t="s">
        <v>2240</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2323</v>
      </c>
      <c r="V62" s="372"/>
    </row>
    <row r="63" spans="1:22" ht="16.399999999999999" hidden="1" customHeight="1">
      <c r="A63" s="29" t="str">
        <f t="shared" si="0"/>
        <v>ENERGY_CERTIFICATE_EST_INPUTNOMBRE_TIPO_VIA</v>
      </c>
      <c r="B63" s="141" t="s">
        <v>26</v>
      </c>
      <c r="C63" s="137" t="s">
        <v>34</v>
      </c>
      <c r="D63" s="133" t="s">
        <v>40</v>
      </c>
      <c r="E63" s="134" t="s">
        <v>37</v>
      </c>
      <c r="F63" s="477" t="s">
        <v>1977</v>
      </c>
      <c r="G63" s="135" t="str">
        <f>VLOOKUP(A63,Plano_V3!$A$26:$G$768,7,0)</f>
        <v>1. Concluído</v>
      </c>
      <c r="H63" s="135" t="s">
        <v>612</v>
      </c>
      <c r="I63" s="473" t="s">
        <v>2416</v>
      </c>
      <c r="J63" s="359" t="s">
        <v>2243</v>
      </c>
      <c r="K63" s="359" t="s">
        <v>2240</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2323</v>
      </c>
      <c r="V63" s="372"/>
    </row>
    <row r="64" spans="1:22" ht="16.399999999999999" hidden="1" customHeight="1">
      <c r="A64" s="29" t="str">
        <f t="shared" si="0"/>
        <v>ENERGY_CERTIFICATE_EST_INPUTNOMBRE_VIA</v>
      </c>
      <c r="B64" s="141" t="s">
        <v>26</v>
      </c>
      <c r="C64" s="137" t="s">
        <v>34</v>
      </c>
      <c r="D64" s="133" t="s">
        <v>40</v>
      </c>
      <c r="E64" s="134" t="s">
        <v>37</v>
      </c>
      <c r="F64" s="477" t="s">
        <v>1978</v>
      </c>
      <c r="G64" s="135" t="str">
        <f>VLOOKUP(A64,Plano_V3!$A$26:$G$768,7,0)</f>
        <v>1. Concluído</v>
      </c>
      <c r="H64" s="135" t="s">
        <v>612</v>
      </c>
      <c r="I64" s="473" t="s">
        <v>2416</v>
      </c>
      <c r="J64" s="359" t="s">
        <v>2243</v>
      </c>
      <c r="K64" s="359" t="s">
        <v>2240</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2323</v>
      </c>
      <c r="V64" s="372"/>
    </row>
    <row r="65" spans="1:22" ht="16.399999999999999" hidden="1" customHeight="1">
      <c r="A65" s="29" t="str">
        <f t="shared" si="0"/>
        <v>ENERGY_CERTIFICATE_EST_INPUTNUMERO_VIA</v>
      </c>
      <c r="B65" s="141" t="s">
        <v>26</v>
      </c>
      <c r="C65" s="137" t="s">
        <v>34</v>
      </c>
      <c r="D65" s="133" t="s">
        <v>40</v>
      </c>
      <c r="E65" s="134" t="s">
        <v>37</v>
      </c>
      <c r="F65" s="477" t="s">
        <v>1979</v>
      </c>
      <c r="G65" s="135" t="str">
        <f>VLOOKUP(A65,Plano_V3!$A$26:$G$768,7,0)</f>
        <v>1. Concluído</v>
      </c>
      <c r="H65" s="135" t="s">
        <v>612</v>
      </c>
      <c r="I65" s="473" t="s">
        <v>2416</v>
      </c>
      <c r="J65" s="359" t="s">
        <v>2243</v>
      </c>
      <c r="K65" s="359" t="s">
        <v>2240</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2323</v>
      </c>
      <c r="V65" s="372"/>
    </row>
    <row r="66" spans="1:22" ht="16.399999999999999" hidden="1" customHeight="1">
      <c r="A66" s="29" t="str">
        <f t="shared" si="0"/>
        <v>ENERGY_CERTIFICATE_EST_INPUTLOTE</v>
      </c>
      <c r="B66" s="141" t="s">
        <v>26</v>
      </c>
      <c r="C66" s="137" t="s">
        <v>34</v>
      </c>
      <c r="D66" s="133" t="s">
        <v>40</v>
      </c>
      <c r="E66" s="134" t="s">
        <v>37</v>
      </c>
      <c r="F66" s="477" t="s">
        <v>1980</v>
      </c>
      <c r="G66" s="135" t="str">
        <f>VLOOKUP(A66,Plano_V3!$A$26:$G$768,7,0)</f>
        <v>1. Concluído</v>
      </c>
      <c r="H66" s="135" t="s">
        <v>612</v>
      </c>
      <c r="I66" s="473" t="s">
        <v>2416</v>
      </c>
      <c r="J66" s="359" t="s">
        <v>2243</v>
      </c>
      <c r="K66" s="359" t="s">
        <v>2240</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2323</v>
      </c>
      <c r="V66" s="372"/>
    </row>
    <row r="67" spans="1:22" ht="16.399999999999999" hidden="1" customHeight="1">
      <c r="A67" s="29" t="str">
        <f t="shared" si="0"/>
        <v>ENERGY_CERTIFICATE_EST_INPUTURBANIZACION</v>
      </c>
      <c r="B67" s="141" t="s">
        <v>26</v>
      </c>
      <c r="C67" s="137" t="s">
        <v>34</v>
      </c>
      <c r="D67" s="133" t="s">
        <v>40</v>
      </c>
      <c r="E67" s="134" t="s">
        <v>37</v>
      </c>
      <c r="F67" s="477" t="s">
        <v>1981</v>
      </c>
      <c r="G67" s="135" t="str">
        <f>VLOOKUP(A67,Plano_V3!$A$26:$G$768,7,0)</f>
        <v>1. Concluído</v>
      </c>
      <c r="H67" s="135" t="s">
        <v>612</v>
      </c>
      <c r="I67" s="473" t="s">
        <v>2416</v>
      </c>
      <c r="J67" s="359" t="s">
        <v>2243</v>
      </c>
      <c r="K67" s="359" t="s">
        <v>2240</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2323</v>
      </c>
      <c r="V67" s="372"/>
    </row>
    <row r="68" spans="1:22" ht="16.399999999999999" hidden="1" customHeight="1">
      <c r="A68" s="29" t="str">
        <f t="shared" si="0"/>
        <v>ENERGY_CERTIFICATE_EST_INPUTCAGLURB</v>
      </c>
      <c r="B68" s="141" t="s">
        <v>26</v>
      </c>
      <c r="C68" s="137" t="s">
        <v>34</v>
      </c>
      <c r="D68" s="133" t="s">
        <v>40</v>
      </c>
      <c r="E68" s="134" t="s">
        <v>37</v>
      </c>
      <c r="F68" s="477" t="s">
        <v>1982</v>
      </c>
      <c r="G68" s="135" t="str">
        <f>VLOOKUP(A68,Plano_V3!$A$26:$G$768,7,0)</f>
        <v>1. Concluído</v>
      </c>
      <c r="H68" s="135" t="s">
        <v>612</v>
      </c>
      <c r="I68" s="473" t="s">
        <v>2416</v>
      </c>
      <c r="J68" s="359" t="s">
        <v>2243</v>
      </c>
      <c r="K68" s="359" t="s">
        <v>2240</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2323</v>
      </c>
      <c r="V68" s="372"/>
    </row>
    <row r="69" spans="1:22" ht="16.399999999999999" hidden="1" customHeight="1">
      <c r="A69" s="29" t="str">
        <f t="shared" si="0"/>
        <v>ENERGY_CERTIFICATE_EST_INPUTRESTO_DIRECCION</v>
      </c>
      <c r="B69" s="141" t="s">
        <v>26</v>
      </c>
      <c r="C69" s="137" t="s">
        <v>34</v>
      </c>
      <c r="D69" s="133" t="s">
        <v>40</v>
      </c>
      <c r="E69" s="134" t="s">
        <v>37</v>
      </c>
      <c r="F69" s="477" t="s">
        <v>1983</v>
      </c>
      <c r="G69" s="135" t="str">
        <f>VLOOKUP(A69,Plano_V3!$A$26:$G$768,7,0)</f>
        <v>1. Concluído</v>
      </c>
      <c r="H69" s="135" t="s">
        <v>612</v>
      </c>
      <c r="I69" s="473" t="s">
        <v>2416</v>
      </c>
      <c r="J69" s="359" t="s">
        <v>2243</v>
      </c>
      <c r="K69" s="359" t="s">
        <v>2240</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2323</v>
      </c>
      <c r="V69" s="372"/>
    </row>
    <row r="70" spans="1:22" ht="16.399999999999999" hidden="1" customHeight="1">
      <c r="A70" s="29" t="str">
        <f t="shared" si="0"/>
        <v>ENERGY_CERTIFICATE_EST_INPUTLATITUDE</v>
      </c>
      <c r="B70" s="141" t="s">
        <v>26</v>
      </c>
      <c r="C70" s="137" t="s">
        <v>34</v>
      </c>
      <c r="D70" s="133" t="s">
        <v>40</v>
      </c>
      <c r="E70" s="134" t="s">
        <v>37</v>
      </c>
      <c r="F70" s="477" t="s">
        <v>1984</v>
      </c>
      <c r="G70" s="135" t="str">
        <f>VLOOKUP(A70,Plano_V3!$A$26:$G$768,7,0)</f>
        <v>1. Concluído</v>
      </c>
      <c r="H70" s="135" t="s">
        <v>612</v>
      </c>
      <c r="I70" s="473" t="s">
        <v>2416</v>
      </c>
      <c r="J70" s="359" t="s">
        <v>2243</v>
      </c>
      <c r="K70" s="359" t="s">
        <v>2240</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2323</v>
      </c>
      <c r="V70" s="372"/>
    </row>
    <row r="71" spans="1:22" ht="16.399999999999999" hidden="1" customHeight="1">
      <c r="A71" s="29" t="str">
        <f t="shared" ref="A71" si="1">E71&amp;F71</f>
        <v>ENERGY_CERTIFICATE_EST_INPUTLONGITUDE</v>
      </c>
      <c r="B71" s="141" t="s">
        <v>26</v>
      </c>
      <c r="C71" s="137" t="s">
        <v>34</v>
      </c>
      <c r="D71" s="133" t="s">
        <v>40</v>
      </c>
      <c r="E71" s="134" t="s">
        <v>37</v>
      </c>
      <c r="F71" s="477" t="s">
        <v>1985</v>
      </c>
      <c r="G71" s="135" t="str">
        <f>VLOOKUP(A71,Plano_V3!$A$26:$G$768,7,0)</f>
        <v>1. Concluído</v>
      </c>
      <c r="H71" s="135" t="s">
        <v>612</v>
      </c>
      <c r="I71" s="473" t="s">
        <v>2416</v>
      </c>
      <c r="J71" s="359" t="s">
        <v>2243</v>
      </c>
      <c r="K71" s="359" t="s">
        <v>2240</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2323</v>
      </c>
      <c r="V71" s="372"/>
    </row>
    <row r="72" spans="1:22" ht="16.399999999999999" hidden="1" customHeight="1">
      <c r="A72" s="29" t="str">
        <f t="shared" si="0"/>
        <v>ENERGY_CERTIFICATE_EST_INPUTCODIGO_POSTAL</v>
      </c>
      <c r="B72" s="141" t="s">
        <v>26</v>
      </c>
      <c r="C72" s="137" t="s">
        <v>34</v>
      </c>
      <c r="D72" s="133" t="s">
        <v>40</v>
      </c>
      <c r="E72" s="134" t="s">
        <v>37</v>
      </c>
      <c r="F72" s="477" t="s">
        <v>1986</v>
      </c>
      <c r="G72" s="135" t="str">
        <f>VLOOKUP(A72,Plano_V3!$A$26:$G$768,7,0)</f>
        <v>1. Concluído</v>
      </c>
      <c r="H72" s="135" t="s">
        <v>612</v>
      </c>
      <c r="I72" s="473" t="s">
        <v>2416</v>
      </c>
      <c r="J72" s="359" t="s">
        <v>2243</v>
      </c>
      <c r="K72" s="359" t="s">
        <v>2240</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2323</v>
      </c>
      <c r="V72" s="372"/>
    </row>
    <row r="73" spans="1:22" ht="16.399999999999999" hidden="1" customHeight="1">
      <c r="A73" s="29" t="str">
        <f t="shared" ref="A73:A136" si="2">E73&amp;F73</f>
        <v>ENERGY_CERTIFICATE_EST_INPUTSUBCODIGO_POSTAL</v>
      </c>
      <c r="B73" s="141" t="s">
        <v>26</v>
      </c>
      <c r="C73" s="137" t="s">
        <v>34</v>
      </c>
      <c r="D73" s="133" t="s">
        <v>40</v>
      </c>
      <c r="E73" s="134" t="s">
        <v>37</v>
      </c>
      <c r="F73" s="477" t="s">
        <v>1987</v>
      </c>
      <c r="G73" s="135" t="str">
        <f>VLOOKUP(A73,Plano_V3!$A$26:$G$768,7,0)</f>
        <v>1. Concluído</v>
      </c>
      <c r="H73" s="135" t="s">
        <v>612</v>
      </c>
      <c r="I73" s="473" t="s">
        <v>2416</v>
      </c>
      <c r="J73" s="359" t="s">
        <v>2243</v>
      </c>
      <c r="K73" s="359" t="s">
        <v>2240</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2323</v>
      </c>
      <c r="V73" s="372"/>
    </row>
    <row r="74" spans="1:22" ht="16.399999999999999" hidden="1" customHeight="1">
      <c r="A74" s="29" t="str">
        <f t="shared" si="2"/>
        <v>ENERGY_CERTIFICATE_EST_INPUTASSUPERFICIE_UTIL</v>
      </c>
      <c r="B74" s="141" t="s">
        <v>26</v>
      </c>
      <c r="C74" s="137" t="s">
        <v>34</v>
      </c>
      <c r="D74" s="133" t="s">
        <v>40</v>
      </c>
      <c r="E74" s="134" t="s">
        <v>37</v>
      </c>
      <c r="F74" s="477" t="s">
        <v>1988</v>
      </c>
      <c r="G74" s="135" t="str">
        <f>VLOOKUP(A74,Plano_V3!$A$26:$G$768,7,0)</f>
        <v>1. Concluído</v>
      </c>
      <c r="H74" s="135" t="s">
        <v>612</v>
      </c>
      <c r="I74" s="473" t="s">
        <v>2416</v>
      </c>
      <c r="J74" s="359" t="s">
        <v>2243</v>
      </c>
      <c r="K74" s="359" t="s">
        <v>2240</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2323</v>
      </c>
      <c r="V74" s="372"/>
    </row>
    <row r="75" spans="1:22" ht="16.399999999999999" hidden="1" customHeight="1">
      <c r="A75" s="29" t="str">
        <f t="shared" si="2"/>
        <v>ENERGY_CERTIFICATE_EST_INPUTANIO_CONSTRUCCION</v>
      </c>
      <c r="B75" s="141" t="s">
        <v>26</v>
      </c>
      <c r="C75" s="137" t="s">
        <v>34</v>
      </c>
      <c r="D75" s="133" t="s">
        <v>40</v>
      </c>
      <c r="E75" s="134" t="s">
        <v>37</v>
      </c>
      <c r="F75" s="477" t="s">
        <v>1989</v>
      </c>
      <c r="G75" s="135" t="str">
        <f>VLOOKUP(A75,Plano_V3!$A$26:$G$768,7,0)</f>
        <v>1. Concluído</v>
      </c>
      <c r="H75" s="135" t="s">
        <v>612</v>
      </c>
      <c r="I75" s="473" t="s">
        <v>2416</v>
      </c>
      <c r="J75" s="359" t="s">
        <v>2243</v>
      </c>
      <c r="K75" s="359" t="s">
        <v>2240</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2323</v>
      </c>
      <c r="V75" s="372"/>
    </row>
    <row r="76" spans="1:22" ht="16.399999999999999" hidden="1" customHeight="1">
      <c r="A76" s="29" t="str">
        <f t="shared" si="2"/>
        <v>ENERGY_CERTIFICATE_EST_INPUTTIPO_INMUEBLE_HABITACAO</v>
      </c>
      <c r="B76" s="141" t="s">
        <v>26</v>
      </c>
      <c r="C76" s="137" t="s">
        <v>34</v>
      </c>
      <c r="D76" s="133" t="s">
        <v>40</v>
      </c>
      <c r="E76" s="134" t="s">
        <v>37</v>
      </c>
      <c r="F76" s="477" t="s">
        <v>1990</v>
      </c>
      <c r="G76" s="135" t="str">
        <f>VLOOKUP(A76,Plano_V3!$A$26:$G$768,7,0)</f>
        <v>1. Concluído</v>
      </c>
      <c r="H76" s="135" t="s">
        <v>612</v>
      </c>
      <c r="I76" s="473" t="s">
        <v>2416</v>
      </c>
      <c r="J76" s="359" t="s">
        <v>2243</v>
      </c>
      <c r="K76" s="359" t="s">
        <v>2240</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2323</v>
      </c>
      <c r="V76" s="372"/>
    </row>
    <row r="77" spans="1:22" ht="16.399999999999999" hidden="1" customHeight="1">
      <c r="A77" s="29" t="str">
        <f t="shared" si="2"/>
        <v>ENERGY_CERTIFICATE_EST_INPUTPISO_APARTAMENTO</v>
      </c>
      <c r="B77" s="141" t="s">
        <v>26</v>
      </c>
      <c r="C77" s="137" t="s">
        <v>34</v>
      </c>
      <c r="D77" s="133" t="s">
        <v>40</v>
      </c>
      <c r="E77" s="134" t="s">
        <v>37</v>
      </c>
      <c r="F77" s="477" t="s">
        <v>1991</v>
      </c>
      <c r="G77" s="135" t="str">
        <f>VLOOKUP(A77,Plano_V3!$A$26:$G$768,7,0)</f>
        <v>1. Concluído</v>
      </c>
      <c r="H77" s="135" t="s">
        <v>612</v>
      </c>
      <c r="I77" s="473" t="s">
        <v>2416</v>
      </c>
      <c r="J77" s="359" t="s">
        <v>2243</v>
      </c>
      <c r="K77" s="359" t="s">
        <v>2240</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2323</v>
      </c>
      <c r="V77" s="372"/>
    </row>
    <row r="78" spans="1:22" ht="16.399999999999999" hidden="1" customHeight="1">
      <c r="A78" s="29" t="str">
        <f t="shared" si="2"/>
        <v>ENERGY_CERTIFICATE_EST_INPUTCASA_UNIFAMILIAR</v>
      </c>
      <c r="B78" s="141" t="s">
        <v>26</v>
      </c>
      <c r="C78" s="137" t="s">
        <v>34</v>
      </c>
      <c r="D78" s="133" t="s">
        <v>40</v>
      </c>
      <c r="E78" s="134" t="s">
        <v>37</v>
      </c>
      <c r="F78" s="477" t="s">
        <v>1992</v>
      </c>
      <c r="G78" s="135" t="str">
        <f>VLOOKUP(A78,Plano_V3!$A$26:$G$768,7,0)</f>
        <v>1. Concluído</v>
      </c>
      <c r="H78" s="135" t="s">
        <v>612</v>
      </c>
      <c r="I78" s="473" t="s">
        <v>2416</v>
      </c>
      <c r="J78" s="359" t="s">
        <v>2243</v>
      </c>
      <c r="K78" s="359" t="s">
        <v>2240</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2323</v>
      </c>
      <c r="V78" s="372"/>
    </row>
    <row r="79" spans="1:22" ht="16.399999999999999" hidden="1" customHeight="1">
      <c r="A79" s="29" t="str">
        <f t="shared" si="2"/>
        <v>ENERGY_CERTIFICATE_EST_INPUTTIPO_INMUEBLE_COMERCIO_SERVICOS</v>
      </c>
      <c r="B79" s="141" t="s">
        <v>26</v>
      </c>
      <c r="C79" s="137" t="s">
        <v>34</v>
      </c>
      <c r="D79" s="133" t="s">
        <v>40</v>
      </c>
      <c r="E79" s="134" t="s">
        <v>37</v>
      </c>
      <c r="F79" s="477" t="s">
        <v>1993</v>
      </c>
      <c r="G79" s="135" t="str">
        <f>VLOOKUP(A79,Plano_V3!$A$26:$G$768,7,0)</f>
        <v>1. Concluído</v>
      </c>
      <c r="H79" s="135" t="s">
        <v>612</v>
      </c>
      <c r="I79" s="473" t="s">
        <v>2416</v>
      </c>
      <c r="J79" s="359" t="s">
        <v>2243</v>
      </c>
      <c r="K79" s="359" t="s">
        <v>2240</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2323</v>
      </c>
      <c r="V79" s="372"/>
    </row>
    <row r="80" spans="1:22" ht="16.399999999999999" hidden="1" customHeight="1">
      <c r="A80" s="29" t="str">
        <f t="shared" si="2"/>
        <v>ENERGY_CERTIFICATE_EST_INPUTNOME_CONSERVATORIA</v>
      </c>
      <c r="B80" s="141" t="s">
        <v>26</v>
      </c>
      <c r="C80" s="137" t="s">
        <v>34</v>
      </c>
      <c r="D80" s="133" t="s">
        <v>40</v>
      </c>
      <c r="E80" s="134" t="s">
        <v>37</v>
      </c>
      <c r="F80" s="477" t="s">
        <v>1994</v>
      </c>
      <c r="G80" s="135" t="str">
        <f>VLOOKUP(A80,Plano_V3!$A$26:$G$768,7,0)</f>
        <v>1. Concluído</v>
      </c>
      <c r="H80" s="135" t="s">
        <v>612</v>
      </c>
      <c r="I80" s="473" t="s">
        <v>2416</v>
      </c>
      <c r="J80" s="359" t="s">
        <v>2243</v>
      </c>
      <c r="K80" s="359" t="s">
        <v>2240</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2323</v>
      </c>
      <c r="V80" s="372"/>
    </row>
    <row r="81" spans="1:22" ht="16.399999999999999" hidden="1" customHeight="1">
      <c r="A81" s="29" t="str">
        <f t="shared" si="2"/>
        <v>ENERGY_CERTIFICATE_EST_INPUTCOD_CONSERVATORIA</v>
      </c>
      <c r="B81" s="141" t="s">
        <v>26</v>
      </c>
      <c r="C81" s="137" t="s">
        <v>34</v>
      </c>
      <c r="D81" s="133" t="s">
        <v>40</v>
      </c>
      <c r="E81" s="134" t="s">
        <v>37</v>
      </c>
      <c r="F81" s="477" t="s">
        <v>1995</v>
      </c>
      <c r="G81" s="135" t="str">
        <f>VLOOKUP(A81,Plano_V3!$A$26:$G$768,7,0)</f>
        <v>1. Concluído</v>
      </c>
      <c r="H81" s="135" t="s">
        <v>612</v>
      </c>
      <c r="I81" s="473" t="s">
        <v>2416</v>
      </c>
      <c r="J81" s="359" t="s">
        <v>2243</v>
      </c>
      <c r="K81" s="359" t="s">
        <v>2240</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2323</v>
      </c>
      <c r="V81" s="372"/>
    </row>
    <row r="82" spans="1:22" ht="16.399999999999999" hidden="1" customHeight="1">
      <c r="A82" s="29" t="str">
        <f t="shared" si="2"/>
        <v>ENERGY_CERTIFICATE_EST_INPUTREGISTRO_CONSERVATORIA</v>
      </c>
      <c r="B82" s="141" t="s">
        <v>26</v>
      </c>
      <c r="C82" s="137" t="s">
        <v>34</v>
      </c>
      <c r="D82" s="133" t="s">
        <v>40</v>
      </c>
      <c r="E82" s="134" t="s">
        <v>37</v>
      </c>
      <c r="F82" s="477" t="s">
        <v>1996</v>
      </c>
      <c r="G82" s="135" t="str">
        <f>VLOOKUP(A82,Plano_V3!$A$26:$G$768,7,0)</f>
        <v>1. Concluído</v>
      </c>
      <c r="H82" s="135" t="s">
        <v>612</v>
      </c>
      <c r="I82" s="473" t="s">
        <v>2416</v>
      </c>
      <c r="J82" s="359" t="s">
        <v>2243</v>
      </c>
      <c r="K82" s="359" t="s">
        <v>2240</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2323</v>
      </c>
      <c r="V82" s="372"/>
    </row>
    <row r="83" spans="1:22" ht="16.399999999999999" hidden="1" customHeight="1">
      <c r="A83" s="29" t="str">
        <f t="shared" si="2"/>
        <v>ENERGY_CERTIFICATE_EST_INPUTART_MATRICIAIS</v>
      </c>
      <c r="B83" s="141" t="s">
        <v>26</v>
      </c>
      <c r="C83" s="137" t="s">
        <v>34</v>
      </c>
      <c r="D83" s="133" t="s">
        <v>40</v>
      </c>
      <c r="E83" s="134" t="s">
        <v>37</v>
      </c>
      <c r="F83" s="477" t="s">
        <v>1997</v>
      </c>
      <c r="G83" s="135" t="str">
        <f>VLOOKUP(A83,Plano_V3!$A$26:$G$768,7,0)</f>
        <v>1. Concluído</v>
      </c>
      <c r="H83" s="135" t="s">
        <v>612</v>
      </c>
      <c r="I83" s="473" t="s">
        <v>2416</v>
      </c>
      <c r="J83" s="359" t="s">
        <v>2243</v>
      </c>
      <c r="K83" s="359" t="s">
        <v>2240</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2323</v>
      </c>
      <c r="V83" s="372"/>
    </row>
    <row r="84" spans="1:22" ht="16.399999999999999" hidden="1" customHeight="1">
      <c r="A84" s="29" t="str">
        <f t="shared" si="2"/>
        <v>ENERGY_CERTIFICATE_EST_INPUTFRACCAO_AUTONOMA</v>
      </c>
      <c r="B84" s="141" t="s">
        <v>26</v>
      </c>
      <c r="C84" s="137" t="s">
        <v>34</v>
      </c>
      <c r="D84" s="133" t="s">
        <v>40</v>
      </c>
      <c r="E84" s="134" t="s">
        <v>37</v>
      </c>
      <c r="F84" s="477" t="s">
        <v>1998</v>
      </c>
      <c r="G84" s="135" t="str">
        <f>VLOOKUP(A84,Plano_V3!$A$26:$G$768,7,0)</f>
        <v>1. Concluído</v>
      </c>
      <c r="H84" s="135" t="s">
        <v>612</v>
      </c>
      <c r="I84" s="473" t="s">
        <v>2416</v>
      </c>
      <c r="J84" s="359" t="s">
        <v>2243</v>
      </c>
      <c r="K84" s="359" t="s">
        <v>2240</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2323</v>
      </c>
      <c r="V84" s="372"/>
    </row>
    <row r="85" spans="1:22" ht="16.399999999999999" hidden="1" customHeight="1">
      <c r="A85" s="29" t="str">
        <f t="shared" si="2"/>
        <v>ENERGY_CERTIFICATE_EST_INPUTFINALIDADE_BEM</v>
      </c>
      <c r="B85" s="141" t="s">
        <v>26</v>
      </c>
      <c r="C85" s="137" t="s">
        <v>34</v>
      </c>
      <c r="D85" s="133" t="s">
        <v>40</v>
      </c>
      <c r="E85" s="134" t="s">
        <v>37</v>
      </c>
      <c r="F85" s="477" t="s">
        <v>1999</v>
      </c>
      <c r="G85" s="135" t="str">
        <f>VLOOKUP(A85,Plano_V3!$A$26:$G$768,7,0)</f>
        <v>1. Concluído</v>
      </c>
      <c r="H85" s="135" t="s">
        <v>612</v>
      </c>
      <c r="I85" s="473" t="s">
        <v>2416</v>
      </c>
      <c r="J85" s="359" t="s">
        <v>2243</v>
      </c>
      <c r="K85" s="359" t="s">
        <v>2240</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2323</v>
      </c>
      <c r="V85" s="372"/>
    </row>
    <row r="86" spans="1:22" ht="16.399999999999999" hidden="1" customHeight="1">
      <c r="A86" s="29" t="str">
        <f t="shared" si="2"/>
        <v>ENERGY_CERTIFICATE_EST_INPUTCLASS_GPT31</v>
      </c>
      <c r="B86" s="141" t="s">
        <v>26</v>
      </c>
      <c r="C86" s="137" t="s">
        <v>34</v>
      </c>
      <c r="D86" s="133" t="s">
        <v>40</v>
      </c>
      <c r="E86" s="134" t="s">
        <v>37</v>
      </c>
      <c r="F86" s="477" t="s">
        <v>2000</v>
      </c>
      <c r="G86" s="135" t="str">
        <f>VLOOKUP(A86,Plano_V3!$A$26:$G$768,7,0)</f>
        <v>1. Concluído</v>
      </c>
      <c r="H86" s="135" t="s">
        <v>612</v>
      </c>
      <c r="I86" s="473" t="s">
        <v>2416</v>
      </c>
      <c r="J86" s="359" t="s">
        <v>2243</v>
      </c>
      <c r="K86" s="359" t="s">
        <v>2240</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2323</v>
      </c>
      <c r="V86" s="372"/>
    </row>
    <row r="87" spans="1:22" ht="16.399999999999999" hidden="1" customHeight="1">
      <c r="A87" s="29" t="str">
        <f t="shared" si="2"/>
        <v>ENERGY_CERTIFICATE_EST_INPUTCLASS_STCLIM</v>
      </c>
      <c r="B87" s="141" t="s">
        <v>26</v>
      </c>
      <c r="C87" s="137" t="s">
        <v>34</v>
      </c>
      <c r="D87" s="133" t="s">
        <v>40</v>
      </c>
      <c r="E87" s="134" t="s">
        <v>37</v>
      </c>
      <c r="F87" s="477" t="s">
        <v>2001</v>
      </c>
      <c r="G87" s="135" t="str">
        <f>VLOOKUP(A87,Plano_V3!$A$26:$G$768,7,0)</f>
        <v>1. Concluído</v>
      </c>
      <c r="H87" s="135" t="s">
        <v>612</v>
      </c>
      <c r="I87" s="473" t="s">
        <v>2416</v>
      </c>
      <c r="J87" s="359" t="s">
        <v>2243</v>
      </c>
      <c r="K87" s="359" t="s">
        <v>2240</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2323</v>
      </c>
      <c r="V87" s="372"/>
    </row>
    <row r="88" spans="1:22" ht="16.399999999999999" hidden="1" customHeight="1">
      <c r="A88" s="29" t="str">
        <f t="shared" si="2"/>
        <v>ENERGY_CERTIFICATE_EST_INPUTCONF_STCLIM</v>
      </c>
      <c r="B88" s="141" t="s">
        <v>26</v>
      </c>
      <c r="C88" s="137" t="s">
        <v>34</v>
      </c>
      <c r="D88" s="133" t="s">
        <v>40</v>
      </c>
      <c r="E88" s="134" t="s">
        <v>37</v>
      </c>
      <c r="F88" s="477" t="s">
        <v>2002</v>
      </c>
      <c r="G88" s="135" t="str">
        <f>VLOOKUP(A88,Plano_V3!$A$26:$G$768,7,0)</f>
        <v>1. Concluído</v>
      </c>
      <c r="H88" s="135" t="s">
        <v>612</v>
      </c>
      <c r="I88" s="473" t="s">
        <v>2416</v>
      </c>
      <c r="J88" s="359" t="s">
        <v>2243</v>
      </c>
      <c r="K88" s="359" t="s">
        <v>2240</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2323</v>
      </c>
      <c r="V88" s="372"/>
    </row>
    <row r="89" spans="1:22" ht="16.399999999999999" hidden="1" customHeight="1">
      <c r="A89" s="29" t="str">
        <f t="shared" si="2"/>
        <v>ENERGY_CERTIFICATE_EST_INPUTCLASSE_ENERGETICA</v>
      </c>
      <c r="B89" s="141" t="s">
        <v>26</v>
      </c>
      <c r="C89" s="137" t="s">
        <v>34</v>
      </c>
      <c r="D89" s="133" t="s">
        <v>40</v>
      </c>
      <c r="E89" s="134" t="s">
        <v>37</v>
      </c>
      <c r="F89" s="477" t="s">
        <v>2003</v>
      </c>
      <c r="G89" s="135" t="str">
        <f>VLOOKUP(A89,Plano_V3!$A$26:$G$768,7,0)</f>
        <v>1. Concluído</v>
      </c>
      <c r="H89" s="135" t="s">
        <v>612</v>
      </c>
      <c r="I89" s="473" t="s">
        <v>2416</v>
      </c>
      <c r="J89" s="359" t="s">
        <v>2243</v>
      </c>
      <c r="K89" s="359" t="s">
        <v>2240</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2379</v>
      </c>
      <c r="V89" s="372"/>
    </row>
    <row r="90" spans="1:22" ht="16.399999999999999" hidden="1" customHeight="1">
      <c r="A90" s="29" t="str">
        <f t="shared" si="2"/>
        <v>ENERGY_CERTIFICATE_EST_INPUTFIABILIDAD</v>
      </c>
      <c r="B90" s="141" t="s">
        <v>26</v>
      </c>
      <c r="C90" s="137" t="s">
        <v>34</v>
      </c>
      <c r="D90" s="133" t="s">
        <v>40</v>
      </c>
      <c r="E90" s="134" t="s">
        <v>37</v>
      </c>
      <c r="F90" s="477" t="s">
        <v>2004</v>
      </c>
      <c r="G90" s="135" t="str">
        <f>VLOOKUP(A90,Plano_V3!$A$26:$G$768,7,0)</f>
        <v>1. Concluído</v>
      </c>
      <c r="H90" s="135" t="s">
        <v>612</v>
      </c>
      <c r="I90" s="473" t="s">
        <v>2416</v>
      </c>
      <c r="J90" s="359" t="s">
        <v>2243</v>
      </c>
      <c r="K90" s="359" t="s">
        <v>2240</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2379</v>
      </c>
      <c r="V90" s="372"/>
    </row>
    <row r="91" spans="1:22" ht="16.399999999999999" hidden="1" customHeight="1">
      <c r="A91" s="29" t="str">
        <f t="shared" si="2"/>
        <v>ENERGY_CERTIFICATE_EST_INPUTEMISSIONES</v>
      </c>
      <c r="B91" s="141" t="s">
        <v>26</v>
      </c>
      <c r="C91" s="137" t="s">
        <v>34</v>
      </c>
      <c r="D91" s="133" t="s">
        <v>40</v>
      </c>
      <c r="E91" s="134" t="s">
        <v>37</v>
      </c>
      <c r="F91" s="477" t="s">
        <v>2005</v>
      </c>
      <c r="G91" s="135" t="str">
        <f>VLOOKUP(A91,Plano_V3!$A$26:$G$768,7,0)</f>
        <v>1. Concluído</v>
      </c>
      <c r="H91" s="135" t="s">
        <v>612</v>
      </c>
      <c r="I91" s="473" t="s">
        <v>2416</v>
      </c>
      <c r="J91" s="359" t="s">
        <v>2243</v>
      </c>
      <c r="K91" s="359" t="s">
        <v>2240</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2379</v>
      </c>
      <c r="V91" s="372"/>
    </row>
    <row r="92" spans="1:22" ht="16.399999999999999" hidden="1" customHeight="1">
      <c r="A92" s="29" t="str">
        <f t="shared" si="2"/>
        <v>ENERGY_CERTIFICATE_EST_INPUTCONSUMOS</v>
      </c>
      <c r="B92" s="141" t="s">
        <v>26</v>
      </c>
      <c r="C92" s="137" t="s">
        <v>34</v>
      </c>
      <c r="D92" s="133" t="s">
        <v>40</v>
      </c>
      <c r="E92" s="134" t="s">
        <v>37</v>
      </c>
      <c r="F92" s="477" t="s">
        <v>2006</v>
      </c>
      <c r="G92" s="135" t="str">
        <f>VLOOKUP(A92,Plano_V3!$A$26:$G$768,7,0)</f>
        <v>1. Concluído</v>
      </c>
      <c r="H92" s="135" t="s">
        <v>612</v>
      </c>
      <c r="I92" s="473" t="s">
        <v>2416</v>
      </c>
      <c r="J92" s="359" t="s">
        <v>2243</v>
      </c>
      <c r="K92" s="359" t="s">
        <v>2240</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2379</v>
      </c>
      <c r="V92" s="372"/>
    </row>
    <row r="93" spans="1:22" ht="16.399999999999999" hidden="1" customHeight="1">
      <c r="A93" s="29" t="str">
        <f t="shared" si="2"/>
        <v>ENERGY_CERTIFICATE_EST_INPUTDATA_ENVIO</v>
      </c>
      <c r="B93" s="141" t="s">
        <v>26</v>
      </c>
      <c r="C93" s="137" t="s">
        <v>34</v>
      </c>
      <c r="D93" s="133" t="s">
        <v>40</v>
      </c>
      <c r="E93" s="134" t="s">
        <v>37</v>
      </c>
      <c r="F93" s="477" t="s">
        <v>2007</v>
      </c>
      <c r="G93" s="135" t="str">
        <f>VLOOKUP(A93,Plano_V3!$A$26:$G$768,7,0)</f>
        <v>1. Concluído</v>
      </c>
      <c r="H93" s="135" t="s">
        <v>612</v>
      </c>
      <c r="I93" s="473" t="s">
        <v>2416</v>
      </c>
      <c r="J93" s="359" t="s">
        <v>2243</v>
      </c>
      <c r="K93" s="359" t="s">
        <v>2240</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2379</v>
      </c>
      <c r="V93" s="372"/>
    </row>
    <row r="94" spans="1:22" ht="16.399999999999999" hidden="1" customHeight="1">
      <c r="A94" s="29" t="str">
        <f t="shared" si="2"/>
        <v>PROPERTY_ENERGY_CERTIFICATEEPC</v>
      </c>
      <c r="B94" s="141" t="s">
        <v>26</v>
      </c>
      <c r="C94" s="137" t="s">
        <v>54</v>
      </c>
      <c r="D94" s="133" t="s">
        <v>40</v>
      </c>
      <c r="E94" s="134" t="s">
        <v>123</v>
      </c>
      <c r="F94" s="476" t="s">
        <v>47</v>
      </c>
      <c r="G94" s="135" t="str">
        <f>VLOOKUP(A94,Plano_V3!$A$26:$G$768,7,0)</f>
        <v>1. Concluído</v>
      </c>
      <c r="H94" s="135" t="s">
        <v>612</v>
      </c>
      <c r="I94" s="473"/>
      <c r="J94" s="359" t="s">
        <v>2243</v>
      </c>
      <c r="K94" s="359" t="s">
        <v>2425</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2321</v>
      </c>
      <c r="V94" s="372"/>
    </row>
    <row r="95" spans="1:22" ht="16.399999999999999" hidden="1" customHeight="1">
      <c r="A95" s="29" t="str">
        <f t="shared" si="2"/>
        <v>PROPERTY_ENERGY_CERTIFICATEPRMRY_ENRGY_DMND_RFRNC_VL</v>
      </c>
      <c r="B95" s="141" t="s">
        <v>26</v>
      </c>
      <c r="C95" s="137" t="s">
        <v>54</v>
      </c>
      <c r="D95" s="133" t="s">
        <v>40</v>
      </c>
      <c r="E95" s="134" t="s">
        <v>123</v>
      </c>
      <c r="F95" s="476" t="s">
        <v>2265</v>
      </c>
      <c r="G95" s="135" t="str">
        <f>VLOOKUP(A95,Plano_V3!$A$26:$G$768,7,0)</f>
        <v>1. Concluído</v>
      </c>
      <c r="H95" s="135" t="s">
        <v>612</v>
      </c>
      <c r="I95" s="473"/>
      <c r="J95" s="359"/>
      <c r="K95" s="359" t="s">
        <v>2240</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2321</v>
      </c>
      <c r="V95" s="372"/>
    </row>
    <row r="96" spans="1:22" ht="16.399999999999999" customHeight="1">
      <c r="A96" s="29" t="str">
        <f t="shared" si="2"/>
        <v>PROPERTY_ENERGY_CERTIFICATECARBON_EMISSION_VALUE_YEAR</v>
      </c>
      <c r="B96" s="141" t="s">
        <v>26</v>
      </c>
      <c r="C96" s="137" t="s">
        <v>54</v>
      </c>
      <c r="D96" s="133" t="s">
        <v>40</v>
      </c>
      <c r="E96" s="134" t="s">
        <v>123</v>
      </c>
      <c r="F96" s="476" t="s">
        <v>52</v>
      </c>
      <c r="G96" s="135" t="str">
        <f>VLOOKUP(A96,Plano_V3!$A$26:$G$768,7,0)</f>
        <v>2.2 Em especificação</v>
      </c>
      <c r="H96" s="135" t="s">
        <v>2319</v>
      </c>
      <c r="I96" s="473"/>
      <c r="J96" s="359" t="s">
        <v>2451</v>
      </c>
      <c r="K96" s="359" t="s">
        <v>2425</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2321</v>
      </c>
      <c r="V96" s="372"/>
    </row>
    <row r="97" spans="1:22" ht="16.399999999999999" hidden="1" customHeight="1">
      <c r="A97" s="29" t="str">
        <f t="shared" si="2"/>
        <v>modesg_inp_risco_fisico_zipcodecod_pais</v>
      </c>
      <c r="B97" s="141" t="s">
        <v>26</v>
      </c>
      <c r="C97" s="137" t="s">
        <v>181</v>
      </c>
      <c r="D97" s="133" t="s">
        <v>40</v>
      </c>
      <c r="E97" s="134" t="s">
        <v>2155</v>
      </c>
      <c r="F97" s="476" t="s">
        <v>279</v>
      </c>
      <c r="G97" s="135" t="str">
        <f>VLOOKUP(A97,Plano_V3!$A$26:$G$768,7,0)</f>
        <v>1. Concluído</v>
      </c>
      <c r="H97" s="135" t="s">
        <v>612</v>
      </c>
      <c r="I97" s="473"/>
      <c r="J97" s="368" t="s">
        <v>2307</v>
      </c>
      <c r="K97" s="359" t="s">
        <v>2240</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2314</v>
      </c>
      <c r="S97" s="372"/>
      <c r="T97" s="372"/>
      <c r="U97" s="372" t="s">
        <v>2322</v>
      </c>
      <c r="V97" s="324" t="s">
        <v>1857</v>
      </c>
    </row>
    <row r="98" spans="1:22" ht="16.399999999999999" hidden="1" customHeight="1">
      <c r="A98" s="29" t="str">
        <f t="shared" si="2"/>
        <v>modesg_inp_risco_fisico_zipcodelocalizacao</v>
      </c>
      <c r="B98" s="141" t="s">
        <v>26</v>
      </c>
      <c r="C98" s="137" t="s">
        <v>181</v>
      </c>
      <c r="D98" s="133" t="s">
        <v>40</v>
      </c>
      <c r="E98" s="134" t="s">
        <v>2155</v>
      </c>
      <c r="F98" s="476" t="s">
        <v>2156</v>
      </c>
      <c r="G98" s="135" t="str">
        <f>VLOOKUP(A98,Plano_V3!$A$26:$G$768,7,0)</f>
        <v>1. Concluído</v>
      </c>
      <c r="H98" s="135" t="s">
        <v>612</v>
      </c>
      <c r="I98" s="473"/>
      <c r="J98" s="368" t="s">
        <v>2307</v>
      </c>
      <c r="K98" s="359" t="s">
        <v>2240</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2314</v>
      </c>
      <c r="S98" s="372"/>
      <c r="T98" s="372"/>
      <c r="U98" s="372" t="s">
        <v>2322</v>
      </c>
      <c r="V98" s="324" t="s">
        <v>1857</v>
      </c>
    </row>
    <row r="99" spans="1:22" ht="16.399999999999999" hidden="1" customHeight="1">
      <c r="A99" s="29" t="str">
        <f t="shared" si="2"/>
        <v>modesg_inp_risco_fisico_zipcodecod_nace_esg</v>
      </c>
      <c r="B99" s="141" t="s">
        <v>26</v>
      </c>
      <c r="C99" s="137" t="s">
        <v>181</v>
      </c>
      <c r="D99" s="133" t="s">
        <v>40</v>
      </c>
      <c r="E99" s="134" t="s">
        <v>2155</v>
      </c>
      <c r="F99" s="476" t="s">
        <v>281</v>
      </c>
      <c r="G99" s="135" t="str">
        <f>VLOOKUP(A99,Plano_V3!$A$26:$G$768,7,0)</f>
        <v>1. Concluído</v>
      </c>
      <c r="H99" s="135" t="s">
        <v>612</v>
      </c>
      <c r="I99" s="473"/>
      <c r="J99" s="368" t="s">
        <v>2307</v>
      </c>
      <c r="K99" s="359" t="s">
        <v>2240</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2314</v>
      </c>
      <c r="S99" s="372"/>
      <c r="T99" s="372"/>
      <c r="U99" s="372" t="s">
        <v>2322</v>
      </c>
      <c r="V99" s="324" t="s">
        <v>1857</v>
      </c>
    </row>
    <row r="100" spans="1:22" ht="16.399999999999999" hidden="1" customHeight="1">
      <c r="A100" s="29" t="str">
        <f t="shared" si="2"/>
        <v>modesg_inp_risco_fisico_zipcodeflg_rsc_fsc_agd</v>
      </c>
      <c r="B100" s="141" t="s">
        <v>26</v>
      </c>
      <c r="C100" s="137" t="s">
        <v>181</v>
      </c>
      <c r="D100" s="133" t="s">
        <v>40</v>
      </c>
      <c r="E100" s="134" t="s">
        <v>2155</v>
      </c>
      <c r="F100" s="476" t="s">
        <v>282</v>
      </c>
      <c r="G100" s="135" t="str">
        <f>VLOOKUP(A100,Plano_V3!$A$26:$G$768,7,0)</f>
        <v>1. Concluído</v>
      </c>
      <c r="H100" s="135" t="s">
        <v>612</v>
      </c>
      <c r="I100" s="473"/>
      <c r="J100" s="368" t="s">
        <v>2307</v>
      </c>
      <c r="K100" s="359" t="s">
        <v>2240</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2314</v>
      </c>
      <c r="S100" s="372"/>
      <c r="T100" s="372"/>
      <c r="U100" s="372" t="s">
        <v>2322</v>
      </c>
      <c r="V100" s="324" t="s">
        <v>1857</v>
      </c>
    </row>
    <row r="101" spans="1:22" ht="16.399999999999999" hidden="1" customHeight="1">
      <c r="A101" s="29" t="str">
        <f t="shared" si="2"/>
        <v>modesg_inp_risco_fisico_zipcodeflg_rsc_fsc_crnc</v>
      </c>
      <c r="B101" s="141" t="s">
        <v>26</v>
      </c>
      <c r="C101" s="137" t="s">
        <v>181</v>
      </c>
      <c r="D101" s="133" t="s">
        <v>40</v>
      </c>
      <c r="E101" s="134" t="s">
        <v>2155</v>
      </c>
      <c r="F101" s="476" t="s">
        <v>283</v>
      </c>
      <c r="G101" s="135" t="str">
        <f>VLOOKUP(A101,Plano_V3!$A$26:$G$768,7,0)</f>
        <v>1. Concluído</v>
      </c>
      <c r="H101" s="135" t="s">
        <v>612</v>
      </c>
      <c r="I101" s="473"/>
      <c r="J101" s="368" t="s">
        <v>2307</v>
      </c>
      <c r="K101" s="359" t="s">
        <v>2240</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2314</v>
      </c>
      <c r="S101" s="372"/>
      <c r="T101" s="372"/>
      <c r="U101" s="372" t="s">
        <v>2322</v>
      </c>
      <c r="V101" s="324" t="s">
        <v>1857</v>
      </c>
    </row>
    <row r="102" spans="1:22" ht="16.399999999999999" hidden="1" customHeight="1">
      <c r="A102" s="29" t="str">
        <f t="shared" si="2"/>
        <v>modesg_out_bens_imoveisflg_rsc_fsc_agd</v>
      </c>
      <c r="B102" s="141" t="s">
        <v>26</v>
      </c>
      <c r="C102" s="137" t="s">
        <v>310</v>
      </c>
      <c r="D102" s="133" t="s">
        <v>40</v>
      </c>
      <c r="E102" s="134" t="s">
        <v>311</v>
      </c>
      <c r="F102" s="476" t="s">
        <v>282</v>
      </c>
      <c r="G102" s="135" t="str">
        <f>VLOOKUP(A102,Plano_V3!$A$26:$G$768,7,0)</f>
        <v>1. Concluído</v>
      </c>
      <c r="H102" s="135" t="s">
        <v>612</v>
      </c>
      <c r="I102" s="473"/>
      <c r="J102" s="368" t="s">
        <v>2307</v>
      </c>
      <c r="K102" s="359" t="s">
        <v>2240</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2314</v>
      </c>
      <c r="S102" s="324"/>
      <c r="T102" s="324"/>
      <c r="U102" s="372" t="s">
        <v>2321</v>
      </c>
      <c r="V102" s="324" t="s">
        <v>1857</v>
      </c>
    </row>
    <row r="103" spans="1:22" ht="16.399999999999999" hidden="1" customHeight="1">
      <c r="A103" s="29" t="str">
        <f t="shared" si="2"/>
        <v>modesg_out_bens_imoveisflg_rsc_fsc_crnc</v>
      </c>
      <c r="B103" s="141" t="s">
        <v>26</v>
      </c>
      <c r="C103" s="137" t="s">
        <v>310</v>
      </c>
      <c r="D103" s="133" t="s">
        <v>40</v>
      </c>
      <c r="E103" s="134" t="s">
        <v>311</v>
      </c>
      <c r="F103" s="476" t="s">
        <v>283</v>
      </c>
      <c r="G103" s="135" t="str">
        <f>VLOOKUP(A103,Plano_V3!$A$26:$G$768,7,0)</f>
        <v>1. Concluído</v>
      </c>
      <c r="H103" s="135" t="s">
        <v>612</v>
      </c>
      <c r="I103" s="473"/>
      <c r="J103" s="368" t="s">
        <v>2307</v>
      </c>
      <c r="K103" s="359" t="s">
        <v>2240</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2314</v>
      </c>
      <c r="S103" s="324"/>
      <c r="T103" s="324"/>
      <c r="U103" s="372" t="s">
        <v>2321</v>
      </c>
      <c r="V103" s="324" t="s">
        <v>1857</v>
      </c>
    </row>
    <row r="104" spans="1:22" ht="16.399999999999999" hidden="1" customHeight="1">
      <c r="A104" s="29" t="str">
        <f t="shared" si="2"/>
        <v>modesg_out_bens_imoveisorigem_flg_rsc_fsc_agd</v>
      </c>
      <c r="B104" s="141" t="s">
        <v>26</v>
      </c>
      <c r="C104" s="137" t="s">
        <v>310</v>
      </c>
      <c r="D104" s="133" t="s">
        <v>40</v>
      </c>
      <c r="E104" s="134" t="s">
        <v>311</v>
      </c>
      <c r="F104" s="476" t="s">
        <v>317</v>
      </c>
      <c r="G104" s="135" t="str">
        <f>VLOOKUP(A104,Plano_V3!$A$26:$G$768,7,0)</f>
        <v>1. Concluído</v>
      </c>
      <c r="H104" s="135" t="s">
        <v>612</v>
      </c>
      <c r="I104" s="473"/>
      <c r="J104" s="368" t="s">
        <v>2307</v>
      </c>
      <c r="K104" s="359" t="s">
        <v>2240</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2314</v>
      </c>
      <c r="S104" s="324"/>
      <c r="T104" s="324"/>
      <c r="U104" s="372" t="s">
        <v>2321</v>
      </c>
      <c r="V104" s="324"/>
    </row>
    <row r="105" spans="1:22" ht="16.399999999999999" hidden="1" customHeight="1">
      <c r="A105" s="29" t="str">
        <f t="shared" si="2"/>
        <v>modesg_out_bens_imoveisorigem_flg_rsc_fsc_crnc</v>
      </c>
      <c r="B105" s="141" t="s">
        <v>26</v>
      </c>
      <c r="C105" s="137" t="s">
        <v>310</v>
      </c>
      <c r="D105" s="133" t="s">
        <v>40</v>
      </c>
      <c r="E105" s="134" t="s">
        <v>311</v>
      </c>
      <c r="F105" s="476" t="s">
        <v>318</v>
      </c>
      <c r="G105" s="135" t="str">
        <f>VLOOKUP(A105,Plano_V3!$A$26:$G$768,7,0)</f>
        <v>1. Concluído</v>
      </c>
      <c r="H105" s="135" t="s">
        <v>612</v>
      </c>
      <c r="I105" s="473"/>
      <c r="J105" s="368" t="s">
        <v>2307</v>
      </c>
      <c r="K105" s="359" t="s">
        <v>2240</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2314</v>
      </c>
      <c r="S105" s="324"/>
      <c r="T105" s="324"/>
      <c r="U105" s="372" t="s">
        <v>2321</v>
      </c>
      <c r="V105" s="324"/>
    </row>
    <row r="106" spans="1:22" ht="16.399999999999999" hidden="1" customHeight="1">
      <c r="A106" s="29" t="str">
        <f t="shared" si="2"/>
        <v>modesg_out_empr_info_nfinorigem_scp1_emss</v>
      </c>
      <c r="B106" s="141" t="s">
        <v>26</v>
      </c>
      <c r="C106" s="137" t="s">
        <v>310</v>
      </c>
      <c r="D106" s="133" t="s">
        <v>40</v>
      </c>
      <c r="E106" s="134" t="s">
        <v>325</v>
      </c>
      <c r="F106" s="476" t="s">
        <v>319</v>
      </c>
      <c r="G106" s="135" t="str">
        <f>VLOOKUP(A106,Plano_V3!$A$26:$G$768,7,0)</f>
        <v>1. Concluído</v>
      </c>
      <c r="H106" s="135" t="s">
        <v>612</v>
      </c>
      <c r="I106" s="473"/>
      <c r="J106" s="153"/>
      <c r="K106" s="359" t="s">
        <v>2240</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2321</v>
      </c>
      <c r="V106" s="324" t="s">
        <v>1857</v>
      </c>
    </row>
    <row r="107" spans="1:22" ht="16.399999999999999" hidden="1" customHeight="1">
      <c r="A107" s="29" t="str">
        <f t="shared" si="2"/>
        <v>modesg_out_empr_info_nfinorigem_scp2_emss</v>
      </c>
      <c r="B107" s="141" t="s">
        <v>26</v>
      </c>
      <c r="C107" s="137" t="s">
        <v>310</v>
      </c>
      <c r="D107" s="133" t="s">
        <v>40</v>
      </c>
      <c r="E107" s="134" t="s">
        <v>325</v>
      </c>
      <c r="F107" s="476" t="s">
        <v>320</v>
      </c>
      <c r="G107" s="135" t="str">
        <f>VLOOKUP(A107,Plano_V3!$A$26:$G$768,7,0)</f>
        <v>1. Concluído</v>
      </c>
      <c r="H107" s="135" t="s">
        <v>612</v>
      </c>
      <c r="I107" s="473"/>
      <c r="J107" s="153"/>
      <c r="K107" s="359" t="s">
        <v>2240</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2321</v>
      </c>
      <c r="V107" s="324" t="s">
        <v>1857</v>
      </c>
    </row>
    <row r="108" spans="1:22" ht="16.399999999999999" hidden="1" customHeight="1">
      <c r="A108" s="29" t="str">
        <f t="shared" si="2"/>
        <v>modesg_out_empr_info_nfinorigem_scp3_emss</v>
      </c>
      <c r="B108" s="141" t="s">
        <v>26</v>
      </c>
      <c r="C108" s="137" t="s">
        <v>310</v>
      </c>
      <c r="D108" s="133" t="s">
        <v>40</v>
      </c>
      <c r="E108" s="134" t="s">
        <v>325</v>
      </c>
      <c r="F108" s="476" t="s">
        <v>321</v>
      </c>
      <c r="G108" s="135" t="str">
        <f>VLOOKUP(A108,Plano_V3!$A$26:$G$768,7,0)</f>
        <v>1. Concluído</v>
      </c>
      <c r="H108" s="135" t="s">
        <v>612</v>
      </c>
      <c r="I108" s="473"/>
      <c r="J108" s="153"/>
      <c r="K108" s="359" t="s">
        <v>2240</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2321</v>
      </c>
      <c r="V108" s="324" t="s">
        <v>1857</v>
      </c>
    </row>
    <row r="109" spans="1:22" ht="16.399999999999999" hidden="1" customHeight="1">
      <c r="A109" s="29" t="str">
        <f t="shared" si="2"/>
        <v>modesg_out_empr_info_nfinscp1_emss</v>
      </c>
      <c r="B109" s="141" t="s">
        <v>26</v>
      </c>
      <c r="C109" s="137" t="s">
        <v>310</v>
      </c>
      <c r="D109" s="133" t="s">
        <v>40</v>
      </c>
      <c r="E109" s="134" t="s">
        <v>325</v>
      </c>
      <c r="F109" s="476" t="s">
        <v>285</v>
      </c>
      <c r="G109" s="135" t="str">
        <f>VLOOKUP(A109,Plano_V3!$A$26:$G$768,7,0)</f>
        <v>1. Concluído</v>
      </c>
      <c r="H109" s="135" t="s">
        <v>612</v>
      </c>
      <c r="I109" s="473"/>
      <c r="J109" s="153"/>
      <c r="K109" s="359" t="s">
        <v>2240</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2321</v>
      </c>
      <c r="V109" s="324" t="s">
        <v>1857</v>
      </c>
    </row>
    <row r="110" spans="1:22" ht="16.399999999999999" hidden="1" customHeight="1">
      <c r="A110" s="29" t="str">
        <f t="shared" si="2"/>
        <v>modesg_out_empr_info_nfinscp2_emss</v>
      </c>
      <c r="B110" s="141" t="s">
        <v>26</v>
      </c>
      <c r="C110" s="137" t="s">
        <v>310</v>
      </c>
      <c r="D110" s="133" t="s">
        <v>40</v>
      </c>
      <c r="E110" s="134" t="s">
        <v>325</v>
      </c>
      <c r="F110" s="476" t="s">
        <v>286</v>
      </c>
      <c r="G110" s="135" t="str">
        <f>VLOOKUP(A110,Plano_V3!$A$26:$G$768,7,0)</f>
        <v>1. Concluído</v>
      </c>
      <c r="H110" s="135" t="s">
        <v>612</v>
      </c>
      <c r="I110" s="473"/>
      <c r="J110" s="153"/>
      <c r="K110" s="359" t="s">
        <v>2240</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2321</v>
      </c>
      <c r="V110" s="324" t="s">
        <v>1857</v>
      </c>
    </row>
    <row r="111" spans="1:22" ht="16.399999999999999" hidden="1" customHeight="1">
      <c r="A111" s="29" t="str">
        <f t="shared" si="2"/>
        <v>modesg_out_empr_info_nfinscp3_emss</v>
      </c>
      <c r="B111" s="141" t="s">
        <v>26</v>
      </c>
      <c r="C111" s="137" t="s">
        <v>310</v>
      </c>
      <c r="D111" s="133" t="s">
        <v>40</v>
      </c>
      <c r="E111" s="134" t="s">
        <v>325</v>
      </c>
      <c r="F111" s="476" t="s">
        <v>287</v>
      </c>
      <c r="G111" s="135" t="str">
        <f>VLOOKUP(A111,Plano_V3!$A$26:$G$768,7,0)</f>
        <v>1. Concluído</v>
      </c>
      <c r="H111" s="135" t="s">
        <v>612</v>
      </c>
      <c r="I111" s="473"/>
      <c r="J111" s="153"/>
      <c r="K111" s="359" t="s">
        <v>2240</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2321</v>
      </c>
      <c r="V111" s="324" t="s">
        <v>1857</v>
      </c>
    </row>
    <row r="112" spans="1:22" ht="16.399999999999999" hidden="1" customHeight="1">
      <c r="A112" s="29" t="str">
        <f t="shared" si="2"/>
        <v>modesg_out_empr_info_nfindivida_total</v>
      </c>
      <c r="B112" s="141" t="s">
        <v>26</v>
      </c>
      <c r="C112" s="137" t="s">
        <v>310</v>
      </c>
      <c r="D112" s="133" t="s">
        <v>40</v>
      </c>
      <c r="E112" s="134" t="s">
        <v>325</v>
      </c>
      <c r="F112" s="476" t="s">
        <v>295</v>
      </c>
      <c r="G112" s="135" t="str">
        <f>VLOOKUP(A112,Plano_V3!$A$26:$G$768,7,0)</f>
        <v>1. Concluído</v>
      </c>
      <c r="H112" s="135" t="s">
        <v>612</v>
      </c>
      <c r="I112" s="473"/>
      <c r="J112" s="153"/>
      <c r="K112" s="359" t="s">
        <v>2240</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2321</v>
      </c>
      <c r="V112" s="324" t="s">
        <v>1857</v>
      </c>
    </row>
    <row r="113" spans="1:22" ht="16.399999999999999" hidden="1" customHeight="1">
      <c r="A113" s="29" t="str">
        <f t="shared" si="2"/>
        <v>modesg_out_empr_info_nfincapital_proprio</v>
      </c>
      <c r="B113" s="141" t="s">
        <v>26</v>
      </c>
      <c r="C113" s="137" t="s">
        <v>310</v>
      </c>
      <c r="D113" s="133" t="s">
        <v>40</v>
      </c>
      <c r="E113" s="134" t="s">
        <v>325</v>
      </c>
      <c r="F113" s="476" t="s">
        <v>296</v>
      </c>
      <c r="G113" s="135" t="str">
        <f>VLOOKUP(A113,Plano_V3!$A$26:$G$768,7,0)</f>
        <v>1. Concluído</v>
      </c>
      <c r="H113" s="135" t="s">
        <v>612</v>
      </c>
      <c r="I113" s="473"/>
      <c r="J113" s="153"/>
      <c r="K113" s="359" t="s">
        <v>2240</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2321</v>
      </c>
      <c r="V113" s="324" t="s">
        <v>1857</v>
      </c>
    </row>
    <row r="114" spans="1:22" ht="16.399999999999999" hidden="1" customHeight="1">
      <c r="A114" s="29" t="str">
        <f t="shared" si="2"/>
        <v>lt004_protectionflg_act_physcl_rsk</v>
      </c>
      <c r="B114" s="141" t="s">
        <v>26</v>
      </c>
      <c r="C114" s="137" t="s">
        <v>26</v>
      </c>
      <c r="D114" s="133" t="s">
        <v>40</v>
      </c>
      <c r="E114" s="136" t="s">
        <v>368</v>
      </c>
      <c r="F114" s="480" t="s">
        <v>357</v>
      </c>
      <c r="G114" s="487" t="str">
        <f>VLOOKUP(A114,Plano_V3!$A$26:$G$768,7,0)</f>
        <v>1. Concluído</v>
      </c>
      <c r="H114" s="135" t="s">
        <v>612</v>
      </c>
      <c r="I114" s="473"/>
      <c r="J114" s="142"/>
      <c r="K114" s="142" t="s">
        <v>2240</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2321</v>
      </c>
      <c r="V114" s="324"/>
    </row>
    <row r="115" spans="1:22" ht="16.399999999999999" hidden="1" customHeight="1">
      <c r="A115" s="29" t="str">
        <f t="shared" si="2"/>
        <v>lt004_protectionflg_chrnc_physcl_rsk</v>
      </c>
      <c r="B115" s="141" t="s">
        <v>26</v>
      </c>
      <c r="C115" s="137" t="s">
        <v>26</v>
      </c>
      <c r="D115" s="133" t="s">
        <v>40</v>
      </c>
      <c r="E115" s="136" t="s">
        <v>368</v>
      </c>
      <c r="F115" s="480" t="s">
        <v>358</v>
      </c>
      <c r="G115" s="487" t="str">
        <f>VLOOKUP(A115,Plano_V3!$A$26:$G$768,7,0)</f>
        <v>1. Concluído</v>
      </c>
      <c r="H115" s="135" t="s">
        <v>612</v>
      </c>
      <c r="I115" s="473"/>
      <c r="J115" s="142"/>
      <c r="K115" s="142" t="s">
        <v>2240</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2321</v>
      </c>
      <c r="V115" s="324"/>
    </row>
    <row r="116" spans="1:22" ht="16.399999999999999" hidden="1" customHeight="1">
      <c r="A116" s="29" t="str">
        <f t="shared" si="2"/>
        <v>modesg_out_empr_info_nfincod_nace_esg</v>
      </c>
      <c r="B116" s="141" t="s">
        <v>26</v>
      </c>
      <c r="C116" s="137" t="s">
        <v>310</v>
      </c>
      <c r="D116" s="133" t="s">
        <v>40</v>
      </c>
      <c r="E116" s="134" t="s">
        <v>325</v>
      </c>
      <c r="F116" s="479" t="s">
        <v>281</v>
      </c>
      <c r="G116" s="210" t="str">
        <f>VLOOKUP(A116,Plano_V3!$A$26:$G$768,7,0)</f>
        <v>2.1 Em Teste</v>
      </c>
      <c r="H116" s="135" t="s">
        <v>1840</v>
      </c>
      <c r="I116" s="473"/>
      <c r="J116" s="368" t="s">
        <v>2243</v>
      </c>
      <c r="K116" s="359" t="s">
        <v>2241</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2321</v>
      </c>
      <c r="V116" s="324" t="s">
        <v>1856</v>
      </c>
    </row>
    <row r="117" spans="1:22" ht="16.399999999999999" hidden="1" customHeight="1">
      <c r="A117" s="29" t="str">
        <f t="shared" si="2"/>
        <v>modesg_out_empr_info_nfinflg_rsc_fsc_agd</v>
      </c>
      <c r="B117" s="141" t="s">
        <v>26</v>
      </c>
      <c r="C117" s="137" t="s">
        <v>310</v>
      </c>
      <c r="D117" s="133" t="s">
        <v>40</v>
      </c>
      <c r="E117" s="134" t="s">
        <v>325</v>
      </c>
      <c r="F117" s="476" t="s">
        <v>282</v>
      </c>
      <c r="G117" s="135" t="str">
        <f>VLOOKUP(A117,Plano_V3!$A$26:$G$768,7,0)</f>
        <v>1. Concluído</v>
      </c>
      <c r="H117" s="135" t="s">
        <v>612</v>
      </c>
      <c r="I117" s="473"/>
      <c r="J117" s="368" t="s">
        <v>2307</v>
      </c>
      <c r="K117" s="359" t="s">
        <v>2241</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2314</v>
      </c>
      <c r="S117" s="324"/>
      <c r="T117" s="324"/>
      <c r="U117" s="372" t="s">
        <v>2363</v>
      </c>
      <c r="V117" s="324" t="s">
        <v>1857</v>
      </c>
    </row>
    <row r="118" spans="1:22" ht="16.399999999999999" hidden="1" customHeight="1">
      <c r="A118" s="29" t="str">
        <f t="shared" si="2"/>
        <v>modesg_out_empr_info_nfinflg_rsc_fsc_crnc</v>
      </c>
      <c r="B118" s="141" t="s">
        <v>26</v>
      </c>
      <c r="C118" s="137" t="s">
        <v>310</v>
      </c>
      <c r="D118" s="133" t="s">
        <v>40</v>
      </c>
      <c r="E118" s="134" t="s">
        <v>325</v>
      </c>
      <c r="F118" s="476" t="s">
        <v>283</v>
      </c>
      <c r="G118" s="135" t="str">
        <f>VLOOKUP(A118,Plano_V3!$A$26:$G$768,7,0)</f>
        <v>1. Concluído</v>
      </c>
      <c r="H118" s="135" t="s">
        <v>612</v>
      </c>
      <c r="I118" s="473"/>
      <c r="J118" s="368" t="s">
        <v>2307</v>
      </c>
      <c r="K118" s="359" t="s">
        <v>2241</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2314</v>
      </c>
      <c r="S118" s="324"/>
      <c r="T118" s="324"/>
      <c r="U118" s="372" t="s">
        <v>2363</v>
      </c>
      <c r="V118" s="324" t="s">
        <v>1857</v>
      </c>
    </row>
    <row r="119" spans="1:22" ht="16.399999999999999" hidden="1" customHeight="1">
      <c r="A119" s="29" t="str">
        <f t="shared" si="2"/>
        <v>modesg_out_empr_info_nfinorigem_flg_rsc_fsc_agd</v>
      </c>
      <c r="B119" s="141" t="s">
        <v>26</v>
      </c>
      <c r="C119" s="137" t="s">
        <v>310</v>
      </c>
      <c r="D119" s="133" t="s">
        <v>40</v>
      </c>
      <c r="E119" s="134" t="s">
        <v>325</v>
      </c>
      <c r="F119" s="476" t="s">
        <v>317</v>
      </c>
      <c r="G119" s="135" t="str">
        <f>VLOOKUP(A119,Plano_V3!$A$26:$G$768,7,0)</f>
        <v>1. Concluído</v>
      </c>
      <c r="H119" s="135" t="s">
        <v>612</v>
      </c>
      <c r="I119" s="473"/>
      <c r="J119" s="368" t="s">
        <v>2307</v>
      </c>
      <c r="K119" s="359" t="s">
        <v>2241</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2314</v>
      </c>
      <c r="S119" s="324"/>
      <c r="T119" s="324"/>
      <c r="U119" s="372" t="s">
        <v>2363</v>
      </c>
      <c r="V119" s="324" t="s">
        <v>1857</v>
      </c>
    </row>
    <row r="120" spans="1:22" ht="16.399999999999999" hidden="1" customHeight="1">
      <c r="A120" s="29" t="str">
        <f t="shared" si="2"/>
        <v>modesg_out_empr_info_nfinorigem_flg_rsc_fsc_crnc</v>
      </c>
      <c r="B120" s="141" t="s">
        <v>26</v>
      </c>
      <c r="C120" s="137" t="s">
        <v>310</v>
      </c>
      <c r="D120" s="133" t="s">
        <v>40</v>
      </c>
      <c r="E120" s="134" t="s">
        <v>325</v>
      </c>
      <c r="F120" s="476" t="s">
        <v>318</v>
      </c>
      <c r="G120" s="135" t="str">
        <f>VLOOKUP(A120,Plano_V3!$A$26:$G$768,7,0)</f>
        <v>1. Concluído</v>
      </c>
      <c r="H120" s="135" t="s">
        <v>612</v>
      </c>
      <c r="I120" s="473"/>
      <c r="J120" s="368" t="s">
        <v>2307</v>
      </c>
      <c r="K120" s="359" t="s">
        <v>2241</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2314</v>
      </c>
      <c r="S120" s="324"/>
      <c r="T120" s="324"/>
      <c r="U120" s="372" t="s">
        <v>2363</v>
      </c>
      <c r="V120" s="324" t="s">
        <v>1857</v>
      </c>
    </row>
    <row r="121" spans="1:22" ht="16.399999999999999" customHeight="1">
      <c r="A121" s="29" t="str">
        <f t="shared" si="2"/>
        <v>PROPERTY_ENERGY_CERTIFICATEEP_SCORE</v>
      </c>
      <c r="B121" s="141" t="s">
        <v>26</v>
      </c>
      <c r="C121" s="137" t="s">
        <v>54</v>
      </c>
      <c r="D121" s="133" t="s">
        <v>40</v>
      </c>
      <c r="E121" s="134" t="s">
        <v>123</v>
      </c>
      <c r="F121" s="476" t="s">
        <v>135</v>
      </c>
      <c r="G121" s="135" t="str">
        <f>VLOOKUP(A121,Plano_V3!$A$26:$G$768,7,0)</f>
        <v xml:space="preserve">6. Em implementação </v>
      </c>
      <c r="H121" s="135" t="s">
        <v>2320</v>
      </c>
      <c r="I121" s="473"/>
      <c r="J121" s="359" t="s">
        <v>2425</v>
      </c>
      <c r="K121" s="359" t="s">
        <v>2425</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2321</v>
      </c>
      <c r="V121" s="372"/>
    </row>
    <row r="122" spans="1:22" ht="16.399999999999999" customHeight="1">
      <c r="A122" s="29" t="str">
        <f t="shared" si="2"/>
        <v>PROPERTY_ENERGY_CERTIFICATEENERGY_CONSUMPTION_VALUE_YEAR</v>
      </c>
      <c r="B122" s="141" t="s">
        <v>26</v>
      </c>
      <c r="C122" s="137" t="s">
        <v>54</v>
      </c>
      <c r="D122" s="133" t="s">
        <v>40</v>
      </c>
      <c r="E122" s="134" t="s">
        <v>123</v>
      </c>
      <c r="F122" s="476" t="s">
        <v>51</v>
      </c>
      <c r="G122" s="135" t="str">
        <f>VLOOKUP(A122,Plano_V3!$A$26:$G$768,7,0)</f>
        <v xml:space="preserve">6. Em implementação </v>
      </c>
      <c r="H122" s="135" t="s">
        <v>2320</v>
      </c>
      <c r="I122" s="473"/>
      <c r="J122" s="359" t="s">
        <v>2425</v>
      </c>
      <c r="K122" s="359" t="s">
        <v>2425</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2321</v>
      </c>
      <c r="V122" s="372"/>
    </row>
    <row r="123" spans="1:22" ht="16.399999999999999" hidden="1" customHeight="1">
      <c r="A123" s="29" t="str">
        <f t="shared" si="2"/>
        <v>modesg_param_sfics_taxon_europeiacod_regra</v>
      </c>
      <c r="B123" s="141" t="s">
        <v>26</v>
      </c>
      <c r="C123" s="137" t="s">
        <v>181</v>
      </c>
      <c r="D123" s="133" t="s">
        <v>40</v>
      </c>
      <c r="E123" s="134" t="s">
        <v>2097</v>
      </c>
      <c r="F123" s="476" t="s">
        <v>191</v>
      </c>
      <c r="G123" s="135" t="str">
        <f>VLOOKUP(A123,Plano_V3!$A$26:$G$768,7,0)</f>
        <v xml:space="preserve">6. Em implementação </v>
      </c>
      <c r="H123" s="135" t="s">
        <v>2320</v>
      </c>
      <c r="I123" s="473"/>
      <c r="J123" s="153"/>
      <c r="K123" s="359" t="s">
        <v>2425</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2321</v>
      </c>
      <c r="V123" s="324" t="s">
        <v>2309</v>
      </c>
    </row>
    <row r="124" spans="1:22" ht="16.399999999999999" hidden="1" customHeight="1">
      <c r="A124" s="29" t="str">
        <f t="shared" si="2"/>
        <v>modesg_param_sfics_taxon_europeianivel</v>
      </c>
      <c r="B124" s="141" t="s">
        <v>26</v>
      </c>
      <c r="C124" s="137" t="s">
        <v>181</v>
      </c>
      <c r="D124" s="133" t="s">
        <v>40</v>
      </c>
      <c r="E124" s="134" t="s">
        <v>2097</v>
      </c>
      <c r="F124" s="476" t="s">
        <v>2409</v>
      </c>
      <c r="G124" s="135" t="str">
        <f>VLOOKUP(A124,Plano_V3!$A$26:$G$768,7,0)</f>
        <v>0. Cancelado</v>
      </c>
      <c r="H124" s="135" t="s">
        <v>611</v>
      </c>
      <c r="I124" s="473"/>
      <c r="J124" s="153"/>
      <c r="K124" s="359" t="s">
        <v>2425</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2321</v>
      </c>
      <c r="V124" s="324" t="s">
        <v>2309</v>
      </c>
    </row>
    <row r="125" spans="1:22" ht="16.399999999999999" hidden="1" customHeight="1">
      <c r="A125" s="29" t="str">
        <f t="shared" si="2"/>
        <v>modesg_param_sfics_taxon_europeiagrupo_regra</v>
      </c>
      <c r="B125" s="141" t="s">
        <v>26</v>
      </c>
      <c r="C125" s="137" t="s">
        <v>181</v>
      </c>
      <c r="D125" s="133" t="s">
        <v>40</v>
      </c>
      <c r="E125" s="134" t="s">
        <v>2097</v>
      </c>
      <c r="F125" s="476" t="s">
        <v>2417</v>
      </c>
      <c r="G125" s="135" t="str">
        <f>VLOOKUP(A125,Plano_V3!$A$26:$G$768,7,0)</f>
        <v xml:space="preserve">6. Em implementação </v>
      </c>
      <c r="H125" s="135" t="s">
        <v>2320</v>
      </c>
      <c r="I125" s="473"/>
      <c r="J125" s="153"/>
      <c r="K125" s="359" t="s">
        <v>2425</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2427</v>
      </c>
      <c r="V125" s="324"/>
    </row>
    <row r="126" spans="1:22" ht="16.399999999999999" hidden="1" customHeight="1">
      <c r="A126" s="29" t="str">
        <f t="shared" si="2"/>
        <v>modesg_param_sfics_taxon_europeiadscrc</v>
      </c>
      <c r="B126" s="141" t="s">
        <v>26</v>
      </c>
      <c r="C126" s="137" t="s">
        <v>181</v>
      </c>
      <c r="D126" s="133" t="s">
        <v>40</v>
      </c>
      <c r="E126" s="134" t="s">
        <v>2097</v>
      </c>
      <c r="F126" s="476" t="s">
        <v>197</v>
      </c>
      <c r="G126" s="135" t="str">
        <f>VLOOKUP(A126,Plano_V3!$A$26:$G$768,7,0)</f>
        <v xml:space="preserve">6. Em implementação </v>
      </c>
      <c r="H126" s="135" t="s">
        <v>2320</v>
      </c>
      <c r="I126" s="473"/>
      <c r="J126" s="153"/>
      <c r="K126" s="359" t="s">
        <v>2425</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2321</v>
      </c>
      <c r="V126" s="324" t="s">
        <v>2309</v>
      </c>
    </row>
    <row r="127" spans="1:22" ht="16.399999999999999" hidden="1" customHeight="1">
      <c r="A127" s="29" t="str">
        <f t="shared" si="2"/>
        <v>modesg_param_sfics_taxon_europeiacomite</v>
      </c>
      <c r="B127" s="141" t="s">
        <v>26</v>
      </c>
      <c r="C127" s="137" t="s">
        <v>181</v>
      </c>
      <c r="D127" s="133" t="s">
        <v>40</v>
      </c>
      <c r="E127" s="134" t="s">
        <v>2097</v>
      </c>
      <c r="F127" s="476" t="s">
        <v>192</v>
      </c>
      <c r="G127" s="135" t="str">
        <f>VLOOKUP(A127,Plano_V3!$A$26:$G$768,7,0)</f>
        <v xml:space="preserve">6. Em implementação </v>
      </c>
      <c r="H127" s="135" t="s">
        <v>2320</v>
      </c>
      <c r="I127" s="473"/>
      <c r="J127" s="153"/>
      <c r="K127" s="359" t="s">
        <v>2425</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2321</v>
      </c>
      <c r="V127" s="324" t="s">
        <v>2309</v>
      </c>
    </row>
    <row r="128" spans="1:22" ht="16.399999999999999" hidden="1" customHeight="1">
      <c r="A128" s="29" t="str">
        <f t="shared" si="2"/>
        <v>modesg_param_sfics_taxon_europeiadata_aprvc</v>
      </c>
      <c r="B128" s="141" t="s">
        <v>26</v>
      </c>
      <c r="C128" s="137" t="s">
        <v>181</v>
      </c>
      <c r="D128" s="133" t="s">
        <v>40</v>
      </c>
      <c r="E128" s="134" t="s">
        <v>2097</v>
      </c>
      <c r="F128" s="476" t="s">
        <v>193</v>
      </c>
      <c r="G128" s="135" t="str">
        <f>VLOOKUP(A128,Plano_V3!$A$26:$G$768,7,0)</f>
        <v xml:space="preserve">6. Em implementação </v>
      </c>
      <c r="H128" s="135" t="s">
        <v>2320</v>
      </c>
      <c r="I128" s="473"/>
      <c r="J128" s="153"/>
      <c r="K128" s="359" t="s">
        <v>2425</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2321</v>
      </c>
      <c r="V128" s="324" t="s">
        <v>2309</v>
      </c>
    </row>
    <row r="129" spans="1:22" ht="16.399999999999999" hidden="1" customHeight="1">
      <c r="A129" s="29" t="str">
        <f t="shared" si="2"/>
        <v>modesg_param_sfics_taxon_europeiadata_inicial</v>
      </c>
      <c r="B129" s="141" t="s">
        <v>26</v>
      </c>
      <c r="C129" s="137" t="s">
        <v>181</v>
      </c>
      <c r="D129" s="133" t="s">
        <v>40</v>
      </c>
      <c r="E129" s="134" t="s">
        <v>2097</v>
      </c>
      <c r="F129" s="476" t="s">
        <v>195</v>
      </c>
      <c r="G129" s="135" t="str">
        <f>VLOOKUP(A129,Plano_V3!$A$26:$G$768,7,0)</f>
        <v xml:space="preserve">6. Em implementação </v>
      </c>
      <c r="H129" s="135" t="s">
        <v>2320</v>
      </c>
      <c r="I129" s="473"/>
      <c r="J129" s="153"/>
      <c r="K129" s="359" t="s">
        <v>2425</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2321</v>
      </c>
      <c r="V129" s="324" t="s">
        <v>2309</v>
      </c>
    </row>
    <row r="130" spans="1:22" ht="16.399999999999999" hidden="1" customHeight="1">
      <c r="A130" s="29" t="str">
        <f t="shared" si="2"/>
        <v>modesg_param_sfics_taxon_europeiadata_final</v>
      </c>
      <c r="B130" s="141" t="s">
        <v>26</v>
      </c>
      <c r="C130" s="137" t="s">
        <v>181</v>
      </c>
      <c r="D130" s="133" t="s">
        <v>40</v>
      </c>
      <c r="E130" s="134" t="s">
        <v>2097</v>
      </c>
      <c r="F130" s="476" t="s">
        <v>194</v>
      </c>
      <c r="G130" s="135" t="str">
        <f>VLOOKUP(A130,Plano_V3!$A$26:$G$768,7,0)</f>
        <v xml:space="preserve">6. Em implementação </v>
      </c>
      <c r="H130" s="135" t="s">
        <v>2320</v>
      </c>
      <c r="I130" s="473"/>
      <c r="J130" s="153"/>
      <c r="K130" s="359" t="s">
        <v>2425</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2321</v>
      </c>
      <c r="V130" s="324" t="s">
        <v>2309</v>
      </c>
    </row>
    <row r="131" spans="1:22" ht="16.399999999999999" hidden="1" customHeight="1">
      <c r="A131" s="29" t="str">
        <f t="shared" si="2"/>
        <v>modesg_param_sfics_taxon_europeiazcliente</v>
      </c>
      <c r="B131" s="141" t="s">
        <v>26</v>
      </c>
      <c r="C131" s="137" t="s">
        <v>181</v>
      </c>
      <c r="D131" s="133" t="s">
        <v>40</v>
      </c>
      <c r="E131" s="134" t="s">
        <v>2097</v>
      </c>
      <c r="F131" s="476" t="s">
        <v>209</v>
      </c>
      <c r="G131" s="135" t="str">
        <f>VLOOKUP(A131,Plano_V3!$A$26:$G$768,7,0)</f>
        <v xml:space="preserve">6. Em implementação </v>
      </c>
      <c r="H131" s="135" t="s">
        <v>2320</v>
      </c>
      <c r="I131" s="473"/>
      <c r="J131" s="153"/>
      <c r="K131" s="359" t="s">
        <v>2425</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2321</v>
      </c>
      <c r="V131" s="324" t="s">
        <v>2309</v>
      </c>
    </row>
    <row r="132" spans="1:22" ht="16.399999999999999" hidden="1" customHeight="1">
      <c r="A132" s="29" t="str">
        <f t="shared" si="2"/>
        <v>modesg_param_sfics_taxon_europeiacempcta</v>
      </c>
      <c r="B132" s="141" t="s">
        <v>26</v>
      </c>
      <c r="C132" s="137" t="s">
        <v>181</v>
      </c>
      <c r="D132" s="133" t="s">
        <v>40</v>
      </c>
      <c r="E132" s="134" t="s">
        <v>2097</v>
      </c>
      <c r="F132" s="476" t="s">
        <v>2404</v>
      </c>
      <c r="G132" s="135" t="str">
        <f>VLOOKUP(A132,Plano_V3!$A$26:$G$768,7,0)</f>
        <v xml:space="preserve">6. Em implementação </v>
      </c>
      <c r="H132" s="135" t="s">
        <v>2320</v>
      </c>
      <c r="I132" s="473"/>
      <c r="J132" s="153"/>
      <c r="K132" s="359" t="s">
        <v>2425</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2323</v>
      </c>
      <c r="V132" s="324" t="s">
        <v>2309</v>
      </c>
    </row>
    <row r="133" spans="1:22" ht="16.399999999999999" hidden="1" customHeight="1">
      <c r="A133" s="29" t="str">
        <f t="shared" si="2"/>
        <v>modesg_param_sfics_taxon_europeiackbalcao</v>
      </c>
      <c r="B133" s="141" t="s">
        <v>26</v>
      </c>
      <c r="C133" s="137" t="s">
        <v>181</v>
      </c>
      <c r="D133" s="133" t="s">
        <v>40</v>
      </c>
      <c r="E133" s="134" t="s">
        <v>2097</v>
      </c>
      <c r="F133" s="476" t="s">
        <v>457</v>
      </c>
      <c r="G133" s="135" t="str">
        <f>VLOOKUP(A133,Plano_V3!$A$26:$G$768,7,0)</f>
        <v xml:space="preserve">6. Em implementação </v>
      </c>
      <c r="H133" s="135" t="s">
        <v>2320</v>
      </c>
      <c r="I133" s="473"/>
      <c r="J133" s="153"/>
      <c r="K133" s="359" t="s">
        <v>2425</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2321</v>
      </c>
      <c r="V133" s="324" t="s">
        <v>2309</v>
      </c>
    </row>
    <row r="134" spans="1:22" ht="16.399999999999999" hidden="1" customHeight="1">
      <c r="A134" s="29" t="str">
        <f t="shared" si="2"/>
        <v>modesg_param_sfics_taxon_europeiacknumcta</v>
      </c>
      <c r="B134" s="141" t="s">
        <v>26</v>
      </c>
      <c r="C134" s="137" t="s">
        <v>181</v>
      </c>
      <c r="D134" s="133" t="s">
        <v>40</v>
      </c>
      <c r="E134" s="134" t="s">
        <v>2097</v>
      </c>
      <c r="F134" s="476" t="s">
        <v>458</v>
      </c>
      <c r="G134" s="135" t="str">
        <f>VLOOKUP(A134,Plano_V3!$A$26:$G$768,7,0)</f>
        <v xml:space="preserve">6. Em implementação </v>
      </c>
      <c r="H134" s="135" t="s">
        <v>2320</v>
      </c>
      <c r="I134" s="473"/>
      <c r="J134" s="153"/>
      <c r="K134" s="359" t="s">
        <v>2425</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2321</v>
      </c>
      <c r="V134" s="324" t="s">
        <v>2309</v>
      </c>
    </row>
    <row r="135" spans="1:22" ht="16.399999999999999" hidden="1" customHeight="1">
      <c r="A135" s="29" t="str">
        <f t="shared" si="2"/>
        <v>modesg_param_sfics_taxon_europeiazdeposit</v>
      </c>
      <c r="B135" s="141" t="s">
        <v>26</v>
      </c>
      <c r="C135" s="137" t="s">
        <v>181</v>
      </c>
      <c r="D135" s="133" t="s">
        <v>40</v>
      </c>
      <c r="E135" s="134" t="s">
        <v>2097</v>
      </c>
      <c r="F135" s="476" t="s">
        <v>210</v>
      </c>
      <c r="G135" s="135" t="str">
        <f>VLOOKUP(A135,Plano_V3!$A$26:$G$768,7,0)</f>
        <v xml:space="preserve">6. Em implementação </v>
      </c>
      <c r="H135" s="135" t="s">
        <v>2320</v>
      </c>
      <c r="I135" s="473"/>
      <c r="J135" s="153"/>
      <c r="K135" s="359" t="s">
        <v>2425</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2321</v>
      </c>
      <c r="V135" s="324" t="s">
        <v>2309</v>
      </c>
    </row>
    <row r="136" spans="1:22" ht="16.399999999999999" hidden="1" customHeight="1">
      <c r="A136" s="29" t="str">
        <f t="shared" si="2"/>
        <v>modesg_param_sfics_taxon_europeiackmetamis</v>
      </c>
      <c r="B136" s="141" t="s">
        <v>26</v>
      </c>
      <c r="C136" s="137" t="s">
        <v>181</v>
      </c>
      <c r="D136" s="133" t="s">
        <v>40</v>
      </c>
      <c r="E136" s="134" t="s">
        <v>2097</v>
      </c>
      <c r="F136" s="476" t="s">
        <v>185</v>
      </c>
      <c r="G136" s="135" t="str">
        <f>VLOOKUP(A136,Plano_V3!$A$26:$G$768,7,0)</f>
        <v xml:space="preserve">6. Em implementação </v>
      </c>
      <c r="H136" s="135" t="s">
        <v>2320</v>
      </c>
      <c r="I136" s="473"/>
      <c r="J136" s="153"/>
      <c r="K136" s="359" t="s">
        <v>2425</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2321</v>
      </c>
      <c r="V136" s="324" t="s">
        <v>2309</v>
      </c>
    </row>
    <row r="137" spans="1:22" ht="16.399999999999999" hidden="1" customHeight="1">
      <c r="A137" s="29" t="str">
        <f t="shared" ref="A137:A200" si="3">E137&amp;F137</f>
        <v>modesg_param_sfics_taxon_europeiackprodmi</v>
      </c>
      <c r="B137" s="141" t="s">
        <v>26</v>
      </c>
      <c r="C137" s="137" t="s">
        <v>181</v>
      </c>
      <c r="D137" s="133" t="s">
        <v>40</v>
      </c>
      <c r="E137" s="134" t="s">
        <v>2097</v>
      </c>
      <c r="F137" s="476" t="s">
        <v>186</v>
      </c>
      <c r="G137" s="135" t="str">
        <f>VLOOKUP(A137,Plano_V3!$A$26:$G$768,7,0)</f>
        <v xml:space="preserve">6. Em implementação </v>
      </c>
      <c r="H137" s="135" t="s">
        <v>2320</v>
      </c>
      <c r="I137" s="473"/>
      <c r="J137" s="153"/>
      <c r="K137" s="359" t="s">
        <v>2425</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2321</v>
      </c>
      <c r="V137" s="324" t="s">
        <v>2309</v>
      </c>
    </row>
    <row r="138" spans="1:22" ht="16.399999999999999" hidden="1" customHeight="1">
      <c r="A138" s="29" t="str">
        <f t="shared" si="3"/>
        <v>modesg_param_sfics_taxon_europeiacmetanseg</v>
      </c>
      <c r="B138" s="141" t="s">
        <v>26</v>
      </c>
      <c r="C138" s="137" t="s">
        <v>181</v>
      </c>
      <c r="D138" s="133" t="s">
        <v>40</v>
      </c>
      <c r="E138" s="134" t="s">
        <v>2097</v>
      </c>
      <c r="F138" s="476" t="s">
        <v>187</v>
      </c>
      <c r="G138" s="135" t="str">
        <f>VLOOKUP(A138,Plano_V3!$A$26:$G$768,7,0)</f>
        <v xml:space="preserve">6. Em implementação </v>
      </c>
      <c r="H138" s="135" t="s">
        <v>2320</v>
      </c>
      <c r="I138" s="473"/>
      <c r="J138" s="153"/>
      <c r="K138" s="359" t="s">
        <v>2425</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2321</v>
      </c>
      <c r="V138" s="324" t="s">
        <v>2309</v>
      </c>
    </row>
    <row r="139" spans="1:22" ht="16.399999999999999" hidden="1" customHeight="1">
      <c r="A139" s="29" t="str">
        <f t="shared" si="3"/>
        <v>modesg_param_sfics_taxon_europeiaepc</v>
      </c>
      <c r="B139" s="141" t="s">
        <v>26</v>
      </c>
      <c r="C139" s="137" t="s">
        <v>181</v>
      </c>
      <c r="D139" s="133" t="s">
        <v>40</v>
      </c>
      <c r="E139" s="134" t="s">
        <v>2097</v>
      </c>
      <c r="F139" s="478" t="s">
        <v>198</v>
      </c>
      <c r="G139" s="135" t="str">
        <f>VLOOKUP(A139,Plano_V3!$A$26:$G$768,7,0)</f>
        <v xml:space="preserve">6. Em implementação </v>
      </c>
      <c r="H139" s="135" t="s">
        <v>2320</v>
      </c>
      <c r="I139" s="473"/>
      <c r="J139" s="490"/>
      <c r="K139" s="359" t="s">
        <v>2425</v>
      </c>
      <c r="L139" s="490"/>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2323</v>
      </c>
      <c r="V139" s="324" t="s">
        <v>2309</v>
      </c>
    </row>
    <row r="140" spans="1:22" ht="16.399999999999999" hidden="1" customHeight="1">
      <c r="A140" s="29" t="str">
        <f t="shared" si="3"/>
        <v>modesg_param_sfics_taxon_europeiaambito</v>
      </c>
      <c r="B140" s="141" t="s">
        <v>26</v>
      </c>
      <c r="C140" s="137" t="s">
        <v>181</v>
      </c>
      <c r="D140" s="133" t="s">
        <v>40</v>
      </c>
      <c r="E140" s="134" t="s">
        <v>2097</v>
      </c>
      <c r="F140" s="476" t="s">
        <v>390</v>
      </c>
      <c r="G140" s="135" t="str">
        <f>VLOOKUP(A140,Plano_V3!$A$26:$G$768,7,0)</f>
        <v>0. Cancelado</v>
      </c>
      <c r="H140" s="135" t="s">
        <v>611</v>
      </c>
      <c r="I140" s="473"/>
      <c r="J140" s="153"/>
      <c r="K140" s="359" t="s">
        <v>2425</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2321</v>
      </c>
      <c r="V140" s="324" t="s">
        <v>2309</v>
      </c>
    </row>
    <row r="141" spans="1:22" ht="16.399999999999999" hidden="1" customHeight="1">
      <c r="A141" s="29" t="str">
        <f t="shared" si="3"/>
        <v>modesg_param_sfics_taxon_europeianome_ctgr_sfics</v>
      </c>
      <c r="B141" s="141" t="s">
        <v>26</v>
      </c>
      <c r="C141" s="137" t="s">
        <v>181</v>
      </c>
      <c r="D141" s="133" t="s">
        <v>40</v>
      </c>
      <c r="E141" s="134" t="s">
        <v>2097</v>
      </c>
      <c r="F141" s="476" t="s">
        <v>2048</v>
      </c>
      <c r="G141" s="135" t="str">
        <f>VLOOKUP(A141,Plano_V3!$A$26:$G$768,7,0)</f>
        <v xml:space="preserve">6. Em implementação </v>
      </c>
      <c r="H141" s="135" t="s">
        <v>2320</v>
      </c>
      <c r="I141" s="473"/>
      <c r="J141" s="153"/>
      <c r="K141" s="359" t="s">
        <v>2425</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2321</v>
      </c>
      <c r="V141" s="324" t="s">
        <v>2309</v>
      </c>
    </row>
    <row r="142" spans="1:22" ht="16.399999999999999" hidden="1" customHeight="1">
      <c r="A142" s="29" t="str">
        <f t="shared" si="3"/>
        <v>modesg_param_sfics_taxon_europeiamontante_pndrc</v>
      </c>
      <c r="B142" s="141" t="s">
        <v>26</v>
      </c>
      <c r="C142" s="137" t="s">
        <v>181</v>
      </c>
      <c r="D142" s="133" t="s">
        <v>40</v>
      </c>
      <c r="E142" s="134" t="s">
        <v>2097</v>
      </c>
      <c r="F142" s="476" t="s">
        <v>202</v>
      </c>
      <c r="G142" s="135" t="str">
        <f>VLOOKUP(A142,Plano_V3!$A$26:$G$768,7,0)</f>
        <v xml:space="preserve">6. Em implementação </v>
      </c>
      <c r="H142" s="135" t="s">
        <v>2320</v>
      </c>
      <c r="I142" s="473"/>
      <c r="J142" s="153"/>
      <c r="K142" s="359" t="s">
        <v>2425</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2323</v>
      </c>
      <c r="V142" s="324" t="s">
        <v>2309</v>
      </c>
    </row>
    <row r="143" spans="1:22" ht="16.399999999999999" hidden="1" customHeight="1">
      <c r="A143" s="29" t="str">
        <f t="shared" si="3"/>
        <v>modesg_param_sfics_taxon_europeiacontraparte</v>
      </c>
      <c r="B143" s="141" t="s">
        <v>26</v>
      </c>
      <c r="C143" s="137" t="s">
        <v>181</v>
      </c>
      <c r="D143" s="133" t="s">
        <v>40</v>
      </c>
      <c r="E143" s="134" t="s">
        <v>2097</v>
      </c>
      <c r="F143" s="476" t="s">
        <v>394</v>
      </c>
      <c r="G143" s="135" t="str">
        <f>VLOOKUP(A143,Plano_V3!$A$26:$G$768,7,0)</f>
        <v xml:space="preserve">6. Em implementação </v>
      </c>
      <c r="H143" s="135" t="s">
        <v>2320</v>
      </c>
      <c r="I143" s="473"/>
      <c r="J143" s="153"/>
      <c r="K143" s="359" t="s">
        <v>2425</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2323</v>
      </c>
      <c r="V143" s="324" t="s">
        <v>2309</v>
      </c>
    </row>
    <row r="144" spans="1:22" ht="16.399999999999999" hidden="1" customHeight="1">
      <c r="A144" s="29" t="str">
        <f t="shared" si="3"/>
        <v>modesg_param_sfics_taxon_europeiaflag_project_finance</v>
      </c>
      <c r="B144" s="141" t="s">
        <v>26</v>
      </c>
      <c r="C144" s="137" t="s">
        <v>181</v>
      </c>
      <c r="D144" s="133" t="s">
        <v>40</v>
      </c>
      <c r="E144" s="134" t="s">
        <v>2097</v>
      </c>
      <c r="F144" s="476" t="s">
        <v>199</v>
      </c>
      <c r="G144" s="135" t="str">
        <f>VLOOKUP(A144,Plano_V3!$A$26:$G$768,7,0)</f>
        <v xml:space="preserve">6. Em implementação </v>
      </c>
      <c r="H144" s="135" t="s">
        <v>2320</v>
      </c>
      <c r="I144" s="473"/>
      <c r="J144" s="142"/>
      <c r="K144" s="359" t="s">
        <v>2425</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2323</v>
      </c>
      <c r="V144" s="324" t="s">
        <v>2309</v>
      </c>
    </row>
    <row r="145" spans="1:22" ht="16.399999999999999" hidden="1" customHeight="1">
      <c r="A145" s="29" t="str">
        <f t="shared" si="3"/>
        <v>modesg_param_sfics_taxon_europeiacgarante_bem</v>
      </c>
      <c r="B145" s="141" t="s">
        <v>26</v>
      </c>
      <c r="C145" s="137" t="s">
        <v>181</v>
      </c>
      <c r="D145" s="133" t="s">
        <v>40</v>
      </c>
      <c r="E145" s="134" t="s">
        <v>2097</v>
      </c>
      <c r="F145" s="476" t="s">
        <v>2411</v>
      </c>
      <c r="G145" s="135" t="str">
        <f>VLOOKUP(A145,Plano_V3!$A$26:$G$768,7,0)</f>
        <v xml:space="preserve">6. Em implementação </v>
      </c>
      <c r="H145" s="135" t="s">
        <v>2320</v>
      </c>
      <c r="I145" s="473"/>
      <c r="J145" s="142"/>
      <c r="K145" s="359" t="s">
        <v>2425</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2323</v>
      </c>
      <c r="V145" s="324" t="s">
        <v>2309</v>
      </c>
    </row>
    <row r="146" spans="1:22" ht="16.399999999999999" hidden="1" customHeight="1">
      <c r="A146" s="29" t="str">
        <f t="shared" si="3"/>
        <v>modesg_param_sfics_taxon_europeiaprdt_sprdt</v>
      </c>
      <c r="B146" s="141" t="s">
        <v>26</v>
      </c>
      <c r="C146" s="137" t="s">
        <v>181</v>
      </c>
      <c r="D146" s="133" t="s">
        <v>40</v>
      </c>
      <c r="E146" s="134" t="s">
        <v>2097</v>
      </c>
      <c r="F146" s="476" t="s">
        <v>2049</v>
      </c>
      <c r="G146" s="135" t="str">
        <f>VLOOKUP(A146,Plano_V3!$A$26:$G$768,7,0)</f>
        <v xml:space="preserve">6. Em implementação </v>
      </c>
      <c r="H146" s="135" t="s">
        <v>2320</v>
      </c>
      <c r="I146" s="473"/>
      <c r="J146" s="142"/>
      <c r="K146" s="359" t="s">
        <v>2425</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2323</v>
      </c>
      <c r="V146" s="324" t="s">
        <v>2309</v>
      </c>
    </row>
    <row r="147" spans="1:22" ht="16.399999999999999" hidden="1" customHeight="1">
      <c r="A147" s="29" t="str">
        <f t="shared" si="3"/>
        <v>modesg_param_sfics_taxon_europeiaflg_csrd</v>
      </c>
      <c r="B147" s="141" t="s">
        <v>26</v>
      </c>
      <c r="C147" s="137" t="s">
        <v>181</v>
      </c>
      <c r="D147" s="133" t="s">
        <v>40</v>
      </c>
      <c r="E147" s="134" t="s">
        <v>2097</v>
      </c>
      <c r="F147" s="476" t="s">
        <v>2050</v>
      </c>
      <c r="G147" s="135" t="str">
        <f>VLOOKUP(A147,Plano_V3!$A$26:$G$768,7,0)</f>
        <v xml:space="preserve">6. Em implementação </v>
      </c>
      <c r="H147" s="135" t="s">
        <v>2320</v>
      </c>
      <c r="I147" s="473"/>
      <c r="J147" s="142"/>
      <c r="K147" s="359" t="s">
        <v>2425</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2323</v>
      </c>
      <c r="V147" s="324" t="s">
        <v>2309</v>
      </c>
    </row>
    <row r="148" spans="1:22" ht="16.399999999999999" hidden="1" customHeight="1">
      <c r="A148" s="29" t="str">
        <f t="shared" si="3"/>
        <v>modesg_param_sfics_taxon_europeiacombustivel</v>
      </c>
      <c r="B148" s="141" t="s">
        <v>26</v>
      </c>
      <c r="C148" s="137" t="s">
        <v>181</v>
      </c>
      <c r="D148" s="133" t="s">
        <v>40</v>
      </c>
      <c r="E148" s="134" t="s">
        <v>2097</v>
      </c>
      <c r="F148" s="476" t="s">
        <v>2051</v>
      </c>
      <c r="G148" s="135" t="str">
        <f>VLOOKUP(A148,Plano_V3!$A$26:$G$768,7,0)</f>
        <v xml:space="preserve">6. Em implementação </v>
      </c>
      <c r="H148" s="135" t="s">
        <v>2320</v>
      </c>
      <c r="I148" s="473"/>
      <c r="J148" s="142"/>
      <c r="K148" s="359" t="s">
        <v>2425</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2323</v>
      </c>
      <c r="V148" s="324" t="s">
        <v>2309</v>
      </c>
    </row>
    <row r="149" spans="1:22" ht="16.399999999999999" hidden="1" customHeight="1">
      <c r="A149" s="29" t="str">
        <f t="shared" si="3"/>
        <v>modesg_param_sfics_taxon_europeiaco2</v>
      </c>
      <c r="B149" s="141" t="s">
        <v>26</v>
      </c>
      <c r="C149" s="137" t="s">
        <v>181</v>
      </c>
      <c r="D149" s="133" t="s">
        <v>40</v>
      </c>
      <c r="E149" s="134" t="s">
        <v>2097</v>
      </c>
      <c r="F149" s="476" t="s">
        <v>2052</v>
      </c>
      <c r="G149" s="135" t="str">
        <f>VLOOKUP(A149,Plano_V3!$A$26:$G$768,7,0)</f>
        <v xml:space="preserve">6. Em implementação </v>
      </c>
      <c r="H149" s="135" t="s">
        <v>2320</v>
      </c>
      <c r="I149" s="473"/>
      <c r="J149" s="153"/>
      <c r="K149" s="359" t="s">
        <v>2425</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2323</v>
      </c>
      <c r="V149" s="324" t="s">
        <v>2309</v>
      </c>
    </row>
    <row r="150" spans="1:22" ht="16.399999999999999" hidden="1" customHeight="1">
      <c r="A150" s="29" t="str">
        <f t="shared" si="3"/>
        <v>modesg_param_sfics_taxon_europeiacfamilia</v>
      </c>
      <c r="B150" s="141" t="s">
        <v>26</v>
      </c>
      <c r="C150" s="137" t="s">
        <v>181</v>
      </c>
      <c r="D150" s="133" t="s">
        <v>40</v>
      </c>
      <c r="E150" s="134" t="s">
        <v>2097</v>
      </c>
      <c r="F150" s="476" t="s">
        <v>2053</v>
      </c>
      <c r="G150" s="135" t="str">
        <f>VLOOKUP(A150,Plano_V3!$A$26:$G$768,7,0)</f>
        <v xml:space="preserve">6. Em implementação </v>
      </c>
      <c r="H150" s="135" t="s">
        <v>2320</v>
      </c>
      <c r="I150" s="473"/>
      <c r="J150" s="153"/>
      <c r="K150" s="359" t="s">
        <v>2425</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2323</v>
      </c>
      <c r="V150" s="324" t="s">
        <v>2309</v>
      </c>
    </row>
    <row r="151" spans="1:22" ht="16.399999999999999" hidden="1" customHeight="1">
      <c r="A151" s="29" t="str">
        <f t="shared" si="3"/>
        <v>modesg_param_sfics_taxon_europeiaflg_rsc_fsc_crnc</v>
      </c>
      <c r="B151" s="141" t="s">
        <v>26</v>
      </c>
      <c r="C151" s="137" t="s">
        <v>181</v>
      </c>
      <c r="D151" s="133" t="s">
        <v>40</v>
      </c>
      <c r="E151" s="134" t="s">
        <v>2097</v>
      </c>
      <c r="F151" s="476" t="s">
        <v>283</v>
      </c>
      <c r="G151" s="135" t="str">
        <f>VLOOKUP(A151,Plano_V3!$A$26:$G$768,7,0)</f>
        <v xml:space="preserve">6. Em implementação </v>
      </c>
      <c r="H151" s="135" t="s">
        <v>2320</v>
      </c>
      <c r="I151" s="473"/>
      <c r="J151" s="153"/>
      <c r="K151" s="359" t="s">
        <v>2425</v>
      </c>
      <c r="L151" s="489"/>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2321</v>
      </c>
      <c r="V151" s="324" t="s">
        <v>2309</v>
      </c>
    </row>
    <row r="152" spans="1:22" ht="16.399999999999999" hidden="1" customHeight="1">
      <c r="A152" s="29" t="str">
        <f t="shared" si="3"/>
        <v>modesg_param_sfics_taxon_europeiaflg_rsc_fsc_agd</v>
      </c>
      <c r="B152" s="141" t="s">
        <v>26</v>
      </c>
      <c r="C152" s="137" t="s">
        <v>181</v>
      </c>
      <c r="D152" s="133" t="s">
        <v>40</v>
      </c>
      <c r="E152" s="134" t="s">
        <v>2097</v>
      </c>
      <c r="F152" s="476" t="s">
        <v>282</v>
      </c>
      <c r="G152" s="135" t="str">
        <f>VLOOKUP(A152,Plano_V3!$A$26:$G$768,7,0)</f>
        <v xml:space="preserve">6. Em implementação </v>
      </c>
      <c r="H152" s="135" t="s">
        <v>2320</v>
      </c>
      <c r="I152" s="473"/>
      <c r="J152" s="488"/>
      <c r="K152" s="359" t="s">
        <v>2425</v>
      </c>
      <c r="L152" s="488"/>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2321</v>
      </c>
      <c r="V152" s="324" t="s">
        <v>2309</v>
      </c>
    </row>
    <row r="153" spans="1:22" ht="16.399999999999999" hidden="1" customHeight="1">
      <c r="A153" s="29" t="str">
        <f t="shared" si="3"/>
        <v>modesg_param_sfics_taxon_europeiaproperty_purpose_code</v>
      </c>
      <c r="B153" s="141" t="s">
        <v>26</v>
      </c>
      <c r="C153" s="137" t="s">
        <v>181</v>
      </c>
      <c r="D153" s="133" t="s">
        <v>40</v>
      </c>
      <c r="E153" s="134" t="s">
        <v>2097</v>
      </c>
      <c r="F153" s="476" t="s">
        <v>2054</v>
      </c>
      <c r="G153" s="135" t="str">
        <f>VLOOKUP(A153,Plano_V3!$A$26:$G$768,7,0)</f>
        <v xml:space="preserve">6. Em implementação </v>
      </c>
      <c r="H153" s="135" t="s">
        <v>2320</v>
      </c>
      <c r="I153" s="473"/>
      <c r="J153" s="488"/>
      <c r="K153" s="359" t="s">
        <v>2425</v>
      </c>
      <c r="L153" s="488"/>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2323</v>
      </c>
      <c r="V153" s="324" t="s">
        <v>2309</v>
      </c>
    </row>
    <row r="154" spans="1:22" ht="16.399999999999999" hidden="1" customHeight="1">
      <c r="A154" s="29" t="str">
        <f t="shared" si="3"/>
        <v>modesg_param_sfics_taxon_europeiadabertur</v>
      </c>
      <c r="B154" s="141" t="s">
        <v>26</v>
      </c>
      <c r="C154" s="137" t="s">
        <v>181</v>
      </c>
      <c r="D154" s="133" t="s">
        <v>40</v>
      </c>
      <c r="E154" s="134" t="s">
        <v>2097</v>
      </c>
      <c r="F154" s="476" t="s">
        <v>2055</v>
      </c>
      <c r="G154" s="135" t="str">
        <f>VLOOKUP(A154,Plano_V3!$A$26:$G$768,7,0)</f>
        <v xml:space="preserve">6. Em implementação </v>
      </c>
      <c r="H154" s="135" t="s">
        <v>2320</v>
      </c>
      <c r="I154" s="473"/>
      <c r="J154" s="488"/>
      <c r="K154" s="359" t="s">
        <v>2425</v>
      </c>
      <c r="L154" s="488"/>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2379</v>
      </c>
      <c r="V154" s="324" t="s">
        <v>2309</v>
      </c>
    </row>
    <row r="155" spans="1:22" ht="16.399999999999999" hidden="1" customHeight="1">
      <c r="A155" s="29" t="str">
        <f t="shared" si="3"/>
        <v>modesg_param_sfics_taxon_europeiatipo_eqp</v>
      </c>
      <c r="B155" s="141" t="s">
        <v>26</v>
      </c>
      <c r="C155" s="137" t="s">
        <v>181</v>
      </c>
      <c r="D155" s="133" t="s">
        <v>40</v>
      </c>
      <c r="E155" s="134" t="s">
        <v>2097</v>
      </c>
      <c r="F155" s="476" t="s">
        <v>2056</v>
      </c>
      <c r="G155" s="135" t="str">
        <f>VLOOKUP(A155,Plano_V3!$A$26:$G$768,7,0)</f>
        <v xml:space="preserve">6. Em implementação </v>
      </c>
      <c r="H155" s="135" t="s">
        <v>2320</v>
      </c>
      <c r="I155" s="473"/>
      <c r="J155" s="142"/>
      <c r="K155" s="359" t="s">
        <v>2425</v>
      </c>
      <c r="L155" s="488"/>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2379</v>
      </c>
      <c r="V155" s="324" t="s">
        <v>2309</v>
      </c>
    </row>
    <row r="156" spans="1:22" ht="16.399999999999999" hidden="1" customHeight="1">
      <c r="A156" s="29" t="str">
        <f t="shared" si="3"/>
        <v>modesg_param_sfics_taxon_europeiaconstruction_year</v>
      </c>
      <c r="B156" s="141" t="s">
        <v>26</v>
      </c>
      <c r="C156" s="137" t="s">
        <v>181</v>
      </c>
      <c r="D156" s="133" t="s">
        <v>40</v>
      </c>
      <c r="E156" s="134" t="s">
        <v>2097</v>
      </c>
      <c r="F156" s="476" t="s">
        <v>2057</v>
      </c>
      <c r="G156" s="135" t="str">
        <f>VLOOKUP(A156,Plano_V3!$A$26:$G$768,7,0)</f>
        <v xml:space="preserve">6. Em implementação </v>
      </c>
      <c r="H156" s="135" t="s">
        <v>2320</v>
      </c>
      <c r="I156" s="473"/>
      <c r="J156" s="142"/>
      <c r="K156" s="359" t="s">
        <v>2425</v>
      </c>
      <c r="L156" s="488"/>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2321</v>
      </c>
      <c r="V156" s="324" t="s">
        <v>2309</v>
      </c>
    </row>
    <row r="157" spans="1:22" ht="16.399999999999999" hidden="1" customHeight="1">
      <c r="A157" s="29" t="str">
        <f t="shared" si="3"/>
        <v>modesg_param_sfics_taxon_europeiaref_date</v>
      </c>
      <c r="B157" s="141" t="s">
        <v>26</v>
      </c>
      <c r="C157" s="137" t="s">
        <v>181</v>
      </c>
      <c r="D157" s="133" t="s">
        <v>40</v>
      </c>
      <c r="E157" s="134" t="s">
        <v>2097</v>
      </c>
      <c r="F157" s="476" t="s">
        <v>208</v>
      </c>
      <c r="G157" s="135" t="str">
        <f>VLOOKUP(A157,Plano_V3!$A$26:$G$768,7,0)</f>
        <v xml:space="preserve">6. Em implementação </v>
      </c>
      <c r="H157" s="135" t="s">
        <v>2320</v>
      </c>
      <c r="I157" s="473"/>
      <c r="J157" s="153"/>
      <c r="K157" s="359" t="s">
        <v>2425</v>
      </c>
      <c r="L157" s="489"/>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2323</v>
      </c>
      <c r="V157" s="324" t="s">
        <v>2309</v>
      </c>
    </row>
    <row r="158" spans="1:22" ht="16.399999999999999" hidden="1" customHeight="1">
      <c r="A158" s="29" t="str">
        <f t="shared" si="3"/>
        <v>modesg_param_sfics_taxon_europeiacfinalidad</v>
      </c>
      <c r="B158" s="141" t="s">
        <v>26</v>
      </c>
      <c r="C158" s="137" t="s">
        <v>181</v>
      </c>
      <c r="D158" s="133" t="s">
        <v>40</v>
      </c>
      <c r="E158" s="134" t="s">
        <v>2097</v>
      </c>
      <c r="F158" s="476" t="s">
        <v>200</v>
      </c>
      <c r="G158" s="135" t="str">
        <f>VLOOKUP(A158,Plano_V3!$A$26:$G$768,7,0)</f>
        <v xml:space="preserve">6. Em implementação </v>
      </c>
      <c r="H158" s="135" t="s">
        <v>2320</v>
      </c>
      <c r="I158" s="473"/>
      <c r="J158" s="153"/>
      <c r="K158" s="359" t="s">
        <v>2425</v>
      </c>
      <c r="L158" s="153"/>
      <c r="M158" s="152"/>
      <c r="N158" s="152"/>
      <c r="O158" s="152"/>
      <c r="P158" s="202"/>
      <c r="Q158" s="202"/>
      <c r="R158" s="203"/>
      <c r="S158" s="324"/>
      <c r="T158" s="324"/>
      <c r="U158" s="372" t="s">
        <v>2321</v>
      </c>
      <c r="V158" s="324"/>
    </row>
    <row r="159" spans="1:22" ht="16.399999999999999" hidden="1" customHeight="1">
      <c r="A159" s="29" t="str">
        <f t="shared" si="3"/>
        <v>modesg_param_sfics_taxon_europeiasst_indctr_aux</v>
      </c>
      <c r="B159" s="141" t="s">
        <v>26</v>
      </c>
      <c r="C159" s="137" t="s">
        <v>181</v>
      </c>
      <c r="D159" s="133" t="s">
        <v>40</v>
      </c>
      <c r="E159" s="134" t="s">
        <v>2097</v>
      </c>
      <c r="F159" s="476" t="s">
        <v>2418</v>
      </c>
      <c r="G159" s="135" t="str">
        <f>VLOOKUP(A159,Plano_V3!$A$26:$G$768,7,0)</f>
        <v xml:space="preserve">6. Em implementação </v>
      </c>
      <c r="H159" s="135" t="s">
        <v>2320</v>
      </c>
      <c r="I159" s="473"/>
      <c r="J159" s="153"/>
      <c r="K159" s="359" t="s">
        <v>2425</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2427</v>
      </c>
      <c r="V159" s="324"/>
    </row>
    <row r="160" spans="1:22" ht="16.399999999999999" hidden="1" customHeight="1">
      <c r="A160" s="29" t="str">
        <f t="shared" si="3"/>
        <v>modesg_param_sfics_taxon_europeiaquality_score</v>
      </c>
      <c r="B160" s="141" t="s">
        <v>26</v>
      </c>
      <c r="C160" s="137" t="s">
        <v>181</v>
      </c>
      <c r="D160" s="133" t="s">
        <v>40</v>
      </c>
      <c r="E160" s="134" t="s">
        <v>2097</v>
      </c>
      <c r="F160" s="476" t="s">
        <v>2058</v>
      </c>
      <c r="G160" s="135" t="str">
        <f>VLOOKUP(A160,Plano_V3!$A$26:$G$768,7,0)</f>
        <v xml:space="preserve">6. Em implementação </v>
      </c>
      <c r="H160" s="135" t="s">
        <v>2320</v>
      </c>
      <c r="I160" s="473"/>
      <c r="J160" s="153"/>
      <c r="K160" s="359" t="s">
        <v>2425</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2323</v>
      </c>
      <c r="V160" s="324" t="s">
        <v>2309</v>
      </c>
    </row>
    <row r="161" spans="1:22" ht="16.399999999999999" hidden="1" customHeight="1">
      <c r="A161" s="29" t="str">
        <f t="shared" si="3"/>
        <v>modesg_param_sfics_taxon_europeiaprimary_energy_req_value</v>
      </c>
      <c r="B161" s="141" t="s">
        <v>26</v>
      </c>
      <c r="C161" s="137" t="s">
        <v>181</v>
      </c>
      <c r="D161" s="133" t="s">
        <v>40</v>
      </c>
      <c r="E161" s="134" t="s">
        <v>2097</v>
      </c>
      <c r="F161" s="476" t="s">
        <v>2413</v>
      </c>
      <c r="G161" s="135" t="str">
        <f>VLOOKUP(A161,Plano_V3!$A$26:$G$768,7,0)</f>
        <v xml:space="preserve">6. Em implementação </v>
      </c>
      <c r="H161" s="135" t="s">
        <v>2320</v>
      </c>
      <c r="I161" s="473"/>
      <c r="J161" s="153"/>
      <c r="K161" s="359" t="s">
        <v>2425</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2321</v>
      </c>
      <c r="V161" s="324" t="s">
        <v>2309</v>
      </c>
    </row>
    <row r="162" spans="1:22" ht="16.399999999999999" hidden="1" customHeight="1">
      <c r="A162" s="29" t="str">
        <f t="shared" si="3"/>
        <v>modesg_param_sfics_taxon_europeianet_floor_area</v>
      </c>
      <c r="B162" s="141" t="s">
        <v>26</v>
      </c>
      <c r="C162" s="137" t="s">
        <v>181</v>
      </c>
      <c r="D162" s="133" t="s">
        <v>40</v>
      </c>
      <c r="E162" s="134" t="s">
        <v>2097</v>
      </c>
      <c r="F162" s="476" t="s">
        <v>2402</v>
      </c>
      <c r="G162" s="135" t="str">
        <f>VLOOKUP(A162,Plano_V3!$A$26:$G$768,7,0)</f>
        <v xml:space="preserve">6. Em implementação </v>
      </c>
      <c r="H162" s="135" t="s">
        <v>2320</v>
      </c>
      <c r="I162" s="473"/>
      <c r="J162" s="153"/>
      <c r="K162" s="359" t="s">
        <v>2425</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2321</v>
      </c>
      <c r="V162" s="324" t="s">
        <v>2309</v>
      </c>
    </row>
    <row r="163" spans="1:22" ht="16.399999999999999" hidden="1" customHeight="1">
      <c r="A163" s="29" t="str">
        <f t="shared" si="3"/>
        <v>modesg_param_sfics_taxon_europeianome_purpose_esg_nalinh_tax</v>
      </c>
      <c r="B163" s="141" t="s">
        <v>26</v>
      </c>
      <c r="C163" s="137" t="s">
        <v>181</v>
      </c>
      <c r="D163" s="133" t="s">
        <v>40</v>
      </c>
      <c r="E163" s="134" t="s">
        <v>2097</v>
      </c>
      <c r="F163" s="476" t="s">
        <v>2060</v>
      </c>
      <c r="G163" s="135" t="str">
        <f>VLOOKUP(A163,Plano_V3!$A$26:$G$768,7,0)</f>
        <v xml:space="preserve">6. Em implementação </v>
      </c>
      <c r="H163" s="135" t="s">
        <v>2320</v>
      </c>
      <c r="I163" s="473"/>
      <c r="J163" s="153"/>
      <c r="K163" s="359" t="s">
        <v>2425</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2379</v>
      </c>
      <c r="V163" s="324" t="s">
        <v>2309</v>
      </c>
    </row>
    <row r="164" spans="1:22" ht="16.399999999999999" hidden="1" customHeight="1">
      <c r="A164" s="29" t="str">
        <f t="shared" si="3"/>
        <v>modesg_param_sfics_taxon_europeianome_purpose_esg_alinh_tax</v>
      </c>
      <c r="B164" s="141" t="s">
        <v>26</v>
      </c>
      <c r="C164" s="137" t="s">
        <v>181</v>
      </c>
      <c r="D164" s="133" t="s">
        <v>40</v>
      </c>
      <c r="E164" s="134" t="s">
        <v>2097</v>
      </c>
      <c r="F164" s="476" t="s">
        <v>2059</v>
      </c>
      <c r="G164" s="135" t="str">
        <f>VLOOKUP(A164,Plano_V3!$A$26:$G$768,7,0)</f>
        <v xml:space="preserve">6. Em implementação </v>
      </c>
      <c r="H164" s="135" t="s">
        <v>2320</v>
      </c>
      <c r="I164" s="473"/>
      <c r="J164" s="153"/>
      <c r="K164" s="359" t="s">
        <v>2425</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2323</v>
      </c>
      <c r="V164" s="324" t="s">
        <v>2309</v>
      </c>
    </row>
    <row r="165" spans="1:22" ht="16.399999999999999" hidden="1" customHeight="1">
      <c r="A165" s="29" t="str">
        <f t="shared" si="3"/>
        <v>modesg_param_sfics_taxon_europeianome_general_specific_purpose</v>
      </c>
      <c r="B165" s="141" t="s">
        <v>26</v>
      </c>
      <c r="C165" s="137" t="s">
        <v>181</v>
      </c>
      <c r="D165" s="133" t="s">
        <v>40</v>
      </c>
      <c r="E165" s="134" t="s">
        <v>2097</v>
      </c>
      <c r="F165" s="476" t="s">
        <v>204</v>
      </c>
      <c r="G165" s="135" t="str">
        <f>VLOOKUP(A165,Plano_V3!$A$26:$G$768,7,0)</f>
        <v xml:space="preserve">6. Em implementação </v>
      </c>
      <c r="H165" s="135" t="s">
        <v>2320</v>
      </c>
      <c r="I165" s="473"/>
      <c r="J165" s="153"/>
      <c r="K165" s="359" t="s">
        <v>2425</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2321</v>
      </c>
      <c r="V165" s="324" t="s">
        <v>2309</v>
      </c>
    </row>
    <row r="166" spans="1:22" ht="16.399999999999999" hidden="1" customHeight="1">
      <c r="A166" s="29" t="str">
        <f t="shared" si="3"/>
        <v>modesg_param_sfics_taxon_europeianome_specific_eligible</v>
      </c>
      <c r="B166" s="141" t="s">
        <v>26</v>
      </c>
      <c r="C166" s="137" t="s">
        <v>181</v>
      </c>
      <c r="D166" s="133" t="s">
        <v>40</v>
      </c>
      <c r="E166" s="134" t="s">
        <v>2097</v>
      </c>
      <c r="F166" s="476" t="s">
        <v>206</v>
      </c>
      <c r="G166" s="135" t="str">
        <f>VLOOKUP(A166,Plano_V3!$A$26:$G$768,7,0)</f>
        <v xml:space="preserve">6. Em implementação </v>
      </c>
      <c r="H166" s="135" t="s">
        <v>2320</v>
      </c>
      <c r="I166" s="473"/>
      <c r="J166" s="153"/>
      <c r="K166" s="359" t="s">
        <v>2425</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2321</v>
      </c>
      <c r="V166" s="324" t="s">
        <v>2309</v>
      </c>
    </row>
    <row r="167" spans="1:22" ht="16.399999999999999" hidden="1" customHeight="1">
      <c r="A167" s="29" t="str">
        <f t="shared" si="3"/>
        <v>modesg_param_sfics_taxon_europeianome_specific_sustainable</v>
      </c>
      <c r="B167" s="141" t="s">
        <v>26</v>
      </c>
      <c r="C167" s="137" t="s">
        <v>181</v>
      </c>
      <c r="D167" s="133" t="s">
        <v>40</v>
      </c>
      <c r="E167" s="134" t="s">
        <v>2097</v>
      </c>
      <c r="F167" s="476" t="s">
        <v>207</v>
      </c>
      <c r="G167" s="135" t="str">
        <f>VLOOKUP(A167,Plano_V3!$A$26:$G$768,7,0)</f>
        <v xml:space="preserve">6. Em implementação </v>
      </c>
      <c r="H167" s="135" t="s">
        <v>2320</v>
      </c>
      <c r="I167" s="473"/>
      <c r="J167" s="153"/>
      <c r="K167" s="359" t="s">
        <v>2425</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2321</v>
      </c>
      <c r="V167" s="324" t="s">
        <v>2309</v>
      </c>
    </row>
    <row r="168" spans="1:22" ht="16.399999999999999" hidden="1" customHeight="1">
      <c r="A168" s="29" t="str">
        <f t="shared" si="3"/>
        <v>lt006_instr_protprtctn_allctd_vl</v>
      </c>
      <c r="B168" s="141" t="s">
        <v>26</v>
      </c>
      <c r="C168" s="137" t="s">
        <v>26</v>
      </c>
      <c r="D168" s="133" t="s">
        <v>40</v>
      </c>
      <c r="E168" s="136" t="s">
        <v>441</v>
      </c>
      <c r="F168" s="480" t="s">
        <v>442</v>
      </c>
      <c r="G168" s="135" t="str">
        <f>VLOOKUP(A168,Plano_V3!$A$26:$G$768,7,0)</f>
        <v>2.1 Em Teste</v>
      </c>
      <c r="H168" s="135" t="s">
        <v>1840</v>
      </c>
      <c r="I168" s="473"/>
      <c r="J168" s="359" t="s">
        <v>2307</v>
      </c>
      <c r="K168" s="142" t="s">
        <v>2242</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2314</v>
      </c>
      <c r="S168" s="324"/>
      <c r="T168" s="324"/>
      <c r="U168" s="372" t="s">
        <v>2321</v>
      </c>
      <c r="V168" s="324" t="s">
        <v>2312</v>
      </c>
    </row>
    <row r="169" spans="1:22" ht="16.399999999999999" hidden="1" customHeight="1">
      <c r="A169" s="29" t="str">
        <f t="shared" si="3"/>
        <v>lt003_entityesg_sbsctr</v>
      </c>
      <c r="B169" s="141" t="s">
        <v>26</v>
      </c>
      <c r="C169" s="137" t="s">
        <v>26</v>
      </c>
      <c r="D169" s="133" t="s">
        <v>40</v>
      </c>
      <c r="E169" s="136" t="s">
        <v>335</v>
      </c>
      <c r="F169" s="480" t="s">
        <v>360</v>
      </c>
      <c r="G169" s="487" t="str">
        <f>VLOOKUP(A169,Plano_V3!$A$26:$G$768,7,0)</f>
        <v xml:space="preserve">6. Em implementação </v>
      </c>
      <c r="H169" s="135" t="s">
        <v>2320</v>
      </c>
      <c r="I169" s="473"/>
      <c r="J169" s="142" t="s">
        <v>2307</v>
      </c>
      <c r="K169" s="142" t="s">
        <v>2439</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2422</v>
      </c>
      <c r="T169" s="324"/>
      <c r="U169" s="372" t="s">
        <v>2321</v>
      </c>
      <c r="V169" s="324" t="s">
        <v>2311</v>
      </c>
    </row>
    <row r="170" spans="1:22" ht="16.399999999999999" hidden="1" customHeight="1">
      <c r="A170" s="29" t="str">
        <f t="shared" si="3"/>
        <v>lt004_protectiontyp_ep_scr</v>
      </c>
      <c r="B170" s="141" t="s">
        <v>26</v>
      </c>
      <c r="C170" s="137" t="s">
        <v>26</v>
      </c>
      <c r="D170" s="133" t="s">
        <v>40</v>
      </c>
      <c r="E170" s="136" t="s">
        <v>368</v>
      </c>
      <c r="F170" s="480" t="s">
        <v>369</v>
      </c>
      <c r="G170" s="135" t="str">
        <f>VLOOKUP(A170,Plano_V3!$A$26:$G$768,7,0)</f>
        <v xml:space="preserve">6. Em implementação </v>
      </c>
      <c r="H170" s="135" t="s">
        <v>2320</v>
      </c>
      <c r="I170" s="473"/>
      <c r="J170" s="359" t="s">
        <v>2425</v>
      </c>
      <c r="K170" s="359" t="s">
        <v>2439</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2321</v>
      </c>
      <c r="V170" s="324"/>
    </row>
    <row r="171" spans="1:22" ht="16.399999999999999" hidden="1" customHeight="1">
      <c r="A171" s="29" t="str">
        <f t="shared" si="3"/>
        <v>lt004_protectionep_scr</v>
      </c>
      <c r="B171" s="141" t="s">
        <v>26</v>
      </c>
      <c r="C171" s="137" t="s">
        <v>26</v>
      </c>
      <c r="D171" s="133" t="s">
        <v>40</v>
      </c>
      <c r="E171" s="136" t="s">
        <v>368</v>
      </c>
      <c r="F171" s="480" t="s">
        <v>370</v>
      </c>
      <c r="G171" s="135" t="str">
        <f>VLOOKUP(A171,Plano_V3!$A$26:$G$768,7,0)</f>
        <v xml:space="preserve">6. Em implementação </v>
      </c>
      <c r="H171" s="135" t="s">
        <v>2320</v>
      </c>
      <c r="I171" s="473"/>
      <c r="J171" s="359" t="s">
        <v>2425</v>
      </c>
      <c r="K171" s="359" t="s">
        <v>2439</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2321</v>
      </c>
      <c r="V171" s="324"/>
    </row>
    <row r="172" spans="1:22" ht="16.399999999999999" hidden="1" customHeight="1">
      <c r="A172" s="29" t="str">
        <f t="shared" si="3"/>
        <v>lt002_instrumentmthd_usd_instrmnt_scp_1</v>
      </c>
      <c r="B172" s="141" t="s">
        <v>26</v>
      </c>
      <c r="C172" s="137" t="s">
        <v>26</v>
      </c>
      <c r="D172" s="133" t="s">
        <v>40</v>
      </c>
      <c r="E172" s="136" t="s">
        <v>379</v>
      </c>
      <c r="F172" s="480" t="s">
        <v>385</v>
      </c>
      <c r="G172" s="487" t="str">
        <f>VLOOKUP(A172,Plano_V3!$A$26:$G$768,7,0)</f>
        <v xml:space="preserve">6. Em implementação </v>
      </c>
      <c r="H172" s="135" t="s">
        <v>2320</v>
      </c>
      <c r="I172" s="473"/>
      <c r="J172" s="142" t="s">
        <v>2425</v>
      </c>
      <c r="K172" s="142" t="s">
        <v>2439</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2315</v>
      </c>
      <c r="S172" s="324"/>
      <c r="T172" s="324"/>
      <c r="U172" s="372" t="s">
        <v>2321</v>
      </c>
      <c r="V172" s="324" t="s">
        <v>1857</v>
      </c>
    </row>
    <row r="173" spans="1:22" ht="16.399999999999999" hidden="1" customHeight="1">
      <c r="A173" s="29" t="str">
        <f t="shared" si="3"/>
        <v>lt002_instrumentmthd_usd_instrmnt_scp_2</v>
      </c>
      <c r="B173" s="141" t="s">
        <v>26</v>
      </c>
      <c r="C173" s="137" t="s">
        <v>26</v>
      </c>
      <c r="D173" s="133" t="s">
        <v>40</v>
      </c>
      <c r="E173" s="136" t="s">
        <v>379</v>
      </c>
      <c r="F173" s="480" t="s">
        <v>386</v>
      </c>
      <c r="G173" s="487" t="str">
        <f>VLOOKUP(A173,Plano_V3!$A$26:$G$768,7,0)</f>
        <v xml:space="preserve">6. Em implementação </v>
      </c>
      <c r="H173" s="135" t="s">
        <v>2320</v>
      </c>
      <c r="I173" s="473"/>
      <c r="J173" s="142" t="s">
        <v>2425</v>
      </c>
      <c r="K173" s="142" t="s">
        <v>2439</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2315</v>
      </c>
      <c r="S173" s="324"/>
      <c r="T173" s="324"/>
      <c r="U173" s="372" t="s">
        <v>2321</v>
      </c>
      <c r="V173" s="324" t="s">
        <v>1857</v>
      </c>
    </row>
    <row r="174" spans="1:22" ht="16.399999999999999" hidden="1" customHeight="1">
      <c r="A174" s="29" t="str">
        <f t="shared" si="3"/>
        <v>lt002_instrumentmthd_usd_instrmnt_scp_3</v>
      </c>
      <c r="B174" s="141" t="s">
        <v>26</v>
      </c>
      <c r="C174" s="137" t="s">
        <v>26</v>
      </c>
      <c r="D174" s="133" t="s">
        <v>40</v>
      </c>
      <c r="E174" s="136" t="s">
        <v>379</v>
      </c>
      <c r="F174" s="480" t="s">
        <v>387</v>
      </c>
      <c r="G174" s="487" t="str">
        <f>VLOOKUP(A174,Plano_V3!$A$26:$G$768,7,0)</f>
        <v xml:space="preserve">6. Em implementação </v>
      </c>
      <c r="H174" s="135" t="s">
        <v>2320</v>
      </c>
      <c r="I174" s="473"/>
      <c r="J174" s="142" t="s">
        <v>2425</v>
      </c>
      <c r="K174" s="142" t="s">
        <v>2439</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2315</v>
      </c>
      <c r="S174" s="324"/>
      <c r="T174" s="324"/>
      <c r="U174" s="372" t="s">
        <v>2321</v>
      </c>
      <c r="V174" s="324" t="s">
        <v>1857</v>
      </c>
    </row>
    <row r="175" spans="1:22" ht="16.399999999999999" hidden="1" customHeight="1">
      <c r="A175" s="29" t="str">
        <f t="shared" si="3"/>
        <v>lt007_instr_activitysstnbl_indctr</v>
      </c>
      <c r="B175" s="141" t="s">
        <v>26</v>
      </c>
      <c r="C175" s="137" t="s">
        <v>26</v>
      </c>
      <c r="D175" s="133" t="s">
        <v>40</v>
      </c>
      <c r="E175" s="136" t="s">
        <v>1860</v>
      </c>
      <c r="F175" s="480" t="s">
        <v>418</v>
      </c>
      <c r="G175" s="135" t="str">
        <f>VLOOKUP(A175,Plano_V3!$A$26:$G$768,7,0)</f>
        <v>2.2 Em especificação</v>
      </c>
      <c r="H175" s="135" t="s">
        <v>2319</v>
      </c>
      <c r="I175" s="473"/>
      <c r="J175" s="359" t="s">
        <v>2425</v>
      </c>
      <c r="K175" s="359" t="s">
        <v>2439</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2316</v>
      </c>
      <c r="S175" s="324"/>
      <c r="T175" s="324"/>
      <c r="U175" s="372" t="s">
        <v>2321</v>
      </c>
      <c r="V175" s="324" t="s">
        <v>2309</v>
      </c>
    </row>
    <row r="176" spans="1:22" ht="16.399999999999999" hidden="1" customHeight="1">
      <c r="A176" s="29" t="str">
        <f t="shared" si="3"/>
        <v>lt007_instr_activitysstnbl_ctgry</v>
      </c>
      <c r="B176" s="141" t="s">
        <v>26</v>
      </c>
      <c r="C176" s="137" t="s">
        <v>26</v>
      </c>
      <c r="D176" s="133" t="s">
        <v>40</v>
      </c>
      <c r="E176" s="136" t="s">
        <v>1860</v>
      </c>
      <c r="F176" s="480" t="s">
        <v>419</v>
      </c>
      <c r="G176" s="135" t="str">
        <f>VLOOKUP(A176,Plano_V3!$A$26:$G$768,7,0)</f>
        <v xml:space="preserve">6. Em implementação </v>
      </c>
      <c r="H176" s="135" t="s">
        <v>2320</v>
      </c>
      <c r="I176" s="473"/>
      <c r="J176" s="359" t="s">
        <v>2242</v>
      </c>
      <c r="K176" s="142" t="s">
        <v>2439</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2316</v>
      </c>
      <c r="S176" s="324"/>
      <c r="T176" s="324"/>
      <c r="U176" s="372" t="s">
        <v>2321</v>
      </c>
      <c r="V176" s="324" t="s">
        <v>2309</v>
      </c>
    </row>
    <row r="177" spans="1:22" ht="16.399999999999999" hidden="1" customHeight="1">
      <c r="A177" s="29" t="str">
        <f t="shared" si="3"/>
        <v>modesg_param_sfics_taxon_europeian.a.</v>
      </c>
      <c r="B177" s="141" t="s">
        <v>26</v>
      </c>
      <c r="C177" s="137" t="s">
        <v>181</v>
      </c>
      <c r="D177" s="133" t="s">
        <v>36</v>
      </c>
      <c r="E177" s="134" t="s">
        <v>2097</v>
      </c>
      <c r="F177" s="476" t="s">
        <v>38</v>
      </c>
      <c r="G177" s="135" t="str">
        <f>VLOOKUP(A177,Plano_V3!$A$26:$G$768,7,0)</f>
        <v xml:space="preserve">6. Em implementação </v>
      </c>
      <c r="H177" s="135" t="s">
        <v>2320</v>
      </c>
      <c r="I177" s="473"/>
      <c r="J177" s="142"/>
      <c r="K177" s="359" t="s">
        <v>2425</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2321</v>
      </c>
      <c r="V177" s="324" t="s">
        <v>2309</v>
      </c>
    </row>
    <row r="178" spans="1:22" ht="16.399999999999999" hidden="1" customHeight="1">
      <c r="A178" s="29" t="str">
        <f t="shared" si="3"/>
        <v>modesg_out_sfics_taxon_europeian.a.</v>
      </c>
      <c r="B178" s="141" t="s">
        <v>26</v>
      </c>
      <c r="C178" s="137" t="s">
        <v>310</v>
      </c>
      <c r="D178" s="133" t="s">
        <v>36</v>
      </c>
      <c r="E178" s="134" t="s">
        <v>2080</v>
      </c>
      <c r="F178" s="476" t="s">
        <v>38</v>
      </c>
      <c r="G178" s="135" t="str">
        <f>VLOOKUP(A178,Plano_V3!$A$26:$G$768,7,0)</f>
        <v xml:space="preserve">6. Em implementação </v>
      </c>
      <c r="H178" s="135" t="s">
        <v>2320</v>
      </c>
      <c r="I178" s="473"/>
      <c r="J178" s="142"/>
      <c r="K178" s="359" t="s">
        <v>2355</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2321</v>
      </c>
      <c r="V178" s="324" t="s">
        <v>2309</v>
      </c>
    </row>
    <row r="179" spans="1:22" ht="16.399999999999999" hidden="1" customHeight="1">
      <c r="A179" s="29" t="str">
        <f t="shared" si="3"/>
        <v>modesg_out_sfics_taxon_europeiaorigem</v>
      </c>
      <c r="B179" s="141" t="s">
        <v>26</v>
      </c>
      <c r="C179" s="137" t="s">
        <v>310</v>
      </c>
      <c r="D179" s="133" t="s">
        <v>40</v>
      </c>
      <c r="E179" s="134" t="s">
        <v>2080</v>
      </c>
      <c r="F179" s="476" t="s">
        <v>72</v>
      </c>
      <c r="G179" s="135" t="str">
        <f>VLOOKUP(A179,Plano_V3!$A$26:$G$768,7,0)</f>
        <v>0. Cancelado</v>
      </c>
      <c r="H179" s="135" t="s">
        <v>611</v>
      </c>
      <c r="I179" s="473"/>
      <c r="J179" s="142"/>
      <c r="K179" s="359" t="s">
        <v>2355</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2321</v>
      </c>
      <c r="V179" s="324"/>
    </row>
    <row r="180" spans="1:22" ht="16.399999999999999" hidden="1" customHeight="1">
      <c r="A180" s="29" t="str">
        <f t="shared" si="3"/>
        <v>lt003_entitynace_esg</v>
      </c>
      <c r="B180" s="141" t="s">
        <v>26</v>
      </c>
      <c r="C180" s="137" t="s">
        <v>26</v>
      </c>
      <c r="D180" s="133" t="s">
        <v>40</v>
      </c>
      <c r="E180" s="136" t="s">
        <v>335</v>
      </c>
      <c r="F180" s="480" t="s">
        <v>336</v>
      </c>
      <c r="G180" s="487" t="str">
        <f>VLOOKUP(A180,Plano_V3!$A$26:$G$768,7,0)</f>
        <v xml:space="preserve">6. Em implementação </v>
      </c>
      <c r="H180" s="135" t="s">
        <v>2320</v>
      </c>
      <c r="I180" s="473"/>
      <c r="J180" s="142"/>
      <c r="K180" s="142" t="s">
        <v>2355</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2321</v>
      </c>
      <c r="V180" s="324" t="s">
        <v>1856</v>
      </c>
    </row>
    <row r="181" spans="1:22" ht="16.399999999999999" hidden="1" customHeight="1">
      <c r="A181" s="29" t="str">
        <f t="shared" si="3"/>
        <v>lt003_entityflg_act_physcl_rsk</v>
      </c>
      <c r="B181" s="141" t="s">
        <v>26</v>
      </c>
      <c r="C181" s="137" t="s">
        <v>26</v>
      </c>
      <c r="D181" s="133" t="s">
        <v>40</v>
      </c>
      <c r="E181" s="136" t="s">
        <v>335</v>
      </c>
      <c r="F181" s="480" t="s">
        <v>357</v>
      </c>
      <c r="G181" s="487" t="str">
        <f>VLOOKUP(A181,Plano_V3!$A$26:$G$768,7,0)</f>
        <v xml:space="preserve">6. Em implementação </v>
      </c>
      <c r="H181" s="135" t="s">
        <v>2320</v>
      </c>
      <c r="I181" s="473"/>
      <c r="J181" s="142"/>
      <c r="K181" s="142" t="s">
        <v>2355</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2321</v>
      </c>
      <c r="V181" s="324" t="s">
        <v>1857</v>
      </c>
    </row>
    <row r="182" spans="1:22" ht="16.399999999999999" hidden="1" customHeight="1">
      <c r="A182" s="29" t="str">
        <f t="shared" si="3"/>
        <v>lt003_entityflg_chrnc_physcl_rsk</v>
      </c>
      <c r="B182" s="141" t="s">
        <v>26</v>
      </c>
      <c r="C182" s="137" t="s">
        <v>26</v>
      </c>
      <c r="D182" s="133" t="s">
        <v>40</v>
      </c>
      <c r="E182" s="136" t="s">
        <v>335</v>
      </c>
      <c r="F182" s="480" t="s">
        <v>358</v>
      </c>
      <c r="G182" s="487" t="str">
        <f>VLOOKUP(A182,Plano_V3!$A$26:$G$768,7,0)</f>
        <v xml:space="preserve">6. Em implementação </v>
      </c>
      <c r="H182" s="135" t="s">
        <v>2320</v>
      </c>
      <c r="I182" s="473"/>
      <c r="J182" s="142"/>
      <c r="K182" s="142" t="s">
        <v>2355</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2321</v>
      </c>
      <c r="V182" s="324" t="s">
        <v>1857</v>
      </c>
    </row>
    <row r="183" spans="1:22" ht="16.399999999999999" hidden="1" customHeight="1">
      <c r="A183" s="29" t="str">
        <f t="shared" si="3"/>
        <v>lt002_instrumentrsk_mtgtd_ccp</v>
      </c>
      <c r="B183" s="141" t="s">
        <v>26</v>
      </c>
      <c r="C183" s="137" t="s">
        <v>26</v>
      </c>
      <c r="D183" s="133" t="s">
        <v>40</v>
      </c>
      <c r="E183" s="136" t="s">
        <v>379</v>
      </c>
      <c r="F183" s="480" t="s">
        <v>381</v>
      </c>
      <c r="G183" s="487" t="str">
        <f>VLOOKUP(A183,Plano_V3!$A$26:$G$768,7,0)</f>
        <v xml:space="preserve">6. Em implementação </v>
      </c>
      <c r="H183" s="135" t="s">
        <v>2320</v>
      </c>
      <c r="I183" s="473"/>
      <c r="J183" s="142"/>
      <c r="K183" s="142" t="s">
        <v>2355</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2315</v>
      </c>
      <c r="S183" s="324"/>
      <c r="T183" s="324"/>
      <c r="U183" s="372" t="s">
        <v>2321</v>
      </c>
      <c r="V183" s="324" t="s">
        <v>1856</v>
      </c>
    </row>
    <row r="184" spans="1:22" ht="16.399999999999999" hidden="1" customHeight="1">
      <c r="A184" s="29" t="str">
        <f t="shared" si="3"/>
        <v>lt007_instr_activityCOD_SOC</v>
      </c>
      <c r="B184" s="141" t="s">
        <v>26</v>
      </c>
      <c r="C184" s="137" t="s">
        <v>26</v>
      </c>
      <c r="D184" s="133" t="s">
        <v>40</v>
      </c>
      <c r="E184" s="136" t="s">
        <v>1860</v>
      </c>
      <c r="F184" s="480" t="s">
        <v>1293</v>
      </c>
      <c r="G184" s="135" t="str">
        <f>VLOOKUP(A184,Plano_V3!$A$26:$G$768,7,0)</f>
        <v>2.1 Em Teste</v>
      </c>
      <c r="H184" s="135" t="s">
        <v>1840</v>
      </c>
      <c r="I184" s="473"/>
      <c r="J184" s="359" t="s">
        <v>2241</v>
      </c>
      <c r="K184" s="359" t="s">
        <v>2425</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2314</v>
      </c>
      <c r="S184" s="324" t="s">
        <v>2383</v>
      </c>
      <c r="T184" s="372" t="s">
        <v>2362</v>
      </c>
      <c r="U184" s="372" t="s">
        <v>2322</v>
      </c>
      <c r="V184" s="324" t="s">
        <v>2309</v>
      </c>
    </row>
    <row r="185" spans="1:22" ht="16.399999999999999" hidden="1" customHeight="1">
      <c r="A185" s="29" t="str">
        <f t="shared" si="3"/>
        <v>lt007_instr_activityDT_RFRNC</v>
      </c>
      <c r="B185" s="141" t="s">
        <v>26</v>
      </c>
      <c r="C185" s="137" t="s">
        <v>26</v>
      </c>
      <c r="D185" s="133" t="s">
        <v>40</v>
      </c>
      <c r="E185" s="136" t="s">
        <v>1860</v>
      </c>
      <c r="F185" s="480" t="s">
        <v>1298</v>
      </c>
      <c r="G185" s="135" t="str">
        <f>VLOOKUP(A185,Plano_V3!$A$26:$G$768,7,0)</f>
        <v>2.1 Em Teste</v>
      </c>
      <c r="H185" s="135" t="s">
        <v>1840</v>
      </c>
      <c r="I185" s="473"/>
      <c r="J185" s="359" t="s">
        <v>2240</v>
      </c>
      <c r="K185" s="359" t="s">
        <v>2425</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2314</v>
      </c>
      <c r="S185" s="324" t="s">
        <v>2383</v>
      </c>
      <c r="T185" s="372" t="s">
        <v>2362</v>
      </c>
      <c r="U185" s="372" t="s">
        <v>2322</v>
      </c>
      <c r="V185" s="324" t="s">
        <v>2309</v>
      </c>
    </row>
    <row r="186" spans="1:22" ht="16.399999999999999" hidden="1" customHeight="1">
      <c r="A186" s="29" t="str">
        <f t="shared" si="3"/>
        <v>lt007_instr_activityINSTRMNT_ID</v>
      </c>
      <c r="B186" s="141" t="s">
        <v>26</v>
      </c>
      <c r="C186" s="137" t="s">
        <v>26</v>
      </c>
      <c r="D186" s="133" t="s">
        <v>40</v>
      </c>
      <c r="E186" s="136" t="s">
        <v>1860</v>
      </c>
      <c r="F186" s="480" t="s">
        <v>1307</v>
      </c>
      <c r="G186" s="135" t="str">
        <f>VLOOKUP(A186,Plano_V3!$A$26:$G$768,7,0)</f>
        <v>2.1 Em Teste</v>
      </c>
      <c r="H186" s="135" t="s">
        <v>1840</v>
      </c>
      <c r="I186" s="473"/>
      <c r="J186" s="359" t="s">
        <v>2241</v>
      </c>
      <c r="K186" s="359" t="s">
        <v>2425</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2314</v>
      </c>
      <c r="S186" s="324" t="s">
        <v>2383</v>
      </c>
      <c r="T186" s="372" t="s">
        <v>2362</v>
      </c>
      <c r="U186" s="372" t="s">
        <v>2322</v>
      </c>
      <c r="V186" s="324" t="s">
        <v>2309</v>
      </c>
    </row>
    <row r="187" spans="1:22" ht="16.399999999999999" hidden="1" customHeight="1">
      <c r="A187" s="29" t="str">
        <f t="shared" si="3"/>
        <v>lt007_instr_activityFLG_DNSH_CMPLNC</v>
      </c>
      <c r="B187" s="141" t="s">
        <v>26</v>
      </c>
      <c r="C187" s="137" t="s">
        <v>26</v>
      </c>
      <c r="D187" s="133" t="s">
        <v>40</v>
      </c>
      <c r="E187" s="136" t="s">
        <v>1860</v>
      </c>
      <c r="F187" s="480" t="s">
        <v>2294</v>
      </c>
      <c r="G187" s="135" t="str">
        <f>VLOOKUP(A187,Plano_V3!$A$26:$G$768,7,0)</f>
        <v>2.1 Em Teste</v>
      </c>
      <c r="H187" s="135" t="s">
        <v>1840</v>
      </c>
      <c r="I187" s="473"/>
      <c r="J187" s="359" t="s">
        <v>2307</v>
      </c>
      <c r="K187" s="359" t="s">
        <v>2425</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2314</v>
      </c>
      <c r="S187" s="324" t="s">
        <v>2384</v>
      </c>
      <c r="T187" s="372" t="s">
        <v>2362</v>
      </c>
      <c r="U187" s="372" t="s">
        <v>2322</v>
      </c>
      <c r="V187" s="324" t="s">
        <v>2311</v>
      </c>
    </row>
    <row r="188" spans="1:22" ht="16.399999999999999" hidden="1" customHeight="1">
      <c r="A188" s="29" t="str">
        <f t="shared" si="3"/>
        <v>lt007_instr_activityDNSH_DTL</v>
      </c>
      <c r="B188" s="141" t="s">
        <v>26</v>
      </c>
      <c r="C188" s="137" t="s">
        <v>26</v>
      </c>
      <c r="D188" s="133" t="s">
        <v>40</v>
      </c>
      <c r="E188" s="136" t="s">
        <v>1860</v>
      </c>
      <c r="F188" s="480" t="s">
        <v>2295</v>
      </c>
      <c r="G188" s="135" t="str">
        <f>VLOOKUP(A188,Plano_V3!$A$26:$G$768,7,0)</f>
        <v>2.1 Em Teste</v>
      </c>
      <c r="H188" s="135" t="s">
        <v>1840</v>
      </c>
      <c r="I188" s="473"/>
      <c r="J188" s="359" t="s">
        <v>2307</v>
      </c>
      <c r="K188" s="359" t="s">
        <v>2425</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2314</v>
      </c>
      <c r="S188" s="324" t="s">
        <v>2384</v>
      </c>
      <c r="T188" s="372" t="s">
        <v>2362</v>
      </c>
      <c r="U188" s="372" t="s">
        <v>2322</v>
      </c>
      <c r="V188" s="324" t="s">
        <v>2311</v>
      </c>
    </row>
    <row r="189" spans="1:22" ht="16.399999999999999" hidden="1" customHeight="1">
      <c r="A189" s="29" t="str">
        <f t="shared" si="3"/>
        <v>lt002_instrumentFLG_MNMM_SFGRDS</v>
      </c>
      <c r="B189" s="141" t="s">
        <v>26</v>
      </c>
      <c r="C189" s="137" t="s">
        <v>26</v>
      </c>
      <c r="D189" s="133" t="s">
        <v>40</v>
      </c>
      <c r="E189" s="136" t="s">
        <v>379</v>
      </c>
      <c r="F189" s="480" t="s">
        <v>2175</v>
      </c>
      <c r="G189" s="135" t="str">
        <f>VLOOKUP(A189,Plano_V3!$A$26:$G$768,7,0)</f>
        <v>2.1 Em Teste</v>
      </c>
      <c r="H189" s="135" t="s">
        <v>1840</v>
      </c>
      <c r="I189" s="473"/>
      <c r="J189" s="142" t="s">
        <v>2304</v>
      </c>
      <c r="K189" s="359" t="s">
        <v>2425</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2314</v>
      </c>
      <c r="S189" s="324" t="s">
        <v>2394</v>
      </c>
      <c r="T189" s="372" t="s">
        <v>2362</v>
      </c>
      <c r="U189" s="372" t="s">
        <v>2322</v>
      </c>
      <c r="V189" s="324" t="s">
        <v>1856</v>
      </c>
    </row>
    <row r="190" spans="1:22" ht="16.399999999999999" hidden="1" customHeight="1">
      <c r="A190" s="29" t="str">
        <f t="shared" si="3"/>
        <v>lt003_entitytxnmy_elgbl_capex_w</v>
      </c>
      <c r="B190" s="141" t="s">
        <v>26</v>
      </c>
      <c r="C190" s="137" t="s">
        <v>26</v>
      </c>
      <c r="D190" s="133" t="s">
        <v>40</v>
      </c>
      <c r="E190" s="136" t="s">
        <v>335</v>
      </c>
      <c r="F190" s="480" t="s">
        <v>2196</v>
      </c>
      <c r="G190" s="135" t="str">
        <f>VLOOKUP(A190,Plano_V3!$A$26:$G$768,7,0)</f>
        <v>2.1 Em Teste</v>
      </c>
      <c r="H190" s="135" t="s">
        <v>1840</v>
      </c>
      <c r="I190" s="473"/>
      <c r="J190" s="359" t="s">
        <v>2243</v>
      </c>
      <c r="K190" s="359" t="s">
        <v>2242</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2314</v>
      </c>
      <c r="S190" s="324" t="s">
        <v>2384</v>
      </c>
      <c r="T190" s="372" t="s">
        <v>2362</v>
      </c>
      <c r="U190" s="372" t="s">
        <v>2322</v>
      </c>
      <c r="V190" s="324" t="s">
        <v>1856</v>
      </c>
    </row>
    <row r="191" spans="1:22" ht="16.399999999999999" hidden="1" customHeight="1">
      <c r="A191" s="29" t="str">
        <f t="shared" si="3"/>
        <v>lt003_entitytxnmy_elgbl_trnvr_w</v>
      </c>
      <c r="B191" s="141" t="s">
        <v>26</v>
      </c>
      <c r="C191" s="137" t="s">
        <v>26</v>
      </c>
      <c r="D191" s="133" t="s">
        <v>40</v>
      </c>
      <c r="E191" s="136" t="s">
        <v>335</v>
      </c>
      <c r="F191" s="480" t="s">
        <v>2197</v>
      </c>
      <c r="G191" s="135" t="str">
        <f>VLOOKUP(A191,Plano_V3!$A$26:$G$768,7,0)</f>
        <v>2.1 Em Teste</v>
      </c>
      <c r="H191" s="135" t="s">
        <v>1840</v>
      </c>
      <c r="I191" s="473"/>
      <c r="J191" s="359" t="s">
        <v>2243</v>
      </c>
      <c r="K191" s="359" t="s">
        <v>2242</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2314</v>
      </c>
      <c r="S191" s="324" t="s">
        <v>2384</v>
      </c>
      <c r="T191" s="372" t="s">
        <v>2362</v>
      </c>
      <c r="U191" s="372" t="s">
        <v>2322</v>
      </c>
      <c r="V191" s="324" t="s">
        <v>1856</v>
      </c>
    </row>
    <row r="192" spans="1:22" ht="16.399999999999999" hidden="1" customHeight="1">
      <c r="A192" s="29" t="str">
        <f t="shared" si="3"/>
        <v>lt003_entitytxnmy_elgbl_capex_p</v>
      </c>
      <c r="B192" s="141" t="s">
        <v>26</v>
      </c>
      <c r="C192" s="137" t="s">
        <v>26</v>
      </c>
      <c r="D192" s="133" t="s">
        <v>40</v>
      </c>
      <c r="E192" s="136" t="s">
        <v>335</v>
      </c>
      <c r="F192" s="480" t="s">
        <v>2198</v>
      </c>
      <c r="G192" s="135" t="str">
        <f>VLOOKUP(A192,Plano_V3!$A$26:$G$768,7,0)</f>
        <v>2.1 Em Teste</v>
      </c>
      <c r="H192" s="135" t="s">
        <v>1840</v>
      </c>
      <c r="I192" s="473"/>
      <c r="J192" s="359" t="s">
        <v>2243</v>
      </c>
      <c r="K192" s="359" t="s">
        <v>2242</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2314</v>
      </c>
      <c r="S192" s="324" t="s">
        <v>2384</v>
      </c>
      <c r="T192" s="372" t="s">
        <v>2362</v>
      </c>
      <c r="U192" s="372" t="s">
        <v>2322</v>
      </c>
      <c r="V192" s="324" t="s">
        <v>1856</v>
      </c>
    </row>
    <row r="193" spans="1:22" ht="16.399999999999999" hidden="1" customHeight="1">
      <c r="A193" s="29" t="str">
        <f t="shared" si="3"/>
        <v>lt003_entitytxnmy_elgbl_trnvr_p</v>
      </c>
      <c r="B193" s="141" t="s">
        <v>26</v>
      </c>
      <c r="C193" s="137" t="s">
        <v>26</v>
      </c>
      <c r="D193" s="133" t="s">
        <v>40</v>
      </c>
      <c r="E193" s="136" t="s">
        <v>335</v>
      </c>
      <c r="F193" s="480" t="s">
        <v>2199</v>
      </c>
      <c r="G193" s="135" t="str">
        <f>VLOOKUP(A193,Plano_V3!$A$26:$G$768,7,0)</f>
        <v>2.1 Em Teste</v>
      </c>
      <c r="H193" s="135" t="s">
        <v>1840</v>
      </c>
      <c r="I193" s="473"/>
      <c r="J193" s="359" t="s">
        <v>2243</v>
      </c>
      <c r="K193" s="359" t="s">
        <v>2242</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2314</v>
      </c>
      <c r="S193" s="324" t="s">
        <v>2384</v>
      </c>
      <c r="T193" s="372" t="s">
        <v>2362</v>
      </c>
      <c r="U193" s="372" t="s">
        <v>2322</v>
      </c>
      <c r="V193" s="324" t="s">
        <v>1856</v>
      </c>
    </row>
    <row r="194" spans="1:22" ht="16.399999999999999" hidden="1" customHeight="1">
      <c r="A194" s="29" t="str">
        <f t="shared" si="3"/>
        <v>lt003_entitytxnmy_elgbl_capex_b</v>
      </c>
      <c r="B194" s="141" t="s">
        <v>26</v>
      </c>
      <c r="C194" s="137" t="s">
        <v>26</v>
      </c>
      <c r="D194" s="133" t="s">
        <v>40</v>
      </c>
      <c r="E194" s="136" t="s">
        <v>335</v>
      </c>
      <c r="F194" s="480" t="s">
        <v>2200</v>
      </c>
      <c r="G194" s="135" t="str">
        <f>VLOOKUP(A194,Plano_V3!$A$26:$G$768,7,0)</f>
        <v>2.1 Em Teste</v>
      </c>
      <c r="H194" s="135" t="s">
        <v>1840</v>
      </c>
      <c r="I194" s="473"/>
      <c r="J194" s="359" t="s">
        <v>2243</v>
      </c>
      <c r="K194" s="359" t="s">
        <v>2242</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2314</v>
      </c>
      <c r="S194" s="324" t="s">
        <v>2384</v>
      </c>
      <c r="T194" s="372" t="s">
        <v>2362</v>
      </c>
      <c r="U194" s="372" t="s">
        <v>2322</v>
      </c>
      <c r="V194" s="324" t="s">
        <v>1856</v>
      </c>
    </row>
    <row r="195" spans="1:22" ht="16.399999999999999" hidden="1" customHeight="1">
      <c r="A195" s="29" t="str">
        <f t="shared" si="3"/>
        <v>lt003_entitytxnmy_elgbl_trnvr_b</v>
      </c>
      <c r="B195" s="141" t="s">
        <v>26</v>
      </c>
      <c r="C195" s="137" t="s">
        <v>26</v>
      </c>
      <c r="D195" s="133" t="s">
        <v>40</v>
      </c>
      <c r="E195" s="136" t="s">
        <v>335</v>
      </c>
      <c r="F195" s="480" t="s">
        <v>2201</v>
      </c>
      <c r="G195" s="135" t="str">
        <f>VLOOKUP(A195,Plano_V3!$A$26:$G$768,7,0)</f>
        <v>2.1 Em Teste</v>
      </c>
      <c r="H195" s="135" t="s">
        <v>1840</v>
      </c>
      <c r="I195" s="473"/>
      <c r="J195" s="359" t="s">
        <v>2243</v>
      </c>
      <c r="K195" s="359" t="s">
        <v>2242</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2314</v>
      </c>
      <c r="S195" s="324" t="s">
        <v>2384</v>
      </c>
      <c r="T195" s="372" t="s">
        <v>2362</v>
      </c>
      <c r="U195" s="372" t="s">
        <v>2322</v>
      </c>
      <c r="V195" s="324" t="s">
        <v>1856</v>
      </c>
    </row>
    <row r="196" spans="1:22" ht="16.399999999999999" hidden="1" customHeight="1">
      <c r="A196" s="29" t="str">
        <f t="shared" si="3"/>
        <v>lt003_entitytxnmy_elgbl_capex_ce</v>
      </c>
      <c r="B196" s="141" t="s">
        <v>26</v>
      </c>
      <c r="C196" s="137" t="s">
        <v>26</v>
      </c>
      <c r="D196" s="133" t="s">
        <v>40</v>
      </c>
      <c r="E196" s="136" t="s">
        <v>335</v>
      </c>
      <c r="F196" s="480" t="s">
        <v>2202</v>
      </c>
      <c r="G196" s="135" t="str">
        <f>VLOOKUP(A196,Plano_V3!$A$26:$G$768,7,0)</f>
        <v>2.1 Em Teste</v>
      </c>
      <c r="H196" s="135" t="s">
        <v>1840</v>
      </c>
      <c r="I196" s="473"/>
      <c r="J196" s="359" t="s">
        <v>2243</v>
      </c>
      <c r="K196" s="359" t="s">
        <v>2242</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2314</v>
      </c>
      <c r="S196" s="324" t="s">
        <v>2384</v>
      </c>
      <c r="T196" s="372" t="s">
        <v>2362</v>
      </c>
      <c r="U196" s="372" t="s">
        <v>2322</v>
      </c>
      <c r="V196" s="324" t="s">
        <v>1856</v>
      </c>
    </row>
    <row r="197" spans="1:22" ht="16.399999999999999" hidden="1" customHeight="1">
      <c r="A197" s="29" t="str">
        <f t="shared" si="3"/>
        <v>lt003_entitytxnmy_elgbl_trnvr_ce</v>
      </c>
      <c r="B197" s="141" t="s">
        <v>26</v>
      </c>
      <c r="C197" s="137" t="s">
        <v>26</v>
      </c>
      <c r="D197" s="133" t="s">
        <v>40</v>
      </c>
      <c r="E197" s="136" t="s">
        <v>335</v>
      </c>
      <c r="F197" s="480" t="s">
        <v>2203</v>
      </c>
      <c r="G197" s="135" t="str">
        <f>VLOOKUP(A197,Plano_V3!$A$26:$G$768,7,0)</f>
        <v>2.1 Em Teste</v>
      </c>
      <c r="H197" s="135" t="s">
        <v>1840</v>
      </c>
      <c r="I197" s="473"/>
      <c r="J197" s="359" t="s">
        <v>2243</v>
      </c>
      <c r="K197" s="359" t="s">
        <v>2242</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2314</v>
      </c>
      <c r="S197" s="324" t="s">
        <v>2384</v>
      </c>
      <c r="T197" s="372" t="s">
        <v>2362</v>
      </c>
      <c r="U197" s="372" t="s">
        <v>2322</v>
      </c>
      <c r="V197" s="324" t="s">
        <v>1856</v>
      </c>
    </row>
    <row r="198" spans="1:22" ht="16.399999999999999" hidden="1" customHeight="1">
      <c r="A198" s="29" t="str">
        <f t="shared" si="3"/>
        <v>lt003_entitypure_capex_p</v>
      </c>
      <c r="B198" s="141" t="s">
        <v>26</v>
      </c>
      <c r="C198" s="137" t="s">
        <v>26</v>
      </c>
      <c r="D198" s="133" t="s">
        <v>40</v>
      </c>
      <c r="E198" s="136" t="s">
        <v>335</v>
      </c>
      <c r="F198" s="480" t="s">
        <v>2204</v>
      </c>
      <c r="G198" s="135" t="str">
        <f>VLOOKUP(A198,Plano_V3!$A$26:$G$768,7,0)</f>
        <v>2.1 Em Teste</v>
      </c>
      <c r="H198" s="135" t="s">
        <v>1840</v>
      </c>
      <c r="I198" s="473"/>
      <c r="J198" s="359" t="s">
        <v>2243</v>
      </c>
      <c r="K198" s="359" t="s">
        <v>2242</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2314</v>
      </c>
      <c r="S198" s="324" t="s">
        <v>2384</v>
      </c>
      <c r="T198" s="372" t="s">
        <v>2362</v>
      </c>
      <c r="U198" s="372" t="s">
        <v>2322</v>
      </c>
      <c r="V198" s="324" t="s">
        <v>1856</v>
      </c>
    </row>
    <row r="199" spans="1:22" ht="16.399999999999999" hidden="1" customHeight="1">
      <c r="A199" s="29" t="str">
        <f t="shared" si="3"/>
        <v>lt003_entitypure_trnvr_p</v>
      </c>
      <c r="B199" s="141" t="s">
        <v>26</v>
      </c>
      <c r="C199" s="137" t="s">
        <v>26</v>
      </c>
      <c r="D199" s="133" t="s">
        <v>40</v>
      </c>
      <c r="E199" s="136" t="s">
        <v>335</v>
      </c>
      <c r="F199" s="480" t="s">
        <v>2205</v>
      </c>
      <c r="G199" s="135" t="str">
        <f>VLOOKUP(A199,Plano_V3!$A$26:$G$768,7,0)</f>
        <v>2.1 Em Teste</v>
      </c>
      <c r="H199" s="135" t="s">
        <v>1840</v>
      </c>
      <c r="I199" s="473"/>
      <c r="J199" s="359" t="s">
        <v>2243</v>
      </c>
      <c r="K199" s="359" t="s">
        <v>2242</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2314</v>
      </c>
      <c r="S199" s="324" t="s">
        <v>2384</v>
      </c>
      <c r="T199" s="372" t="s">
        <v>2362</v>
      </c>
      <c r="U199" s="372" t="s">
        <v>2322</v>
      </c>
      <c r="V199" s="324" t="s">
        <v>1856</v>
      </c>
    </row>
    <row r="200" spans="1:22" ht="16.399999999999999" hidden="1" customHeight="1">
      <c r="A200" s="29" t="str">
        <f t="shared" si="3"/>
        <v>lt003_entitypure_capex_b</v>
      </c>
      <c r="B200" s="141" t="s">
        <v>26</v>
      </c>
      <c r="C200" s="137" t="s">
        <v>26</v>
      </c>
      <c r="D200" s="133" t="s">
        <v>40</v>
      </c>
      <c r="E200" s="136" t="s">
        <v>335</v>
      </c>
      <c r="F200" s="480" t="s">
        <v>2206</v>
      </c>
      <c r="G200" s="135" t="str">
        <f>VLOOKUP(A200,Plano_V3!$A$26:$G$768,7,0)</f>
        <v>2.1 Em Teste</v>
      </c>
      <c r="H200" s="135" t="s">
        <v>1840</v>
      </c>
      <c r="I200" s="473"/>
      <c r="J200" s="359" t="s">
        <v>2243</v>
      </c>
      <c r="K200" s="359" t="s">
        <v>2242</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2314</v>
      </c>
      <c r="S200" s="324" t="s">
        <v>2384</v>
      </c>
      <c r="T200" s="372" t="s">
        <v>2362</v>
      </c>
      <c r="U200" s="372" t="s">
        <v>2322</v>
      </c>
      <c r="V200" s="324" t="s">
        <v>1856</v>
      </c>
    </row>
    <row r="201" spans="1:22" ht="16.399999999999999" hidden="1" customHeight="1">
      <c r="A201" s="29" t="str">
        <f t="shared" ref="A201:A266" si="4">E201&amp;F201</f>
        <v>lt003_entitypure_trnvr_b</v>
      </c>
      <c r="B201" s="141" t="s">
        <v>26</v>
      </c>
      <c r="C201" s="137" t="s">
        <v>26</v>
      </c>
      <c r="D201" s="133" t="s">
        <v>40</v>
      </c>
      <c r="E201" s="136" t="s">
        <v>335</v>
      </c>
      <c r="F201" s="480" t="s">
        <v>2207</v>
      </c>
      <c r="G201" s="135" t="str">
        <f>VLOOKUP(A201,Plano_V3!$A$26:$G$768,7,0)</f>
        <v>2.1 Em Teste</v>
      </c>
      <c r="H201" s="135" t="s">
        <v>1840</v>
      </c>
      <c r="I201" s="473"/>
      <c r="J201" s="359" t="s">
        <v>2243</v>
      </c>
      <c r="K201" s="359" t="s">
        <v>2242</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2314</v>
      </c>
      <c r="S201" s="324" t="s">
        <v>2384</v>
      </c>
      <c r="T201" s="372" t="s">
        <v>2362</v>
      </c>
      <c r="U201" s="372" t="s">
        <v>2322</v>
      </c>
      <c r="V201" s="324" t="s">
        <v>1856</v>
      </c>
    </row>
    <row r="202" spans="1:22" ht="16.399999999999999" hidden="1" customHeight="1">
      <c r="A202" s="29" t="str">
        <f t="shared" si="4"/>
        <v>lt003_entitypure_capex_w</v>
      </c>
      <c r="B202" s="141" t="s">
        <v>26</v>
      </c>
      <c r="C202" s="137" t="s">
        <v>26</v>
      </c>
      <c r="D202" s="133" t="s">
        <v>40</v>
      </c>
      <c r="E202" s="136" t="s">
        <v>335</v>
      </c>
      <c r="F202" s="480" t="s">
        <v>2208</v>
      </c>
      <c r="G202" s="135" t="str">
        <f>VLOOKUP(A202,Plano_V3!$A$26:$G$768,7,0)</f>
        <v>2.1 Em Teste</v>
      </c>
      <c r="H202" s="135" t="s">
        <v>1840</v>
      </c>
      <c r="I202" s="473"/>
      <c r="J202" s="359" t="s">
        <v>2243</v>
      </c>
      <c r="K202" s="359" t="s">
        <v>2242</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2314</v>
      </c>
      <c r="S202" s="324" t="s">
        <v>2384</v>
      </c>
      <c r="T202" s="372" t="s">
        <v>2362</v>
      </c>
      <c r="U202" s="372" t="s">
        <v>2322</v>
      </c>
      <c r="V202" s="324" t="s">
        <v>1856</v>
      </c>
    </row>
    <row r="203" spans="1:22" ht="16.399999999999999" hidden="1" customHeight="1">
      <c r="A203" s="29" t="str">
        <f t="shared" si="4"/>
        <v>lt003_entitypure_trnvr_w</v>
      </c>
      <c r="B203" s="141" t="s">
        <v>26</v>
      </c>
      <c r="C203" s="137" t="s">
        <v>26</v>
      </c>
      <c r="D203" s="133" t="s">
        <v>40</v>
      </c>
      <c r="E203" s="136" t="s">
        <v>335</v>
      </c>
      <c r="F203" s="480" t="s">
        <v>2209</v>
      </c>
      <c r="G203" s="135" t="str">
        <f>VLOOKUP(A203,Plano_V3!$A$26:$G$768,7,0)</f>
        <v>2.1 Em Teste</v>
      </c>
      <c r="H203" s="135" t="s">
        <v>1840</v>
      </c>
      <c r="I203" s="473"/>
      <c r="J203" s="359" t="s">
        <v>2243</v>
      </c>
      <c r="K203" s="359" t="s">
        <v>2242</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2314</v>
      </c>
      <c r="S203" s="324" t="s">
        <v>2384</v>
      </c>
      <c r="T203" s="372" t="s">
        <v>2362</v>
      </c>
      <c r="U203" s="372" t="s">
        <v>2322</v>
      </c>
      <c r="V203" s="324" t="s">
        <v>1856</v>
      </c>
    </row>
    <row r="204" spans="1:22" ht="16.399999999999999" hidden="1" customHeight="1">
      <c r="A204" s="29" t="str">
        <f t="shared" si="4"/>
        <v>lt003_entitypure_capex_ce</v>
      </c>
      <c r="B204" s="141" t="s">
        <v>26</v>
      </c>
      <c r="C204" s="137" t="s">
        <v>26</v>
      </c>
      <c r="D204" s="133" t="s">
        <v>40</v>
      </c>
      <c r="E204" s="136" t="s">
        <v>335</v>
      </c>
      <c r="F204" s="480" t="s">
        <v>2210</v>
      </c>
      <c r="G204" s="135" t="str">
        <f>VLOOKUP(A204,Plano_V3!$A$26:$G$768,7,0)</f>
        <v>2.1 Em Teste</v>
      </c>
      <c r="H204" s="135" t="s">
        <v>1840</v>
      </c>
      <c r="I204" s="473"/>
      <c r="J204" s="359" t="s">
        <v>2243</v>
      </c>
      <c r="K204" s="359" t="s">
        <v>2242</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2314</v>
      </c>
      <c r="S204" s="324" t="s">
        <v>2384</v>
      </c>
      <c r="T204" s="372" t="s">
        <v>2362</v>
      </c>
      <c r="U204" s="372" t="s">
        <v>2322</v>
      </c>
      <c r="V204" s="324" t="s">
        <v>1856</v>
      </c>
    </row>
    <row r="205" spans="1:22" ht="16.399999999999999" hidden="1" customHeight="1">
      <c r="A205" s="29" t="str">
        <f t="shared" si="4"/>
        <v>lt003_entitypure_trnvr_ce</v>
      </c>
      <c r="B205" s="141" t="s">
        <v>26</v>
      </c>
      <c r="C205" s="137" t="s">
        <v>26</v>
      </c>
      <c r="D205" s="133" t="s">
        <v>40</v>
      </c>
      <c r="E205" s="136" t="s">
        <v>335</v>
      </c>
      <c r="F205" s="480" t="s">
        <v>2211</v>
      </c>
      <c r="G205" s="135" t="str">
        <f>VLOOKUP(A205,Plano_V3!$A$26:$G$768,7,0)</f>
        <v>2.1 Em Teste</v>
      </c>
      <c r="H205" s="135" t="s">
        <v>1840</v>
      </c>
      <c r="I205" s="473"/>
      <c r="J205" s="359" t="s">
        <v>2243</v>
      </c>
      <c r="K205" s="359" t="s">
        <v>2242</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2314</v>
      </c>
      <c r="S205" s="324" t="s">
        <v>2384</v>
      </c>
      <c r="T205" s="372" t="s">
        <v>2362</v>
      </c>
      <c r="U205" s="372" t="s">
        <v>2322</v>
      </c>
      <c r="V205" s="324" t="s">
        <v>1856</v>
      </c>
    </row>
    <row r="206" spans="1:22" ht="16.399999999999999" hidden="1" customHeight="1">
      <c r="A206" s="29" t="str">
        <f t="shared" si="4"/>
        <v>lt003_entityenblng_capex_w</v>
      </c>
      <c r="B206" s="141" t="s">
        <v>26</v>
      </c>
      <c r="C206" s="137" t="s">
        <v>26</v>
      </c>
      <c r="D206" s="133" t="s">
        <v>40</v>
      </c>
      <c r="E206" s="136" t="s">
        <v>335</v>
      </c>
      <c r="F206" s="480" t="s">
        <v>2212</v>
      </c>
      <c r="G206" s="135" t="str">
        <f>VLOOKUP(A206,Plano_V3!$A$26:$G$768,7,0)</f>
        <v>2.1 Em Teste</v>
      </c>
      <c r="H206" s="135" t="s">
        <v>1840</v>
      </c>
      <c r="I206" s="473"/>
      <c r="J206" s="359" t="s">
        <v>2243</v>
      </c>
      <c r="K206" s="359" t="s">
        <v>2242</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2314</v>
      </c>
      <c r="S206" s="324" t="s">
        <v>2384</v>
      </c>
      <c r="T206" s="372" t="s">
        <v>2362</v>
      </c>
      <c r="U206" s="372" t="s">
        <v>2322</v>
      </c>
      <c r="V206" s="324" t="s">
        <v>1856</v>
      </c>
    </row>
    <row r="207" spans="1:22" ht="16.399999999999999" hidden="1" customHeight="1">
      <c r="A207" s="29" t="str">
        <f t="shared" si="4"/>
        <v>lt003_entityenblng_trnvr_w</v>
      </c>
      <c r="B207" s="141" t="s">
        <v>26</v>
      </c>
      <c r="C207" s="137" t="s">
        <v>26</v>
      </c>
      <c r="D207" s="133" t="s">
        <v>40</v>
      </c>
      <c r="E207" s="136" t="s">
        <v>335</v>
      </c>
      <c r="F207" s="480" t="s">
        <v>2213</v>
      </c>
      <c r="G207" s="135" t="str">
        <f>VLOOKUP(A207,Plano_V3!$A$26:$G$768,7,0)</f>
        <v>2.1 Em Teste</v>
      </c>
      <c r="H207" s="135" t="s">
        <v>1840</v>
      </c>
      <c r="I207" s="473"/>
      <c r="J207" s="359" t="s">
        <v>2243</v>
      </c>
      <c r="K207" s="359" t="s">
        <v>2242</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2314</v>
      </c>
      <c r="S207" s="324" t="s">
        <v>2384</v>
      </c>
      <c r="T207" s="372" t="s">
        <v>2362</v>
      </c>
      <c r="U207" s="372" t="s">
        <v>2322</v>
      </c>
      <c r="V207" s="324" t="s">
        <v>1856</v>
      </c>
    </row>
    <row r="208" spans="1:22" ht="16.399999999999999" hidden="1" customHeight="1">
      <c r="A208" s="29" t="str">
        <f t="shared" si="4"/>
        <v>lt003_entityenblng_capex_ce</v>
      </c>
      <c r="B208" s="141" t="s">
        <v>26</v>
      </c>
      <c r="C208" s="137" t="s">
        <v>26</v>
      </c>
      <c r="D208" s="133" t="s">
        <v>40</v>
      </c>
      <c r="E208" s="136" t="s">
        <v>335</v>
      </c>
      <c r="F208" s="480" t="s">
        <v>2214</v>
      </c>
      <c r="G208" s="135" t="str">
        <f>VLOOKUP(A208,Plano_V3!$A$26:$G$768,7,0)</f>
        <v>2.1 Em Teste</v>
      </c>
      <c r="H208" s="135" t="s">
        <v>1840</v>
      </c>
      <c r="I208" s="473"/>
      <c r="J208" s="359" t="s">
        <v>2243</v>
      </c>
      <c r="K208" s="359" t="s">
        <v>2242</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2314</v>
      </c>
      <c r="S208" s="324" t="s">
        <v>2384</v>
      </c>
      <c r="T208" s="372" t="s">
        <v>2362</v>
      </c>
      <c r="U208" s="372" t="s">
        <v>2322</v>
      </c>
      <c r="V208" s="324" t="s">
        <v>1856</v>
      </c>
    </row>
    <row r="209" spans="1:22" ht="16.399999999999999" hidden="1" customHeight="1">
      <c r="A209" s="29" t="str">
        <f t="shared" si="4"/>
        <v>lt003_entityenblng_trnvr_ce</v>
      </c>
      <c r="B209" s="141" t="s">
        <v>26</v>
      </c>
      <c r="C209" s="137" t="s">
        <v>26</v>
      </c>
      <c r="D209" s="133" t="s">
        <v>40</v>
      </c>
      <c r="E209" s="136" t="s">
        <v>335</v>
      </c>
      <c r="F209" s="480" t="s">
        <v>2215</v>
      </c>
      <c r="G209" s="135" t="str">
        <f>VLOOKUP(A209,Plano_V3!$A$26:$G$768,7,0)</f>
        <v>2.1 Em Teste</v>
      </c>
      <c r="H209" s="135" t="s">
        <v>1840</v>
      </c>
      <c r="I209" s="473"/>
      <c r="J209" s="359" t="s">
        <v>2243</v>
      </c>
      <c r="K209" s="359" t="s">
        <v>2242</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2314</v>
      </c>
      <c r="S209" s="324" t="s">
        <v>2384</v>
      </c>
      <c r="T209" s="372" t="s">
        <v>2362</v>
      </c>
      <c r="U209" s="372" t="s">
        <v>2322</v>
      </c>
      <c r="V209" s="324" t="s">
        <v>1856</v>
      </c>
    </row>
    <row r="210" spans="1:22" ht="16.399999999999999" hidden="1" customHeight="1">
      <c r="A210" s="29" t="str">
        <f t="shared" si="4"/>
        <v>lt004_protectionTYP_EMSSNS_LBL</v>
      </c>
      <c r="B210" s="141" t="s">
        <v>26</v>
      </c>
      <c r="C210" s="137" t="s">
        <v>26</v>
      </c>
      <c r="D210" s="133" t="s">
        <v>40</v>
      </c>
      <c r="E210" s="136" t="s">
        <v>368</v>
      </c>
      <c r="F210" s="480" t="s">
        <v>2247</v>
      </c>
      <c r="G210" s="135" t="str">
        <f>VLOOKUP(A210,Plano_V3!$A$26:$G$768,7,0)</f>
        <v>2.1 Em Teste</v>
      </c>
      <c r="H210" s="135" t="s">
        <v>1840</v>
      </c>
      <c r="I210" s="473"/>
      <c r="J210" s="359" t="s">
        <v>2307</v>
      </c>
      <c r="K210" s="359" t="s">
        <v>2242</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2314</v>
      </c>
      <c r="S210" s="324" t="s">
        <v>2397</v>
      </c>
      <c r="T210" s="372" t="s">
        <v>2362</v>
      </c>
      <c r="U210" s="372" t="s">
        <v>2322</v>
      </c>
      <c r="V210" s="324" t="s">
        <v>1856</v>
      </c>
    </row>
    <row r="211" spans="1:22" ht="16.399999999999999" hidden="1" customHeight="1">
      <c r="A211" s="29" t="str">
        <f t="shared" si="4"/>
        <v>lt004_protectionVHCL_EMSSNS_LBL</v>
      </c>
      <c r="B211" s="141" t="s">
        <v>26</v>
      </c>
      <c r="C211" s="137" t="s">
        <v>26</v>
      </c>
      <c r="D211" s="133" t="s">
        <v>40</v>
      </c>
      <c r="E211" s="136" t="s">
        <v>368</v>
      </c>
      <c r="F211" s="480" t="s">
        <v>2249</v>
      </c>
      <c r="G211" s="135" t="str">
        <f>VLOOKUP(A211,Plano_V3!$A$26:$G$768,7,0)</f>
        <v>2.1 Em Teste</v>
      </c>
      <c r="H211" s="135" t="s">
        <v>1840</v>
      </c>
      <c r="I211" s="473"/>
      <c r="J211" s="359" t="s">
        <v>2307</v>
      </c>
      <c r="K211" s="359" t="s">
        <v>2242</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2314</v>
      </c>
      <c r="S211" s="324" t="s">
        <v>2397</v>
      </c>
      <c r="T211" s="372" t="s">
        <v>2362</v>
      </c>
      <c r="U211" s="372" t="s">
        <v>2322</v>
      </c>
      <c r="V211" s="324" t="s">
        <v>1856</v>
      </c>
    </row>
    <row r="212" spans="1:22" ht="16.399999999999999" hidden="1" customHeight="1">
      <c r="A212" s="29" t="str">
        <f t="shared" si="4"/>
        <v>lt004_protectionVHCL_EMSSNS_SCR</v>
      </c>
      <c r="B212" s="141" t="s">
        <v>26</v>
      </c>
      <c r="C212" s="137" t="s">
        <v>26</v>
      </c>
      <c r="D212" s="133" t="s">
        <v>40</v>
      </c>
      <c r="E212" s="136" t="s">
        <v>368</v>
      </c>
      <c r="F212" s="480" t="s">
        <v>2252</v>
      </c>
      <c r="G212" s="135" t="str">
        <f>VLOOKUP(A212,Plano_V3!$A$26:$G$768,7,0)</f>
        <v>2.1 Em Teste</v>
      </c>
      <c r="H212" s="135" t="s">
        <v>1840</v>
      </c>
      <c r="I212" s="473"/>
      <c r="J212" s="359" t="s">
        <v>2307</v>
      </c>
      <c r="K212" s="359" t="s">
        <v>2242</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2314</v>
      </c>
      <c r="S212" s="324" t="s">
        <v>2397</v>
      </c>
      <c r="T212" s="372" t="s">
        <v>2362</v>
      </c>
      <c r="U212" s="372" t="s">
        <v>2322</v>
      </c>
      <c r="V212" s="324" t="s">
        <v>1856</v>
      </c>
    </row>
    <row r="213" spans="1:22" ht="16.399999999999999" hidden="1" customHeight="1">
      <c r="A213" s="29" t="str">
        <f t="shared" si="4"/>
        <v>lt004_protectionINSRNC_ID</v>
      </c>
      <c r="B213" s="141" t="s">
        <v>26</v>
      </c>
      <c r="C213" s="137" t="s">
        <v>26</v>
      </c>
      <c r="D213" s="133" t="s">
        <v>40</v>
      </c>
      <c r="E213" s="136" t="s">
        <v>368</v>
      </c>
      <c r="F213" s="480" t="s">
        <v>2253</v>
      </c>
      <c r="G213" s="135" t="str">
        <f>VLOOKUP(A213,Plano_V3!$A$26:$G$768,7,0)</f>
        <v>2.1 Em Teste</v>
      </c>
      <c r="H213" s="135" t="s">
        <v>1840</v>
      </c>
      <c r="I213" s="473"/>
      <c r="J213" s="359" t="s">
        <v>2307</v>
      </c>
      <c r="K213" s="359" t="s">
        <v>2242</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2314</v>
      </c>
      <c r="S213" s="324" t="s">
        <v>2397</v>
      </c>
      <c r="T213" s="372" t="s">
        <v>2362</v>
      </c>
      <c r="U213" s="372" t="s">
        <v>2322</v>
      </c>
      <c r="V213" s="324" t="s">
        <v>1856</v>
      </c>
    </row>
    <row r="214" spans="1:22" ht="16.399999999999999" hidden="1" customHeight="1">
      <c r="A214" s="29" t="str">
        <f t="shared" si="4"/>
        <v>lt004_protectionTYP_HZRDS_INSRD</v>
      </c>
      <c r="B214" s="141" t="s">
        <v>26</v>
      </c>
      <c r="C214" s="137" t="s">
        <v>26</v>
      </c>
      <c r="D214" s="133" t="s">
        <v>40</v>
      </c>
      <c r="E214" s="136" t="s">
        <v>368</v>
      </c>
      <c r="F214" s="480" t="s">
        <v>2254</v>
      </c>
      <c r="G214" s="135" t="str">
        <f>VLOOKUP(A214,Plano_V3!$A$26:$G$768,7,0)</f>
        <v>2.1 Em Teste</v>
      </c>
      <c r="H214" s="135" t="s">
        <v>1840</v>
      </c>
      <c r="I214" s="473"/>
      <c r="J214" s="359" t="s">
        <v>2307</v>
      </c>
      <c r="K214" s="359" t="s">
        <v>2242</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2314</v>
      </c>
      <c r="S214" s="324" t="s">
        <v>2397</v>
      </c>
      <c r="T214" s="372" t="s">
        <v>2362</v>
      </c>
      <c r="U214" s="372" t="s">
        <v>2322</v>
      </c>
      <c r="V214" s="324" t="s">
        <v>1856</v>
      </c>
    </row>
    <row r="215" spans="1:22" ht="16.399999999999999" hidden="1" customHeight="1">
      <c r="A215" s="29" t="str">
        <f t="shared" si="4"/>
        <v>lt004_protectionAMNT_CVRD_INSRNC</v>
      </c>
      <c r="B215" s="141" t="s">
        <v>26</v>
      </c>
      <c r="C215" s="137" t="s">
        <v>26</v>
      </c>
      <c r="D215" s="133" t="s">
        <v>40</v>
      </c>
      <c r="E215" s="136" t="s">
        <v>368</v>
      </c>
      <c r="F215" s="480" t="s">
        <v>2255</v>
      </c>
      <c r="G215" s="135" t="str">
        <f>VLOOKUP(A215,Plano_V3!$A$26:$G$768,7,0)</f>
        <v>2.1 Em Teste</v>
      </c>
      <c r="H215" s="135" t="s">
        <v>1840</v>
      </c>
      <c r="I215" s="473"/>
      <c r="J215" s="359" t="s">
        <v>2307</v>
      </c>
      <c r="K215" s="359" t="s">
        <v>2242</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2314</v>
      </c>
      <c r="S215" s="324" t="s">
        <v>2397</v>
      </c>
      <c r="T215" s="372" t="s">
        <v>2362</v>
      </c>
      <c r="U215" s="372" t="s">
        <v>2322</v>
      </c>
      <c r="V215" s="324" t="s">
        <v>1856</v>
      </c>
    </row>
    <row r="216" spans="1:22" ht="16.399999999999999" hidden="1" customHeight="1">
      <c r="A216" s="29" t="str">
        <f t="shared" si="4"/>
        <v>lt004_protectionDT_MTRTY_INSRNC</v>
      </c>
      <c r="B216" s="141" t="s">
        <v>26</v>
      </c>
      <c r="C216" s="137" t="s">
        <v>26</v>
      </c>
      <c r="D216" s="133" t="s">
        <v>40</v>
      </c>
      <c r="E216" s="136" t="s">
        <v>368</v>
      </c>
      <c r="F216" s="480" t="s">
        <v>2256</v>
      </c>
      <c r="G216" s="135" t="str">
        <f>VLOOKUP(A216,Plano_V3!$A$26:$G$768,7,0)</f>
        <v>2.1 Em Teste</v>
      </c>
      <c r="H216" s="135" t="s">
        <v>1840</v>
      </c>
      <c r="I216" s="473"/>
      <c r="J216" s="359" t="s">
        <v>2307</v>
      </c>
      <c r="K216" s="359" t="s">
        <v>2242</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2314</v>
      </c>
      <c r="S216" s="324" t="s">
        <v>2397</v>
      </c>
      <c r="T216" s="372" t="s">
        <v>2362</v>
      </c>
      <c r="U216" s="372" t="s">
        <v>2322</v>
      </c>
      <c r="V216" s="324" t="s">
        <v>1856</v>
      </c>
    </row>
    <row r="217" spans="1:22" ht="16.399999999999999" hidden="1" customHeight="1">
      <c r="A217" s="29" t="str">
        <f t="shared" si="4"/>
        <v>lt004_protectionFLG_FRST_HM</v>
      </c>
      <c r="B217" s="141" t="s">
        <v>26</v>
      </c>
      <c r="C217" s="137" t="s">
        <v>26</v>
      </c>
      <c r="D217" s="133" t="s">
        <v>40</v>
      </c>
      <c r="E217" s="136" t="s">
        <v>368</v>
      </c>
      <c r="F217" s="480" t="s">
        <v>2257</v>
      </c>
      <c r="G217" s="135" t="str">
        <f>VLOOKUP(A217,Plano_V3!$A$26:$G$768,7,0)</f>
        <v>2.1 Em Teste</v>
      </c>
      <c r="H217" s="135" t="s">
        <v>1840</v>
      </c>
      <c r="I217" s="473"/>
      <c r="J217" s="359" t="s">
        <v>2307</v>
      </c>
      <c r="K217" s="359" t="s">
        <v>2242</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2314</v>
      </c>
      <c r="S217" s="324" t="s">
        <v>2397</v>
      </c>
      <c r="T217" s="372" t="s">
        <v>2362</v>
      </c>
      <c r="U217" s="372" t="s">
        <v>2322</v>
      </c>
      <c r="V217" s="324" t="s">
        <v>1856</v>
      </c>
    </row>
    <row r="218" spans="1:22" ht="16.399999999999999" hidden="1" customHeight="1">
      <c r="A218" s="29" t="str">
        <f t="shared" ref="A218:A220" si="5">E218&amp;F218</f>
        <v>lt004_protectionRL_ESTT_CRTFCTN</v>
      </c>
      <c r="B218" s="141" t="s">
        <v>26</v>
      </c>
      <c r="C218" s="137" t="s">
        <v>26</v>
      </c>
      <c r="D218" s="133" t="s">
        <v>40</v>
      </c>
      <c r="E218" s="136" t="s">
        <v>368</v>
      </c>
      <c r="F218" s="480" t="s">
        <v>2260</v>
      </c>
      <c r="G218" s="135" t="str">
        <f>VLOOKUP(A218,Plano_V3!$A$26:$G$768,7,0)</f>
        <v>2.1 Em Teste</v>
      </c>
      <c r="H218" s="135" t="s">
        <v>1840</v>
      </c>
      <c r="I218" s="473"/>
      <c r="J218" s="359" t="s">
        <v>2307</v>
      </c>
      <c r="K218" s="359" t="s">
        <v>2242</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2314</v>
      </c>
      <c r="S218" s="324" t="s">
        <v>2394</v>
      </c>
      <c r="T218" s="372" t="s">
        <v>2362</v>
      </c>
      <c r="U218" s="372" t="s">
        <v>2322</v>
      </c>
      <c r="V218" s="324" t="s">
        <v>1856</v>
      </c>
    </row>
    <row r="219" spans="1:22" ht="16.399999999999999" hidden="1" customHeight="1">
      <c r="A219" s="29" t="str">
        <f t="shared" si="5"/>
        <v>lt004_protectionDT_RGSTRTN</v>
      </c>
      <c r="B219" s="141" t="s">
        <v>26</v>
      </c>
      <c r="C219" s="137" t="s">
        <v>26</v>
      </c>
      <c r="D219" s="133" t="s">
        <v>40</v>
      </c>
      <c r="E219" s="136" t="s">
        <v>368</v>
      </c>
      <c r="F219" s="480" t="s">
        <v>2262</v>
      </c>
      <c r="G219" s="135" t="str">
        <f>VLOOKUP(A219,Plano_V3!$A$26:$G$768,7,0)</f>
        <v>2.1 Em Teste</v>
      </c>
      <c r="H219" s="135" t="s">
        <v>1840</v>
      </c>
      <c r="I219" s="473"/>
      <c r="J219" s="359" t="s">
        <v>2307</v>
      </c>
      <c r="K219" s="359" t="s">
        <v>2242</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2314</v>
      </c>
      <c r="S219" s="324" t="s">
        <v>2394</v>
      </c>
      <c r="T219" s="372" t="s">
        <v>2362</v>
      </c>
      <c r="U219" s="372" t="s">
        <v>2322</v>
      </c>
      <c r="V219" s="324" t="s">
        <v>1856</v>
      </c>
    </row>
    <row r="220" spans="1:22" ht="16.399999999999999" hidden="1" customHeight="1">
      <c r="A220" s="29" t="str">
        <f t="shared" si="5"/>
        <v>lt004_protectionPRMRY_ENRGY_DMND_NN_RNWBL</v>
      </c>
      <c r="B220" s="141" t="s">
        <v>26</v>
      </c>
      <c r="C220" s="137" t="s">
        <v>26</v>
      </c>
      <c r="D220" s="133" t="s">
        <v>40</v>
      </c>
      <c r="E220" s="136" t="s">
        <v>368</v>
      </c>
      <c r="F220" s="480" t="s">
        <v>2263</v>
      </c>
      <c r="G220" s="135" t="str">
        <f>VLOOKUP(A220,Plano_V3!$A$26:$G$768,7,0)</f>
        <v>2.1 Em Teste</v>
      </c>
      <c r="H220" s="135" t="s">
        <v>1840</v>
      </c>
      <c r="I220" s="473"/>
      <c r="J220" s="359" t="s">
        <v>2240</v>
      </c>
      <c r="K220" s="359" t="s">
        <v>2242</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2314</v>
      </c>
      <c r="S220" s="324" t="s">
        <v>2394</v>
      </c>
      <c r="T220" s="372" t="s">
        <v>2362</v>
      </c>
      <c r="U220" s="372" t="s">
        <v>2322</v>
      </c>
      <c r="V220" s="324" t="s">
        <v>1857</v>
      </c>
    </row>
    <row r="221" spans="1:22" ht="16.399999999999999" hidden="1" customHeight="1">
      <c r="A221" s="29" t="str">
        <f t="shared" si="4"/>
        <v>lt002_instrumentgrss_intrst_incm</v>
      </c>
      <c r="B221" s="141" t="s">
        <v>26</v>
      </c>
      <c r="C221" s="137" t="s">
        <v>26</v>
      </c>
      <c r="D221" s="133" t="s">
        <v>40</v>
      </c>
      <c r="E221" s="136" t="s">
        <v>379</v>
      </c>
      <c r="F221" s="480" t="s">
        <v>420</v>
      </c>
      <c r="G221" s="135" t="str">
        <f>VLOOKUP(A221,Plano_V3!$A$26:$G$768,7,0)</f>
        <v xml:space="preserve">6. Em implementação </v>
      </c>
      <c r="H221" s="135" t="s">
        <v>2320</v>
      </c>
      <c r="I221" s="473"/>
      <c r="J221" s="359" t="s">
        <v>2425</v>
      </c>
      <c r="K221" s="359" t="s">
        <v>2438</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2321</v>
      </c>
      <c r="V221" s="323" t="s">
        <v>1857</v>
      </c>
    </row>
    <row r="222" spans="1:22" ht="16.399999999999999" hidden="1" customHeight="1">
      <c r="A222" s="29" t="str">
        <f t="shared" si="4"/>
        <v>lt002_instrumentgrss_cmmssn_incm</v>
      </c>
      <c r="B222" s="141" t="s">
        <v>26</v>
      </c>
      <c r="C222" s="137" t="s">
        <v>26</v>
      </c>
      <c r="D222" s="133" t="s">
        <v>40</v>
      </c>
      <c r="E222" s="136" t="s">
        <v>379</v>
      </c>
      <c r="F222" s="480" t="s">
        <v>421</v>
      </c>
      <c r="G222" s="135" t="str">
        <f>VLOOKUP(A222,Plano_V3!$A$26:$G$768,7,0)</f>
        <v xml:space="preserve">6. Em implementação </v>
      </c>
      <c r="H222" s="135" t="s">
        <v>2320</v>
      </c>
      <c r="I222" s="473"/>
      <c r="J222" s="359" t="s">
        <v>2425</v>
      </c>
      <c r="K222" s="359" t="s">
        <v>2438</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2321</v>
      </c>
      <c r="V222" s="323" t="s">
        <v>1857</v>
      </c>
    </row>
    <row r="223" spans="1:22" ht="16.399999999999999" hidden="1" customHeight="1">
      <c r="A223" s="29" t="str">
        <f t="shared" si="4"/>
        <v>lt002_instrumentgrss_cmmssn_incm_off_blnc</v>
      </c>
      <c r="B223" s="141" t="s">
        <v>26</v>
      </c>
      <c r="C223" s="137" t="s">
        <v>26</v>
      </c>
      <c r="D223" s="133" t="s">
        <v>40</v>
      </c>
      <c r="E223" s="136" t="s">
        <v>379</v>
      </c>
      <c r="F223" s="480" t="s">
        <v>422</v>
      </c>
      <c r="G223" s="135" t="str">
        <f>VLOOKUP(A223,Plano_V3!$A$26:$G$768,7,0)</f>
        <v xml:space="preserve">6. Em implementação </v>
      </c>
      <c r="H223" s="135" t="s">
        <v>2320</v>
      </c>
      <c r="I223" s="473"/>
      <c r="J223" s="359" t="s">
        <v>2425</v>
      </c>
      <c r="K223" s="359" t="s">
        <v>2438</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2321</v>
      </c>
      <c r="V223" s="323" t="s">
        <v>1857</v>
      </c>
    </row>
    <row r="224" spans="1:22" ht="16.399999999999999" hidden="1" customHeight="1">
      <c r="A224" s="29" t="str">
        <f t="shared" si="4"/>
        <v>lt002_instrumentFRBRNC_STTS_INSTRMNT</v>
      </c>
      <c r="B224" s="141" t="s">
        <v>26</v>
      </c>
      <c r="C224" s="137" t="s">
        <v>26</v>
      </c>
      <c r="D224" s="133" t="s">
        <v>40</v>
      </c>
      <c r="E224" s="136" t="s">
        <v>379</v>
      </c>
      <c r="F224" s="480" t="s">
        <v>2164</v>
      </c>
      <c r="G224" s="135" t="str">
        <f>VLOOKUP(A224,Plano_V3!$A$26:$G$768,7,0)</f>
        <v>2.1 Em Teste</v>
      </c>
      <c r="H224" s="135" t="s">
        <v>1840</v>
      </c>
      <c r="I224" s="473"/>
      <c r="J224" s="142" t="s">
        <v>2310</v>
      </c>
      <c r="K224" s="359" t="s">
        <v>2425</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2314</v>
      </c>
      <c r="S224" s="324" t="s">
        <v>2385</v>
      </c>
      <c r="T224" s="372" t="s">
        <v>2361</v>
      </c>
      <c r="U224" s="372" t="s">
        <v>2322</v>
      </c>
      <c r="V224" s="323" t="s">
        <v>1856</v>
      </c>
    </row>
    <row r="225" spans="1:22" ht="16.399999999999999" hidden="1" customHeight="1">
      <c r="A225" s="29" t="str">
        <f t="shared" si="4"/>
        <v>lt002_instrumentINTRNL_SGMNT</v>
      </c>
      <c r="B225" s="141" t="s">
        <v>26</v>
      </c>
      <c r="C225" s="137" t="s">
        <v>26</v>
      </c>
      <c r="D225" s="133" t="s">
        <v>40</v>
      </c>
      <c r="E225" s="136" t="s">
        <v>379</v>
      </c>
      <c r="F225" s="480" t="s">
        <v>2165</v>
      </c>
      <c r="G225" s="135" t="str">
        <f>VLOOKUP(A225,Plano_V3!$A$26:$G$768,7,0)</f>
        <v>2.1 Em Teste</v>
      </c>
      <c r="H225" s="135" t="s">
        <v>1840</v>
      </c>
      <c r="I225" s="473"/>
      <c r="J225" s="142" t="s">
        <v>2305</v>
      </c>
      <c r="K225" s="359" t="s">
        <v>2425</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2314</v>
      </c>
      <c r="S225" s="324" t="s">
        <v>2386</v>
      </c>
      <c r="T225" s="372" t="s">
        <v>2361</v>
      </c>
      <c r="U225" s="372" t="s">
        <v>2322</v>
      </c>
      <c r="V225" s="323" t="s">
        <v>1857</v>
      </c>
    </row>
    <row r="226" spans="1:22" ht="16.399999999999999" hidden="1" customHeight="1">
      <c r="A226" s="29" t="str">
        <f t="shared" si="4"/>
        <v>lt002_instrumentDT_ORGNL_MTRTY</v>
      </c>
      <c r="B226" s="141" t="s">
        <v>26</v>
      </c>
      <c r="C226" s="137" t="s">
        <v>26</v>
      </c>
      <c r="D226" s="133" t="s">
        <v>40</v>
      </c>
      <c r="E226" s="136" t="s">
        <v>379</v>
      </c>
      <c r="F226" s="480" t="s">
        <v>2166</v>
      </c>
      <c r="G226" s="135" t="str">
        <f>VLOOKUP(A226,Plano_V3!$A$26:$G$768,7,0)</f>
        <v>2.1 Em Teste</v>
      </c>
      <c r="H226" s="135" t="s">
        <v>1840</v>
      </c>
      <c r="I226" s="473"/>
      <c r="J226" s="142" t="s">
        <v>2305</v>
      </c>
      <c r="K226" s="359" t="s">
        <v>2425</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2314</v>
      </c>
      <c r="S226" s="324" t="s">
        <v>2387</v>
      </c>
      <c r="T226" s="372" t="s">
        <v>2361</v>
      </c>
      <c r="U226" s="372" t="s">
        <v>2322</v>
      </c>
      <c r="V226" s="323" t="s">
        <v>1857</v>
      </c>
    </row>
    <row r="227" spans="1:22" ht="16.399999999999999" hidden="1" customHeight="1">
      <c r="A227" s="29" t="str">
        <f t="shared" si="4"/>
        <v>lt002_instrumentEAD</v>
      </c>
      <c r="B227" s="141" t="s">
        <v>26</v>
      </c>
      <c r="C227" s="137" t="s">
        <v>26</v>
      </c>
      <c r="D227" s="133" t="s">
        <v>40</v>
      </c>
      <c r="E227" s="136" t="s">
        <v>379</v>
      </c>
      <c r="F227" s="480" t="s">
        <v>2167</v>
      </c>
      <c r="G227" s="135" t="str">
        <f>VLOOKUP(A227,Plano_V3!$A$26:$G$768,7,0)</f>
        <v>2.1 Em Teste</v>
      </c>
      <c r="H227" s="135" t="s">
        <v>1840</v>
      </c>
      <c r="I227" s="473"/>
      <c r="J227" s="142" t="s">
        <v>2305</v>
      </c>
      <c r="K227" s="359" t="s">
        <v>2425</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2314</v>
      </c>
      <c r="S227" s="324" t="s">
        <v>2388</v>
      </c>
      <c r="T227" s="372" t="s">
        <v>2361</v>
      </c>
      <c r="U227" s="372" t="s">
        <v>2322</v>
      </c>
      <c r="V227" s="323" t="s">
        <v>1857</v>
      </c>
    </row>
    <row r="228" spans="1:22" ht="16.399999999999999" hidden="1" customHeight="1">
      <c r="A228" s="29" t="str">
        <f t="shared" si="4"/>
        <v>lt002_instrumentRWA</v>
      </c>
      <c r="B228" s="141" t="s">
        <v>26</v>
      </c>
      <c r="C228" s="137" t="s">
        <v>26</v>
      </c>
      <c r="D228" s="133" t="s">
        <v>40</v>
      </c>
      <c r="E228" s="136" t="s">
        <v>379</v>
      </c>
      <c r="F228" s="480" t="s">
        <v>1418</v>
      </c>
      <c r="G228" s="135" t="str">
        <f>VLOOKUP(A228,Plano_V3!$A$26:$G$768,7,0)</f>
        <v>2.1 Em Teste</v>
      </c>
      <c r="H228" s="135" t="s">
        <v>1840</v>
      </c>
      <c r="I228" s="473"/>
      <c r="J228" s="142" t="s">
        <v>2305</v>
      </c>
      <c r="K228" s="359" t="s">
        <v>2425</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2314</v>
      </c>
      <c r="S228" s="324" t="s">
        <v>2390</v>
      </c>
      <c r="T228" s="372" t="s">
        <v>2361</v>
      </c>
      <c r="U228" s="372" t="s">
        <v>2322</v>
      </c>
      <c r="V228" s="323" t="s">
        <v>1857</v>
      </c>
    </row>
    <row r="229" spans="1:22" ht="16.399999999999999" hidden="1" customHeight="1">
      <c r="A229" s="29" t="str">
        <f t="shared" si="4"/>
        <v>lt002_instrumentLTV</v>
      </c>
      <c r="B229" s="141" t="s">
        <v>26</v>
      </c>
      <c r="C229" s="137" t="s">
        <v>26</v>
      </c>
      <c r="D229" s="133" t="s">
        <v>40</v>
      </c>
      <c r="E229" s="136" t="s">
        <v>379</v>
      </c>
      <c r="F229" s="480" t="s">
        <v>2168</v>
      </c>
      <c r="G229" s="135" t="str">
        <f>VLOOKUP(A229,Plano_V3!$A$26:$G$768,7,0)</f>
        <v>2.1 Em Teste</v>
      </c>
      <c r="H229" s="135" t="s">
        <v>1840</v>
      </c>
      <c r="I229" s="473"/>
      <c r="J229" s="142" t="s">
        <v>2305</v>
      </c>
      <c r="K229" s="359" t="s">
        <v>2425</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2314</v>
      </c>
      <c r="S229" s="324" t="s">
        <v>2391</v>
      </c>
      <c r="T229" s="372" t="s">
        <v>2361</v>
      </c>
      <c r="U229" s="372" t="s">
        <v>2322</v>
      </c>
      <c r="V229" s="323" t="s">
        <v>1857</v>
      </c>
    </row>
    <row r="230" spans="1:22" ht="16.399999999999999" hidden="1" customHeight="1">
      <c r="A230" s="29" t="str">
        <f t="shared" si="4"/>
        <v>lt002_instrumentLTV_INCPTN</v>
      </c>
      <c r="B230" s="141" t="s">
        <v>26</v>
      </c>
      <c r="C230" s="137" t="s">
        <v>26</v>
      </c>
      <c r="D230" s="133" t="s">
        <v>40</v>
      </c>
      <c r="E230" s="136" t="s">
        <v>379</v>
      </c>
      <c r="F230" s="480" t="s">
        <v>2169</v>
      </c>
      <c r="G230" s="135" t="str">
        <f>VLOOKUP(A230,Plano_V3!$A$26:$G$768,7,0)</f>
        <v>2.1 Em Teste</v>
      </c>
      <c r="H230" s="135" t="s">
        <v>1840</v>
      </c>
      <c r="I230" s="473"/>
      <c r="J230" s="142" t="s">
        <v>2305</v>
      </c>
      <c r="K230" s="359" t="s">
        <v>2425</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2314</v>
      </c>
      <c r="S230" s="324" t="s">
        <v>2391</v>
      </c>
      <c r="T230" s="372" t="s">
        <v>2361</v>
      </c>
      <c r="U230" s="372" t="s">
        <v>2322</v>
      </c>
      <c r="V230" s="323" t="s">
        <v>1856</v>
      </c>
    </row>
    <row r="231" spans="1:22" ht="16.399999999999999" hidden="1" customHeight="1">
      <c r="A231" s="29" t="str">
        <f t="shared" si="4"/>
        <v>lt002_instrumentEIR</v>
      </c>
      <c r="B231" s="141" t="s">
        <v>26</v>
      </c>
      <c r="C231" s="137" t="s">
        <v>26</v>
      </c>
      <c r="D231" s="133" t="s">
        <v>40</v>
      </c>
      <c r="E231" s="136" t="s">
        <v>379</v>
      </c>
      <c r="F231" s="480" t="s">
        <v>2170</v>
      </c>
      <c r="G231" s="135" t="str">
        <f>VLOOKUP(A231,Plano_V3!$A$26:$G$768,7,0)</f>
        <v>2.1 Em Teste</v>
      </c>
      <c r="H231" s="135" t="s">
        <v>1840</v>
      </c>
      <c r="I231" s="473"/>
      <c r="J231" s="142" t="s">
        <v>2305</v>
      </c>
      <c r="K231" s="359" t="s">
        <v>2425</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2314</v>
      </c>
      <c r="S231" s="324" t="s">
        <v>2385</v>
      </c>
      <c r="T231" s="372" t="s">
        <v>2361</v>
      </c>
      <c r="U231" s="372" t="s">
        <v>2322</v>
      </c>
      <c r="V231" s="323" t="s">
        <v>1856</v>
      </c>
    </row>
    <row r="232" spans="1:22" ht="16.399999999999999" hidden="1" customHeight="1">
      <c r="A232" s="29" t="str">
        <f t="shared" si="4"/>
        <v>lt002_instrumentEIR_INCPTN</v>
      </c>
      <c r="B232" s="141" t="s">
        <v>26</v>
      </c>
      <c r="C232" s="137" t="s">
        <v>26</v>
      </c>
      <c r="D232" s="133" t="s">
        <v>40</v>
      </c>
      <c r="E232" s="136" t="s">
        <v>379</v>
      </c>
      <c r="F232" s="480" t="s">
        <v>2171</v>
      </c>
      <c r="G232" s="135" t="str">
        <f>VLOOKUP(A232,Plano_V3!$A$26:$G$768,7,0)</f>
        <v>2.1 Em Teste</v>
      </c>
      <c r="H232" s="135" t="s">
        <v>1840</v>
      </c>
      <c r="I232" s="473"/>
      <c r="J232" s="142" t="s">
        <v>2305</v>
      </c>
      <c r="K232" s="359" t="s">
        <v>2425</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2314</v>
      </c>
      <c r="S232" s="324" t="s">
        <v>2391</v>
      </c>
      <c r="T232" s="372" t="s">
        <v>2361</v>
      </c>
      <c r="U232" s="372" t="s">
        <v>2322</v>
      </c>
      <c r="V232" s="323" t="s">
        <v>1856</v>
      </c>
    </row>
    <row r="233" spans="1:22" ht="16.399999999999999" hidden="1" customHeight="1">
      <c r="A233" s="29" t="str">
        <f t="shared" si="4"/>
        <v>lt002_instrumentINTRNL_SGMNT_CAT_MSTA</v>
      </c>
      <c r="B233" s="141" t="s">
        <v>26</v>
      </c>
      <c r="C233" s="137" t="s">
        <v>26</v>
      </c>
      <c r="D233" s="133" t="s">
        <v>40</v>
      </c>
      <c r="E233" s="136" t="s">
        <v>379</v>
      </c>
      <c r="F233" s="480" t="s">
        <v>2172</v>
      </c>
      <c r="G233" s="135" t="str">
        <f>VLOOKUP(A233,Plano_V3!$A$26:$G$768,7,0)</f>
        <v>2.1 Em Teste</v>
      </c>
      <c r="H233" s="135" t="s">
        <v>1840</v>
      </c>
      <c r="I233" s="473"/>
      <c r="J233" s="142" t="s">
        <v>2305</v>
      </c>
      <c r="K233" s="359" t="s">
        <v>2425</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2314</v>
      </c>
      <c r="S233" s="324" t="s">
        <v>2392</v>
      </c>
      <c r="T233" s="372" t="s">
        <v>2361</v>
      </c>
      <c r="U233" s="372" t="s">
        <v>2322</v>
      </c>
      <c r="V233" s="323" t="s">
        <v>1856</v>
      </c>
    </row>
    <row r="234" spans="1:22" ht="16.399999999999999" hidden="1" customHeight="1">
      <c r="A234" s="29" t="str">
        <f t="shared" si="4"/>
        <v>lt002_instrumentINTRNL_SGMNT_CATGSUB</v>
      </c>
      <c r="B234" s="141" t="s">
        <v>26</v>
      </c>
      <c r="C234" s="137" t="s">
        <v>26</v>
      </c>
      <c r="D234" s="133" t="s">
        <v>40</v>
      </c>
      <c r="E234" s="136" t="s">
        <v>379</v>
      </c>
      <c r="F234" s="480" t="s">
        <v>2173</v>
      </c>
      <c r="G234" s="135" t="str">
        <f>VLOOKUP(A234,Plano_V3!$A$26:$G$768,7,0)</f>
        <v>2.1 Em Teste</v>
      </c>
      <c r="H234" s="135" t="s">
        <v>1840</v>
      </c>
      <c r="I234" s="473"/>
      <c r="J234" s="142" t="s">
        <v>2305</v>
      </c>
      <c r="K234" s="359" t="s">
        <v>2425</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2314</v>
      </c>
      <c r="S234" s="324" t="s">
        <v>2392</v>
      </c>
      <c r="T234" s="372" t="s">
        <v>2361</v>
      </c>
      <c r="U234" s="372" t="s">
        <v>2322</v>
      </c>
      <c r="V234" s="323" t="s">
        <v>1856</v>
      </c>
    </row>
    <row r="235" spans="1:22" ht="16.399999999999999" hidden="1" customHeight="1">
      <c r="A235" s="29" t="str">
        <f t="shared" si="4"/>
        <v>lt003_entityentty_nm</v>
      </c>
      <c r="B235" s="141" t="s">
        <v>26</v>
      </c>
      <c r="C235" s="137" t="s">
        <v>26</v>
      </c>
      <c r="D235" s="133" t="s">
        <v>40</v>
      </c>
      <c r="E235" s="136" t="s">
        <v>335</v>
      </c>
      <c r="F235" s="480" t="s">
        <v>2192</v>
      </c>
      <c r="G235" s="135" t="str">
        <f>VLOOKUP(A235,Plano_V3!$A$26:$G$768,7,0)</f>
        <v>2.1 Em Teste</v>
      </c>
      <c r="H235" s="135" t="s">
        <v>1840</v>
      </c>
      <c r="I235" s="473"/>
      <c r="J235" s="359" t="s">
        <v>2240</v>
      </c>
      <c r="K235" s="359" t="s">
        <v>2242</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2314</v>
      </c>
      <c r="S235" s="324" t="s">
        <v>2387</v>
      </c>
      <c r="T235" s="372" t="s">
        <v>2361</v>
      </c>
      <c r="U235" s="372" t="s">
        <v>2322</v>
      </c>
      <c r="V235" s="323" t="s">
        <v>1856</v>
      </c>
    </row>
    <row r="236" spans="1:22" ht="16.399999999999999" hidden="1" customHeight="1">
      <c r="A236" s="29" t="str">
        <f t="shared" si="4"/>
        <v>modesg_out_sfics_taxon_europeiacbalcao</v>
      </c>
      <c r="B236" s="141" t="s">
        <v>26</v>
      </c>
      <c r="C236" s="137" t="s">
        <v>310</v>
      </c>
      <c r="D236" s="133" t="s">
        <v>40</v>
      </c>
      <c r="E236" s="134" t="s">
        <v>2080</v>
      </c>
      <c r="F236" s="476" t="s">
        <v>183</v>
      </c>
      <c r="G236" s="135" t="str">
        <f>VLOOKUP(A236,Plano_V3!$A$26:$G$768,7,0)</f>
        <v xml:space="preserve">6. Em implementação </v>
      </c>
      <c r="H236" s="135" t="s">
        <v>2320</v>
      </c>
      <c r="I236" s="473"/>
      <c r="J236" s="142" t="s">
        <v>2242</v>
      </c>
      <c r="K236" s="491" t="s">
        <v>2443</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2321</v>
      </c>
      <c r="V236" s="323" t="s">
        <v>2309</v>
      </c>
    </row>
    <row r="237" spans="1:22" ht="16.399999999999999" hidden="1" customHeight="1">
      <c r="A237" s="29" t="str">
        <f t="shared" si="4"/>
        <v>modesg_out_sfics_taxon_europeiacempresa</v>
      </c>
      <c r="B237" s="141" t="s">
        <v>26</v>
      </c>
      <c r="C237" s="137" t="s">
        <v>310</v>
      </c>
      <c r="D237" s="133" t="s">
        <v>40</v>
      </c>
      <c r="E237" s="134" t="s">
        <v>2080</v>
      </c>
      <c r="F237" s="476" t="s">
        <v>184</v>
      </c>
      <c r="G237" s="135" t="str">
        <f>VLOOKUP(A237,Plano_V3!$A$26:$G$768,7,0)</f>
        <v xml:space="preserve">6. Em implementação </v>
      </c>
      <c r="H237" s="135" t="s">
        <v>2320</v>
      </c>
      <c r="I237" s="473"/>
      <c r="J237" s="142" t="s">
        <v>2242</v>
      </c>
      <c r="K237" s="491" t="s">
        <v>2443</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2321</v>
      </c>
      <c r="V237" s="323" t="s">
        <v>2309</v>
      </c>
    </row>
    <row r="238" spans="1:22" ht="16.399999999999999" hidden="1" customHeight="1">
      <c r="A238" s="29" t="str">
        <f t="shared" si="4"/>
        <v>modesg_out_sfics_taxon_europeiacnumecta</v>
      </c>
      <c r="B238" s="141" t="s">
        <v>26</v>
      </c>
      <c r="C238" s="137" t="s">
        <v>310</v>
      </c>
      <c r="D238" s="133" t="s">
        <v>40</v>
      </c>
      <c r="E238" s="134" t="s">
        <v>2080</v>
      </c>
      <c r="F238" s="476" t="s">
        <v>189</v>
      </c>
      <c r="G238" s="135" t="str">
        <f>VLOOKUP(A238,Plano_V3!$A$26:$G$768,7,0)</f>
        <v xml:space="preserve">6. Em implementação </v>
      </c>
      <c r="H238" s="135" t="s">
        <v>2320</v>
      </c>
      <c r="I238" s="218"/>
      <c r="J238" s="142" t="s">
        <v>2242</v>
      </c>
      <c r="K238" s="491" t="s">
        <v>2443</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2321</v>
      </c>
      <c r="V238" s="323" t="s">
        <v>2309</v>
      </c>
    </row>
    <row r="239" spans="1:22" ht="16.399999999999999" hidden="1" customHeight="1">
      <c r="A239" s="29" t="str">
        <f t="shared" si="4"/>
        <v>modesg_out_sfics_taxon_europeiacod_regra</v>
      </c>
      <c r="B239" s="141" t="s">
        <v>26</v>
      </c>
      <c r="C239" s="137" t="s">
        <v>310</v>
      </c>
      <c r="D239" s="133" t="s">
        <v>40</v>
      </c>
      <c r="E239" s="134" t="s">
        <v>2080</v>
      </c>
      <c r="F239" s="476" t="s">
        <v>191</v>
      </c>
      <c r="G239" s="135" t="str">
        <f>VLOOKUP(A239,Plano_V3!$A$26:$G$768,7,0)</f>
        <v xml:space="preserve">6. Em implementação </v>
      </c>
      <c r="H239" s="135" t="s">
        <v>2320</v>
      </c>
      <c r="I239" s="473"/>
      <c r="J239" s="142" t="s">
        <v>2242</v>
      </c>
      <c r="K239" s="491" t="s">
        <v>2443</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2321</v>
      </c>
      <c r="V239" s="323" t="s">
        <v>2309</v>
      </c>
    </row>
    <row r="240" spans="1:22" ht="16.399999999999999" hidden="1" customHeight="1">
      <c r="A240" s="29" t="str">
        <f t="shared" si="4"/>
        <v>modesg_out_sfics_taxon_europeianivel</v>
      </c>
      <c r="B240" s="141" t="s">
        <v>26</v>
      </c>
      <c r="C240" s="137" t="s">
        <v>310</v>
      </c>
      <c r="D240" s="133" t="s">
        <v>40</v>
      </c>
      <c r="E240" s="134" t="s">
        <v>2080</v>
      </c>
      <c r="F240" s="476" t="s">
        <v>2409</v>
      </c>
      <c r="G240" s="135" t="str">
        <f>VLOOKUP(A240,Plano_V3!$A$26:$G$768,7,0)</f>
        <v>0. Cancelado</v>
      </c>
      <c r="H240" s="135" t="s">
        <v>611</v>
      </c>
      <c r="I240" s="473"/>
      <c r="J240" s="142" t="s">
        <v>2242</v>
      </c>
      <c r="K240" s="491" t="s">
        <v>2443</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2427</v>
      </c>
      <c r="V240" s="323"/>
    </row>
    <row r="241" spans="1:22" ht="16.399999999999999" hidden="1" customHeight="1">
      <c r="A241" s="29" t="str">
        <f t="shared" si="4"/>
        <v>modesg_out_sfics_taxon_europeiamontante_pndrc</v>
      </c>
      <c r="B241" s="141" t="s">
        <v>26</v>
      </c>
      <c r="C241" s="137" t="s">
        <v>310</v>
      </c>
      <c r="D241" s="133" t="s">
        <v>40</v>
      </c>
      <c r="E241" s="134" t="s">
        <v>2080</v>
      </c>
      <c r="F241" s="476" t="s">
        <v>202</v>
      </c>
      <c r="G241" s="135" t="str">
        <f>VLOOKUP(A241,Plano_V3!$A$26:$G$768,7,0)</f>
        <v xml:space="preserve">6. Em implementação </v>
      </c>
      <c r="H241" s="135" t="s">
        <v>2320</v>
      </c>
      <c r="I241" s="473"/>
      <c r="J241" s="142" t="s">
        <v>2242</v>
      </c>
      <c r="K241" s="491" t="s">
        <v>2443</v>
      </c>
      <c r="L241" s="488"/>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2321</v>
      </c>
      <c r="V241" s="323" t="s">
        <v>2309</v>
      </c>
    </row>
    <row r="242" spans="1:22" ht="16.399999999999999" hidden="1" customHeight="1">
      <c r="A242" s="29" t="str">
        <f t="shared" si="4"/>
        <v>modesg_out_sfics_taxon_europeianome_ctgr_sfics</v>
      </c>
      <c r="B242" s="141" t="s">
        <v>26</v>
      </c>
      <c r="C242" s="137" t="s">
        <v>310</v>
      </c>
      <c r="D242" s="133" t="s">
        <v>40</v>
      </c>
      <c r="E242" s="134" t="s">
        <v>2080</v>
      </c>
      <c r="F242" s="476" t="s">
        <v>2048</v>
      </c>
      <c r="G242" s="135" t="str">
        <f>VLOOKUP(A242,Plano_V3!$A$26:$G$768,7,0)</f>
        <v xml:space="preserve">6. Em implementação </v>
      </c>
      <c r="H242" s="135" t="s">
        <v>2320</v>
      </c>
      <c r="I242" s="473"/>
      <c r="J242" s="142" t="s">
        <v>2242</v>
      </c>
      <c r="K242" s="491" t="s">
        <v>2443</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2321</v>
      </c>
      <c r="V242" s="323" t="s">
        <v>2309</v>
      </c>
    </row>
    <row r="243" spans="1:22" ht="16.399999999999999" hidden="1" customHeight="1">
      <c r="A243" s="29" t="str">
        <f t="shared" si="4"/>
        <v>modesg_out_sfics_taxon_europeianome_general_specific_purpose</v>
      </c>
      <c r="B243" s="141" t="s">
        <v>26</v>
      </c>
      <c r="C243" s="137" t="s">
        <v>310</v>
      </c>
      <c r="D243" s="133" t="s">
        <v>40</v>
      </c>
      <c r="E243" s="134" t="s">
        <v>2080</v>
      </c>
      <c r="F243" s="476" t="s">
        <v>204</v>
      </c>
      <c r="G243" s="135" t="str">
        <f>VLOOKUP(A243,Plano_V3!$A$26:$G$768,7,0)</f>
        <v xml:space="preserve">6. Em implementação </v>
      </c>
      <c r="H243" s="135" t="s">
        <v>2320</v>
      </c>
      <c r="I243" s="473"/>
      <c r="J243" s="142" t="s">
        <v>2242</v>
      </c>
      <c r="K243" s="491" t="s">
        <v>2443</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2321</v>
      </c>
      <c r="V243" s="323" t="s">
        <v>2309</v>
      </c>
    </row>
    <row r="244" spans="1:22" ht="16.399999999999999" hidden="1" customHeight="1">
      <c r="A244" s="29" t="str">
        <f t="shared" si="4"/>
        <v>modesg_out_sfics_taxon_europeianome_purpose_esg_alinh_tax</v>
      </c>
      <c r="B244" s="141" t="s">
        <v>26</v>
      </c>
      <c r="C244" s="137" t="s">
        <v>310</v>
      </c>
      <c r="D244" s="133" t="s">
        <v>40</v>
      </c>
      <c r="E244" s="134" t="s">
        <v>2080</v>
      </c>
      <c r="F244" s="476" t="s">
        <v>2059</v>
      </c>
      <c r="G244" s="135" t="str">
        <f>VLOOKUP(A244,Plano_V3!$A$26:$G$768,7,0)</f>
        <v xml:space="preserve">6. Em implementação </v>
      </c>
      <c r="H244" s="135" t="s">
        <v>2320</v>
      </c>
      <c r="I244" s="473"/>
      <c r="J244" s="142" t="s">
        <v>2242</v>
      </c>
      <c r="K244" s="491" t="s">
        <v>2443</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2321</v>
      </c>
      <c r="V244" s="323" t="s">
        <v>2309</v>
      </c>
    </row>
    <row r="245" spans="1:22" ht="16.399999999999999" hidden="1" customHeight="1">
      <c r="A245" s="29" t="str">
        <f t="shared" si="4"/>
        <v>modesg_out_sfics_taxon_europeianome_purpose_esg_nalinh_tax</v>
      </c>
      <c r="B245" s="141" t="s">
        <v>26</v>
      </c>
      <c r="C245" s="137" t="s">
        <v>310</v>
      </c>
      <c r="D245" s="133" t="s">
        <v>40</v>
      </c>
      <c r="E245" s="134" t="s">
        <v>2080</v>
      </c>
      <c r="F245" s="476" t="s">
        <v>2060</v>
      </c>
      <c r="G245" s="135" t="str">
        <f>VLOOKUP(A245,Plano_V3!$A$26:$G$768,7,0)</f>
        <v xml:space="preserve">6. Em implementação </v>
      </c>
      <c r="H245" s="135" t="s">
        <v>2320</v>
      </c>
      <c r="I245" s="473"/>
      <c r="J245" s="142" t="s">
        <v>2242</v>
      </c>
      <c r="K245" s="491" t="s">
        <v>2443</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2323</v>
      </c>
      <c r="V245" s="323" t="s">
        <v>2309</v>
      </c>
    </row>
    <row r="246" spans="1:22" ht="16.399999999999999" hidden="1" customHeight="1">
      <c r="A246" s="29" t="str">
        <f t="shared" si="4"/>
        <v>modesg_out_sfics_taxon_europeianome_specific_eligible</v>
      </c>
      <c r="B246" s="141" t="s">
        <v>26</v>
      </c>
      <c r="C246" s="137" t="s">
        <v>310</v>
      </c>
      <c r="D246" s="133" t="s">
        <v>40</v>
      </c>
      <c r="E246" s="134" t="s">
        <v>2080</v>
      </c>
      <c r="F246" s="476" t="s">
        <v>206</v>
      </c>
      <c r="G246" s="135" t="str">
        <f>VLOOKUP(A246,Plano_V3!$A$26:$G$768,7,0)</f>
        <v xml:space="preserve">6. Em implementação </v>
      </c>
      <c r="H246" s="135" t="s">
        <v>2320</v>
      </c>
      <c r="I246" s="473"/>
      <c r="J246" s="142" t="s">
        <v>2242</v>
      </c>
      <c r="K246" s="491" t="s">
        <v>2443</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2321</v>
      </c>
      <c r="V246" s="323" t="s">
        <v>2309</v>
      </c>
    </row>
    <row r="247" spans="1:22" ht="16.399999999999999" hidden="1" customHeight="1">
      <c r="A247" s="29" t="str">
        <f t="shared" si="4"/>
        <v>modesg_out_sfics_taxon_europeianome_specific_sustainable</v>
      </c>
      <c r="B247" s="141" t="s">
        <v>26</v>
      </c>
      <c r="C247" s="137" t="s">
        <v>310</v>
      </c>
      <c r="D247" s="133" t="s">
        <v>40</v>
      </c>
      <c r="E247" s="134" t="s">
        <v>2080</v>
      </c>
      <c r="F247" s="476" t="s">
        <v>207</v>
      </c>
      <c r="G247" s="135" t="str">
        <f>VLOOKUP(A247,Plano_V3!$A$26:$G$768,7,0)</f>
        <v xml:space="preserve">6. Em implementação </v>
      </c>
      <c r="H247" s="135" t="s">
        <v>2320</v>
      </c>
      <c r="I247" s="473"/>
      <c r="J247" s="142" t="s">
        <v>2242</v>
      </c>
      <c r="K247" s="491" t="s">
        <v>2443</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2321</v>
      </c>
      <c r="V247" s="323" t="s">
        <v>2309</v>
      </c>
    </row>
    <row r="248" spans="1:22" ht="16.399999999999999" hidden="1" customHeight="1">
      <c r="A248" s="29" t="str">
        <f t="shared" si="4"/>
        <v>modesg_out_sfics_taxon_europeiasstnbl_indctr</v>
      </c>
      <c r="B248" s="141" t="s">
        <v>26</v>
      </c>
      <c r="C248" s="137" t="s">
        <v>310</v>
      </c>
      <c r="D248" s="133" t="s">
        <v>40</v>
      </c>
      <c r="E248" s="134" t="s">
        <v>2080</v>
      </c>
      <c r="F248" s="476" t="s">
        <v>418</v>
      </c>
      <c r="G248" s="135" t="str">
        <f>VLOOKUP(A248,Plano_V3!$A$26:$G$768,7,0)</f>
        <v xml:space="preserve">6. Em implementação </v>
      </c>
      <c r="H248" s="135" t="s">
        <v>2320</v>
      </c>
      <c r="I248" s="473"/>
      <c r="J248" s="359" t="s">
        <v>2425</v>
      </c>
      <c r="K248" s="491" t="s">
        <v>2443</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2427</v>
      </c>
      <c r="V248" s="323"/>
    </row>
    <row r="249" spans="1:22" ht="16.399999999999999" hidden="1" customHeight="1">
      <c r="A249" s="29" t="str">
        <f t="shared" si="4"/>
        <v>modesg_out_sfics_taxon_europeiaref_date</v>
      </c>
      <c r="B249" s="141" t="s">
        <v>26</v>
      </c>
      <c r="C249" s="137" t="s">
        <v>310</v>
      </c>
      <c r="D249" s="133" t="s">
        <v>40</v>
      </c>
      <c r="E249" s="134" t="s">
        <v>2080</v>
      </c>
      <c r="F249" s="476" t="s">
        <v>208</v>
      </c>
      <c r="G249" s="135" t="str">
        <f>VLOOKUP(A249,Plano_V3!$A$26:$G$768,7,0)</f>
        <v xml:space="preserve">6. Em implementação </v>
      </c>
      <c r="H249" s="135" t="s">
        <v>2320</v>
      </c>
      <c r="I249" s="473"/>
      <c r="J249" s="142" t="s">
        <v>2242</v>
      </c>
      <c r="K249" s="491" t="s">
        <v>2443</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2321</v>
      </c>
      <c r="V249" s="323" t="s">
        <v>2309</v>
      </c>
    </row>
    <row r="250" spans="1:22" ht="16.399999999999999" hidden="1" customHeight="1">
      <c r="A250" s="29" t="str">
        <f t="shared" si="4"/>
        <v>modesg_out_sfics_taxon_europeiazdeposit</v>
      </c>
      <c r="B250" s="141" t="s">
        <v>26</v>
      </c>
      <c r="C250" s="137" t="s">
        <v>310</v>
      </c>
      <c r="D250" s="133" t="s">
        <v>40</v>
      </c>
      <c r="E250" s="134" t="s">
        <v>2080</v>
      </c>
      <c r="F250" s="476" t="s">
        <v>210</v>
      </c>
      <c r="G250" s="135" t="str">
        <f>VLOOKUP(A250,Plano_V3!$A$26:$G$768,7,0)</f>
        <v xml:space="preserve">6. Em implementação </v>
      </c>
      <c r="H250" s="135" t="s">
        <v>2320</v>
      </c>
      <c r="I250" s="473"/>
      <c r="J250" s="142" t="s">
        <v>2242</v>
      </c>
      <c r="K250" s="491" t="s">
        <v>2443</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2321</v>
      </c>
      <c r="V250" s="323" t="s">
        <v>2309</v>
      </c>
    </row>
    <row r="251" spans="1:22" ht="16.399999999999999" hidden="1" customHeight="1">
      <c r="A251" s="29" t="str">
        <f t="shared" si="4"/>
        <v>ENERGY_CERTIFICATE_EST_INPUTn.a.</v>
      </c>
      <c r="B251" s="141" t="s">
        <v>26</v>
      </c>
      <c r="C251" s="137" t="s">
        <v>34</v>
      </c>
      <c r="D251" s="133" t="s">
        <v>36</v>
      </c>
      <c r="E251" s="134" t="s">
        <v>37</v>
      </c>
      <c r="F251" s="476" t="s">
        <v>38</v>
      </c>
      <c r="G251" s="135" t="str">
        <f>VLOOKUP(A251,Plano_V3!$A$26:$G$768,7,0)</f>
        <v>1. Concluído</v>
      </c>
      <c r="H251" s="135" t="s">
        <v>612</v>
      </c>
      <c r="I251" s="473" t="s">
        <v>2416</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2321</v>
      </c>
      <c r="V251" s="152"/>
    </row>
    <row r="252" spans="1:22" ht="16.399999999999999" hidden="1" customHeight="1">
      <c r="A252" s="29" t="str">
        <f t="shared" si="4"/>
        <v>ENERGY_CERTIFICATE_EST_INPUTDATA_PROVIDER</v>
      </c>
      <c r="B252" s="141" t="s">
        <v>26</v>
      </c>
      <c r="C252" s="137" t="s">
        <v>34</v>
      </c>
      <c r="D252" s="133" t="s">
        <v>40</v>
      </c>
      <c r="E252" s="134" t="s">
        <v>37</v>
      </c>
      <c r="F252" s="477" t="s">
        <v>48</v>
      </c>
      <c r="G252" s="135" t="str">
        <f>VLOOKUP(A252,Plano_V3!$A$26:$G$768,7,0)</f>
        <v>0. Cancelado</v>
      </c>
      <c r="H252" s="135" t="s">
        <v>611</v>
      </c>
      <c r="I252" s="473" t="s">
        <v>2416</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2321</v>
      </c>
      <c r="V252" s="152"/>
    </row>
    <row r="253" spans="1:22" ht="16.399999999999999" hidden="1" customHeight="1">
      <c r="A253" s="29" t="str">
        <f t="shared" si="4"/>
        <v>ENERGY_CERTIFICATE_EST_INPUTACTUAL_VALUE_IND</v>
      </c>
      <c r="B253" s="141" t="s">
        <v>26</v>
      </c>
      <c r="C253" s="137" t="s">
        <v>34</v>
      </c>
      <c r="D253" s="133" t="s">
        <v>40</v>
      </c>
      <c r="E253" s="134" t="s">
        <v>37</v>
      </c>
      <c r="F253" s="477" t="s">
        <v>49</v>
      </c>
      <c r="G253" s="135" t="str">
        <f>VLOOKUP(A253,Plano_V3!$A$26:$G$768,7,0)</f>
        <v>0. Cancelado</v>
      </c>
      <c r="H253" s="135" t="s">
        <v>611</v>
      </c>
      <c r="I253" s="473" t="s">
        <v>2416</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2321</v>
      </c>
      <c r="V253" s="152"/>
    </row>
    <row r="254" spans="1:22" ht="16.399999999999999" hidden="1" customHeight="1">
      <c r="A254" s="29" t="str">
        <f t="shared" si="4"/>
        <v>PROCESSn.a.</v>
      </c>
      <c r="B254" s="141" t="s">
        <v>26</v>
      </c>
      <c r="C254" s="137" t="s">
        <v>54</v>
      </c>
      <c r="D254" s="133" t="s">
        <v>36</v>
      </c>
      <c r="E254" s="134" t="s">
        <v>55</v>
      </c>
      <c r="F254" s="476" t="s">
        <v>38</v>
      </c>
      <c r="G254" s="135" t="str">
        <f>VLOOKUP(A254,Plano_V3!$A$26:$G$768,7,0)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2321</v>
      </c>
      <c r="V254" s="152"/>
    </row>
    <row r="255" spans="1:22" ht="16.399999999999999" hidden="1" customHeight="1">
      <c r="A255" s="29" t="str">
        <f t="shared" si="4"/>
        <v>PROCESSPROCESS_BANK_ID</v>
      </c>
      <c r="B255" s="141" t="s">
        <v>26</v>
      </c>
      <c r="C255" s="137" t="s">
        <v>54</v>
      </c>
      <c r="D255" s="133" t="s">
        <v>40</v>
      </c>
      <c r="E255" s="134" t="s">
        <v>55</v>
      </c>
      <c r="F255" s="476" t="s">
        <v>57</v>
      </c>
      <c r="G255" s="135" t="str">
        <f>VLOOKUP(A255,Plano_V3!$A$26:$G$768,7,0)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2321</v>
      </c>
      <c r="V255" s="152"/>
    </row>
    <row r="256" spans="1:22" ht="16.399999999999999" hidden="1" customHeight="1">
      <c r="A256" s="29" t="str">
        <f t="shared" si="4"/>
        <v>PROCESSPROCESS_BRANCH_CODE</v>
      </c>
      <c r="B256" s="141" t="s">
        <v>26</v>
      </c>
      <c r="C256" s="137" t="s">
        <v>54</v>
      </c>
      <c r="D256" s="133" t="s">
        <v>40</v>
      </c>
      <c r="E256" s="134" t="s">
        <v>55</v>
      </c>
      <c r="F256" s="476" t="s">
        <v>58</v>
      </c>
      <c r="G256" s="135" t="str">
        <f>VLOOKUP(A256,Plano_V3!$A$26:$G$768,7,0)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2321</v>
      </c>
      <c r="V256" s="152"/>
    </row>
    <row r="257" spans="1:22" ht="16.399999999999999" hidden="1" customHeight="1">
      <c r="A257" s="29" t="str">
        <f t="shared" si="4"/>
        <v>PROCESSPROCESS_ACCOUNT_ID</v>
      </c>
      <c r="B257" s="141" t="s">
        <v>26</v>
      </c>
      <c r="C257" s="137" t="s">
        <v>54</v>
      </c>
      <c r="D257" s="133" t="s">
        <v>40</v>
      </c>
      <c r="E257" s="134" t="s">
        <v>55</v>
      </c>
      <c r="F257" s="476" t="s">
        <v>59</v>
      </c>
      <c r="G257" s="135" t="str">
        <f>VLOOKUP(A257,Plano_V3!$A$26:$G$768,7,0)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2321</v>
      </c>
      <c r="V257" s="152"/>
    </row>
    <row r="258" spans="1:22" ht="16.399999999999999" hidden="1" customHeight="1">
      <c r="A258" s="29" t="str">
        <f t="shared" si="4"/>
        <v>PROCESScod_estd_prcs</v>
      </c>
      <c r="B258" s="141" t="s">
        <v>26</v>
      </c>
      <c r="C258" s="137" t="s">
        <v>54</v>
      </c>
      <c r="D258" s="133" t="s">
        <v>40</v>
      </c>
      <c r="E258" s="134" t="s">
        <v>55</v>
      </c>
      <c r="F258" s="476" t="s">
        <v>60</v>
      </c>
      <c r="G258" s="135" t="str">
        <f>VLOOKUP(A258,Plano_V3!$A$26:$G$768,7,0)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2321</v>
      </c>
      <c r="V258" s="152"/>
    </row>
    <row r="259" spans="1:22" ht="16.399999999999999" hidden="1" customHeight="1">
      <c r="A259" s="29" t="str">
        <f t="shared" si="4"/>
        <v>PROCESSGUARANTEE_CODE</v>
      </c>
      <c r="B259" s="141" t="s">
        <v>26</v>
      </c>
      <c r="C259" s="137" t="s">
        <v>54</v>
      </c>
      <c r="D259" s="133" t="s">
        <v>40</v>
      </c>
      <c r="E259" s="134" t="s">
        <v>55</v>
      </c>
      <c r="F259" s="476" t="s">
        <v>61</v>
      </c>
      <c r="G259" s="135" t="str">
        <f>VLOOKUP(A259,Plano_V3!$A$26:$G$768,7,0)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2321</v>
      </c>
      <c r="V259" s="152"/>
    </row>
    <row r="260" spans="1:22" ht="16.399999999999999" hidden="1" customHeight="1">
      <c r="A260" s="29" t="str">
        <f t="shared" si="4"/>
        <v>PROCESSCURRENCY_CODE</v>
      </c>
      <c r="B260" s="141" t="s">
        <v>26</v>
      </c>
      <c r="C260" s="137" t="s">
        <v>54</v>
      </c>
      <c r="D260" s="133" t="s">
        <v>40</v>
      </c>
      <c r="E260" s="134" t="s">
        <v>55</v>
      </c>
      <c r="F260" s="476" t="s">
        <v>62</v>
      </c>
      <c r="G260" s="135" t="str">
        <f>VLOOKUP(A260,Plano_V3!$A$26:$G$768,7,0)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2321</v>
      </c>
      <c r="V260" s="152"/>
    </row>
    <row r="261" spans="1:22" ht="16.399999999999999" hidden="1" customHeight="1">
      <c r="A261" s="29" t="str">
        <f t="shared" si="4"/>
        <v>PROCESSPROCESS_CAMPAIGN_CODE</v>
      </c>
      <c r="B261" s="141" t="s">
        <v>26</v>
      </c>
      <c r="C261" s="137" t="s">
        <v>54</v>
      </c>
      <c r="D261" s="133" t="s">
        <v>40</v>
      </c>
      <c r="E261" s="134" t="s">
        <v>55</v>
      </c>
      <c r="F261" s="476" t="s">
        <v>63</v>
      </c>
      <c r="G261" s="135" t="str">
        <f>VLOOKUP(A261,Plano_V3!$A$26:$G$768,7,0)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2321</v>
      </c>
      <c r="V261" s="152"/>
    </row>
    <row r="262" spans="1:22" ht="16.399999999999999" hidden="1" customHeight="1">
      <c r="A262" s="29" t="str">
        <f t="shared" si="4"/>
        <v>PROCESSPROCESS_PRODUCT_ID</v>
      </c>
      <c r="B262" s="141" t="s">
        <v>26</v>
      </c>
      <c r="C262" s="137" t="s">
        <v>54</v>
      </c>
      <c r="D262" s="133" t="s">
        <v>40</v>
      </c>
      <c r="E262" s="134" t="s">
        <v>55</v>
      </c>
      <c r="F262" s="476" t="s">
        <v>64</v>
      </c>
      <c r="G262" s="135" t="str">
        <f>VLOOKUP(A262,Plano_V3!$A$26:$G$768,7,0)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2321</v>
      </c>
      <c r="V262" s="152"/>
    </row>
    <row r="263" spans="1:22" ht="16.399999999999999" hidden="1" customHeight="1">
      <c r="A263" s="29" t="str">
        <f t="shared" si="4"/>
        <v>PROCESSPROCESS_SUBPRODUCT_ID</v>
      </c>
      <c r="B263" s="141" t="s">
        <v>26</v>
      </c>
      <c r="C263" s="137" t="s">
        <v>54</v>
      </c>
      <c r="D263" s="133" t="s">
        <v>40</v>
      </c>
      <c r="E263" s="134" t="s">
        <v>55</v>
      </c>
      <c r="F263" s="476" t="s">
        <v>65</v>
      </c>
      <c r="G263" s="135" t="str">
        <f>VLOOKUP(A263,Plano_V3!$A$26:$G$768,7,0)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2321</v>
      </c>
      <c r="V263" s="152"/>
    </row>
    <row r="264" spans="1:22" ht="16.399999999999999" hidden="1" customHeight="1">
      <c r="A264" s="29" t="str">
        <f t="shared" si="4"/>
        <v>PROCESSGUARANTEE_TYPE_CODE</v>
      </c>
      <c r="B264" s="141" t="s">
        <v>26</v>
      </c>
      <c r="C264" s="137" t="s">
        <v>54</v>
      </c>
      <c r="D264" s="133" t="s">
        <v>40</v>
      </c>
      <c r="E264" s="134" t="s">
        <v>55</v>
      </c>
      <c r="F264" s="476" t="s">
        <v>66</v>
      </c>
      <c r="G264" s="135" t="str">
        <f>VLOOKUP(A264,Plano_V3!$A$26:$G$768,7,0)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2321</v>
      </c>
      <c r="V264" s="152"/>
    </row>
    <row r="265" spans="1:22" ht="16.399999999999999" hidden="1" customHeight="1">
      <c r="A265" s="29" t="str">
        <f t="shared" si="4"/>
        <v>PROCESSPROCESS_REFERENCE_CODE</v>
      </c>
      <c r="B265" s="141" t="s">
        <v>26</v>
      </c>
      <c r="C265" s="137" t="s">
        <v>54</v>
      </c>
      <c r="D265" s="133" t="s">
        <v>40</v>
      </c>
      <c r="E265" s="134" t="s">
        <v>55</v>
      </c>
      <c r="F265" s="476" t="s">
        <v>67</v>
      </c>
      <c r="G265" s="135" t="str">
        <f>VLOOKUP(A265,Plano_V3!$A$26:$G$768,7,0)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2321</v>
      </c>
      <c r="V265" s="152"/>
    </row>
    <row r="266" spans="1:22" ht="16.399999999999999" hidden="1" customHeight="1">
      <c r="A266" s="29" t="str">
        <f t="shared" si="4"/>
        <v>PROCESSPROCESS_START_DATE</v>
      </c>
      <c r="B266" s="141" t="s">
        <v>26</v>
      </c>
      <c r="C266" s="137" t="s">
        <v>54</v>
      </c>
      <c r="D266" s="133" t="s">
        <v>40</v>
      </c>
      <c r="E266" s="134" t="s">
        <v>55</v>
      </c>
      <c r="F266" s="476" t="s">
        <v>68</v>
      </c>
      <c r="G266" s="135" t="str">
        <f>VLOOKUP(A266,Plano_V3!$A$26:$G$768,7,0)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2321</v>
      </c>
      <c r="V266" s="152"/>
    </row>
    <row r="267" spans="1:22" ht="16.399999999999999" hidden="1" customHeight="1">
      <c r="A267" s="29" t="str">
        <f t="shared" ref="A267:A330" si="6">E267&amp;F267</f>
        <v>PROCESSPROCESS_DUE_DATE</v>
      </c>
      <c r="B267" s="141" t="s">
        <v>26</v>
      </c>
      <c r="C267" s="137" t="s">
        <v>54</v>
      </c>
      <c r="D267" s="133" t="s">
        <v>40</v>
      </c>
      <c r="E267" s="134" t="s">
        <v>55</v>
      </c>
      <c r="F267" s="476" t="s">
        <v>69</v>
      </c>
      <c r="G267" s="135" t="str">
        <f>VLOOKUP(A267,Plano_V3!$A$26:$G$768,7,0)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2321</v>
      </c>
      <c r="V267" s="152"/>
    </row>
    <row r="268" spans="1:22" ht="16.399999999999999" hidden="1" customHeight="1">
      <c r="A268" s="29" t="str">
        <f t="shared" si="6"/>
        <v>PROCESSmontante_eur</v>
      </c>
      <c r="B268" s="141" t="s">
        <v>26</v>
      </c>
      <c r="C268" s="137" t="s">
        <v>54</v>
      </c>
      <c r="D268" s="133" t="s">
        <v>40</v>
      </c>
      <c r="E268" s="134" t="s">
        <v>55</v>
      </c>
      <c r="F268" s="476" t="s">
        <v>70</v>
      </c>
      <c r="G268" s="135" t="str">
        <f>VLOOKUP(A268,Plano_V3!$A$26:$G$768,7,0)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2321</v>
      </c>
      <c r="V268" s="152"/>
    </row>
    <row r="269" spans="1:22" ht="16.399999999999999" hidden="1" customHeight="1">
      <c r="A269" s="29" t="str">
        <f t="shared" si="6"/>
        <v>PROCESSmontante_org</v>
      </c>
      <c r="B269" s="141" t="s">
        <v>26</v>
      </c>
      <c r="C269" s="137" t="s">
        <v>54</v>
      </c>
      <c r="D269" s="133" t="s">
        <v>40</v>
      </c>
      <c r="E269" s="134" t="s">
        <v>55</v>
      </c>
      <c r="F269" s="476" t="s">
        <v>71</v>
      </c>
      <c r="G269" s="135" t="str">
        <f>VLOOKUP(A269,Plano_V3!$A$26:$G$768,7,0)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2321</v>
      </c>
      <c r="V269" s="152"/>
    </row>
    <row r="270" spans="1:22" ht="16.399999999999999" hidden="1" customHeight="1">
      <c r="A270" s="29" t="str">
        <f t="shared" si="6"/>
        <v>PROCESSorigem</v>
      </c>
      <c r="B270" s="141" t="s">
        <v>26</v>
      </c>
      <c r="C270" s="137" t="s">
        <v>54</v>
      </c>
      <c r="D270" s="133" t="s">
        <v>40</v>
      </c>
      <c r="E270" s="134" t="s">
        <v>55</v>
      </c>
      <c r="F270" s="476" t="s">
        <v>72</v>
      </c>
      <c r="G270" s="135" t="str">
        <f>VLOOKUP(A270,Plano_V3!$A$26:$G$768,7,0)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2321</v>
      </c>
      <c r="V270" s="152"/>
    </row>
    <row r="271" spans="1:22" ht="16.399999999999999" hidden="1" customHeight="1">
      <c r="A271" s="29" t="str">
        <f t="shared" si="6"/>
        <v>PROCESSDATA_DATE_PART</v>
      </c>
      <c r="B271" s="141" t="s">
        <v>26</v>
      </c>
      <c r="C271" s="137" t="s">
        <v>54</v>
      </c>
      <c r="D271" s="133" t="s">
        <v>40</v>
      </c>
      <c r="E271" s="134" t="s">
        <v>55</v>
      </c>
      <c r="F271" s="476" t="s">
        <v>73</v>
      </c>
      <c r="G271" s="135" t="str">
        <f>VLOOKUP(A271,Plano_V3!$A$26:$G$768,7,0)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2321</v>
      </c>
      <c r="V271" s="152"/>
    </row>
    <row r="272" spans="1:22" ht="16.399999999999999" hidden="1" customHeight="1">
      <c r="A272" s="29" t="str">
        <f t="shared" si="6"/>
        <v>PROCESSSOURCE_CODE</v>
      </c>
      <c r="B272" s="141" t="s">
        <v>26</v>
      </c>
      <c r="C272" s="137" t="s">
        <v>54</v>
      </c>
      <c r="D272" s="133" t="s">
        <v>40</v>
      </c>
      <c r="E272" s="134" t="s">
        <v>55</v>
      </c>
      <c r="F272" s="476" t="s">
        <v>87</v>
      </c>
      <c r="G272" s="135" t="str">
        <f>VLOOKUP(A272,Plano_V3!$A$26:$G$768,7,0)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2321</v>
      </c>
      <c r="V272" s="152"/>
    </row>
    <row r="273" spans="1:22" ht="16.399999999999999" hidden="1" customHeight="1">
      <c r="A273" s="29" t="str">
        <f t="shared" si="6"/>
        <v>RESPONSIBILITY_PROCESS_RELn.a.</v>
      </c>
      <c r="B273" s="141" t="s">
        <v>26</v>
      </c>
      <c r="C273" s="137" t="s">
        <v>54</v>
      </c>
      <c r="D273" s="133" t="s">
        <v>36</v>
      </c>
      <c r="E273" s="134" t="s">
        <v>74</v>
      </c>
      <c r="F273" s="476" t="s">
        <v>38</v>
      </c>
      <c r="G273" s="135" t="str">
        <f>VLOOKUP(A273,Plano_V3!$A$26:$G$768,7,0)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2321</v>
      </c>
      <c r="V273" s="152"/>
    </row>
    <row r="274" spans="1:22" ht="16.399999999999999" hidden="1" customHeight="1">
      <c r="A274" s="29" t="str">
        <f t="shared" si="6"/>
        <v>RESPONSIBILITY_PROCESS_RELPROCESS_BANK_ID</v>
      </c>
      <c r="B274" s="141" t="s">
        <v>26</v>
      </c>
      <c r="C274" s="137" t="s">
        <v>54</v>
      </c>
      <c r="D274" s="133" t="s">
        <v>40</v>
      </c>
      <c r="E274" s="134" t="s">
        <v>74</v>
      </c>
      <c r="F274" s="476" t="s">
        <v>57</v>
      </c>
      <c r="G274" s="135" t="str">
        <f>VLOOKUP(A274,Plano_V3!$A$26:$G$768,7,0)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2321</v>
      </c>
      <c r="V274" s="152"/>
    </row>
    <row r="275" spans="1:22" ht="16.399999999999999" hidden="1" customHeight="1">
      <c r="A275" s="29" t="str">
        <f t="shared" si="6"/>
        <v>RESPONSIBILITY_PROCESS_RELBANK_ID</v>
      </c>
      <c r="B275" s="141" t="s">
        <v>26</v>
      </c>
      <c r="C275" s="137" t="s">
        <v>54</v>
      </c>
      <c r="D275" s="133" t="s">
        <v>40</v>
      </c>
      <c r="E275" s="134" t="s">
        <v>74</v>
      </c>
      <c r="F275" s="476" t="s">
        <v>75</v>
      </c>
      <c r="G275" s="135" t="str">
        <f>VLOOKUP(A275,Plano_V3!$A$26:$G$768,7,0)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2321</v>
      </c>
      <c r="V275" s="152"/>
    </row>
    <row r="276" spans="1:22" ht="16.399999999999999" hidden="1" customHeight="1">
      <c r="A276" s="29" t="str">
        <f t="shared" si="6"/>
        <v>RESPONSIBILITY_PROCESS_RELPROCESS_BRANCH_CODE</v>
      </c>
      <c r="B276" s="141" t="s">
        <v>26</v>
      </c>
      <c r="C276" s="137" t="s">
        <v>54</v>
      </c>
      <c r="D276" s="133" t="s">
        <v>40</v>
      </c>
      <c r="E276" s="134" t="s">
        <v>74</v>
      </c>
      <c r="F276" s="476" t="s">
        <v>58</v>
      </c>
      <c r="G276" s="135" t="str">
        <f>VLOOKUP(A276,Plano_V3!$A$26:$G$768,7,0)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2321</v>
      </c>
      <c r="V276" s="152"/>
    </row>
    <row r="277" spans="1:22" ht="16.399999999999999" hidden="1" customHeight="1">
      <c r="A277" s="29" t="str">
        <f t="shared" si="6"/>
        <v>RESPONSIBILITY_PROCESS_RELBRANCH_CODE</v>
      </c>
      <c r="B277" s="141" t="s">
        <v>26</v>
      </c>
      <c r="C277" s="137" t="s">
        <v>54</v>
      </c>
      <c r="D277" s="133" t="s">
        <v>40</v>
      </c>
      <c r="E277" s="134" t="s">
        <v>74</v>
      </c>
      <c r="F277" s="476" t="s">
        <v>76</v>
      </c>
      <c r="G277" s="135" t="str">
        <f>VLOOKUP(A277,Plano_V3!$A$26:$G$768,7,0)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2321</v>
      </c>
      <c r="V277" s="152"/>
    </row>
    <row r="278" spans="1:22" ht="16.399999999999999" hidden="1" customHeight="1">
      <c r="A278" s="29" t="str">
        <f t="shared" si="6"/>
        <v>RESPONSIBILITY_PROCESS_RELCONTRACT_ID</v>
      </c>
      <c r="B278" s="141" t="s">
        <v>26</v>
      </c>
      <c r="C278" s="137" t="s">
        <v>54</v>
      </c>
      <c r="D278" s="133" t="s">
        <v>40</v>
      </c>
      <c r="E278" s="134" t="s">
        <v>74</v>
      </c>
      <c r="F278" s="476" t="s">
        <v>77</v>
      </c>
      <c r="G278" s="135" t="str">
        <f>VLOOKUP(A278,Plano_V3!$A$26:$G$768,7,0)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2321</v>
      </c>
      <c r="V278" s="152"/>
    </row>
    <row r="279" spans="1:22" ht="16.399999999999999" hidden="1" customHeight="1">
      <c r="A279" s="29" t="str">
        <f t="shared" si="6"/>
        <v>RESPONSIBILITY_PROCESS_RELPROCESS_ACCOUNT_ID</v>
      </c>
      <c r="B279" s="141" t="s">
        <v>26</v>
      </c>
      <c r="C279" s="137" t="s">
        <v>54</v>
      </c>
      <c r="D279" s="133" t="s">
        <v>40</v>
      </c>
      <c r="E279" s="134" t="s">
        <v>74</v>
      </c>
      <c r="F279" s="476" t="s">
        <v>59</v>
      </c>
      <c r="G279" s="135" t="str">
        <f>VLOOKUP(A279,Plano_V3!$A$26:$G$768,7,0)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2321</v>
      </c>
      <c r="V279" s="152"/>
    </row>
    <row r="280" spans="1:22" ht="16.399999999999999" hidden="1" customHeight="1">
      <c r="A280" s="29" t="str">
        <f t="shared" si="6"/>
        <v>RESPONSIBILITY_PROCESS_RELREFERENCE_CODE</v>
      </c>
      <c r="B280" s="141" t="s">
        <v>26</v>
      </c>
      <c r="C280" s="137" t="s">
        <v>54</v>
      </c>
      <c r="D280" s="133" t="s">
        <v>40</v>
      </c>
      <c r="E280" s="134" t="s">
        <v>74</v>
      </c>
      <c r="F280" s="476" t="s">
        <v>78</v>
      </c>
      <c r="G280" s="135" t="str">
        <f>VLOOKUP(A280,Plano_V3!$A$26:$G$768,7,0)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2321</v>
      </c>
      <c r="V280" s="152"/>
    </row>
    <row r="281" spans="1:22" ht="16.399999999999999" hidden="1" customHeight="1">
      <c r="A281" s="29" t="str">
        <f t="shared" si="6"/>
        <v>RESPONSIBILITY_PROCESS_RELPURPOSE_CODE</v>
      </c>
      <c r="B281" s="141" t="s">
        <v>26</v>
      </c>
      <c r="C281" s="137" t="s">
        <v>54</v>
      </c>
      <c r="D281" s="133" t="s">
        <v>40</v>
      </c>
      <c r="E281" s="134" t="s">
        <v>74</v>
      </c>
      <c r="F281" s="476" t="s">
        <v>79</v>
      </c>
      <c r="G281" s="135" t="str">
        <f>VLOOKUP(A281,Plano_V3!$A$26:$G$768,7,0)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2321</v>
      </c>
      <c r="V281" s="152"/>
    </row>
    <row r="282" spans="1:22" ht="16.399999999999999" hidden="1" customHeight="1">
      <c r="A282" s="29" t="str">
        <f t="shared" si="6"/>
        <v>RESPONSIBILITY_PROCESS_RELINDIVIDUAL_OCCUPATION_CODE</v>
      </c>
      <c r="B282" s="141" t="s">
        <v>26</v>
      </c>
      <c r="C282" s="137" t="s">
        <v>54</v>
      </c>
      <c r="D282" s="133" t="s">
        <v>40</v>
      </c>
      <c r="E282" s="134" t="s">
        <v>74</v>
      </c>
      <c r="F282" s="476" t="s">
        <v>80</v>
      </c>
      <c r="G282" s="135" t="str">
        <f>VLOOKUP(A282,Plano_V3!$A$26:$G$768,7,0)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2321</v>
      </c>
      <c r="V282" s="152"/>
    </row>
    <row r="283" spans="1:22" ht="16.399999999999999" hidden="1" customHeight="1">
      <c r="A283" s="29" t="str">
        <f t="shared" si="6"/>
        <v>RESPONSIBILITY_PROCESS_RELPRODUCT_ID</v>
      </c>
      <c r="B283" s="141" t="s">
        <v>26</v>
      </c>
      <c r="C283" s="137" t="s">
        <v>54</v>
      </c>
      <c r="D283" s="133" t="s">
        <v>40</v>
      </c>
      <c r="E283" s="134" t="s">
        <v>74</v>
      </c>
      <c r="F283" s="476" t="s">
        <v>81</v>
      </c>
      <c r="G283" s="135" t="str">
        <f>VLOOKUP(A283,Plano_V3!$A$26:$G$768,7,0)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2321</v>
      </c>
      <c r="V283" s="152"/>
    </row>
    <row r="284" spans="1:22" ht="16.399999999999999" hidden="1" customHeight="1">
      <c r="A284" s="29" t="str">
        <f t="shared" si="6"/>
        <v>RESPONSIBILITY_PROCESS_RELcod_sit</v>
      </c>
      <c r="B284" s="141" t="s">
        <v>26</v>
      </c>
      <c r="C284" s="137" t="s">
        <v>54</v>
      </c>
      <c r="D284" s="133" t="s">
        <v>40</v>
      </c>
      <c r="E284" s="134" t="s">
        <v>74</v>
      </c>
      <c r="F284" s="476" t="s">
        <v>82</v>
      </c>
      <c r="G284" s="135" t="str">
        <f>VLOOKUP(A284,Plano_V3!$A$26:$G$768,7,0)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2321</v>
      </c>
      <c r="V284" s="152"/>
    </row>
    <row r="285" spans="1:22" ht="16.399999999999999" hidden="1" customHeight="1">
      <c r="A285" s="29" t="str">
        <f t="shared" si="6"/>
        <v>RESPONSIBILITY_PROCESS_RELSUBPRODUCT_ID</v>
      </c>
      <c r="B285" s="141" t="s">
        <v>26</v>
      </c>
      <c r="C285" s="137" t="s">
        <v>54</v>
      </c>
      <c r="D285" s="133" t="s">
        <v>40</v>
      </c>
      <c r="E285" s="134" t="s">
        <v>74</v>
      </c>
      <c r="F285" s="476" t="s">
        <v>83</v>
      </c>
      <c r="G285" s="135" t="str">
        <f>VLOOKUP(A285,Plano_V3!$A$26:$G$768,7,0)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2321</v>
      </c>
      <c r="V285" s="152"/>
    </row>
    <row r="286" spans="1:22" ht="16.399999999999999" hidden="1" customHeight="1">
      <c r="A286" s="29" t="str">
        <f t="shared" si="6"/>
        <v>RESPONSIBILITY_PROCESS_RELPROCESS_REFERENCE_CODE</v>
      </c>
      <c r="B286" s="141" t="s">
        <v>26</v>
      </c>
      <c r="C286" s="137" t="s">
        <v>54</v>
      </c>
      <c r="D286" s="133" t="s">
        <v>40</v>
      </c>
      <c r="E286" s="134" t="s">
        <v>74</v>
      </c>
      <c r="F286" s="476" t="s">
        <v>67</v>
      </c>
      <c r="G286" s="135" t="str">
        <f>VLOOKUP(A286,Plano_V3!$A$26:$G$768,7,0)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2321</v>
      </c>
      <c r="V286" s="152"/>
    </row>
    <row r="287" spans="1:22" ht="16.399999999999999" hidden="1" customHeight="1">
      <c r="A287" s="29" t="str">
        <f t="shared" si="6"/>
        <v>RESPONSIBILITY_PROCESS_RELEFFECTIVE_RELATION_END_DATE</v>
      </c>
      <c r="B287" s="141" t="s">
        <v>26</v>
      </c>
      <c r="C287" s="137" t="s">
        <v>54</v>
      </c>
      <c r="D287" s="133" t="s">
        <v>40</v>
      </c>
      <c r="E287" s="134" t="s">
        <v>74</v>
      </c>
      <c r="F287" s="476" t="s">
        <v>84</v>
      </c>
      <c r="G287" s="135" t="str">
        <f>VLOOKUP(A287,Plano_V3!$A$26:$G$768,7,0)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2321</v>
      </c>
      <c r="V287" s="152"/>
    </row>
    <row r="288" spans="1:22" ht="16.399999999999999" hidden="1" customHeight="1">
      <c r="A288" s="29" t="str">
        <f t="shared" si="6"/>
        <v>RESPONSIBILITY_PROCESS_RELRELATION_START_DATE</v>
      </c>
      <c r="B288" s="141" t="s">
        <v>26</v>
      </c>
      <c r="C288" s="137" t="s">
        <v>54</v>
      </c>
      <c r="D288" s="133" t="s">
        <v>40</v>
      </c>
      <c r="E288" s="134" t="s">
        <v>74</v>
      </c>
      <c r="F288" s="476" t="s">
        <v>2444</v>
      </c>
      <c r="G288" s="135" t="str">
        <f>VLOOKUP(A288,Plano_V3!$A$26:$G$768,7,0)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2321</v>
      </c>
      <c r="V288" s="152"/>
    </row>
    <row r="289" spans="1:22" ht="16.399999999999999" hidden="1" customHeight="1">
      <c r="A289" s="29" t="str">
        <f t="shared" si="6"/>
        <v>RESPONSIBILITY_PROCESS_RELESTABLISHED_RELATION_END_DATE</v>
      </c>
      <c r="B289" s="141" t="s">
        <v>26</v>
      </c>
      <c r="C289" s="137" t="s">
        <v>54</v>
      </c>
      <c r="D289" s="133" t="s">
        <v>40</v>
      </c>
      <c r="E289" s="134" t="s">
        <v>74</v>
      </c>
      <c r="F289" s="476" t="s">
        <v>2445</v>
      </c>
      <c r="G289" s="135" t="str">
        <f>VLOOKUP(A289,Plano_V3!$A$26:$G$768,7,0)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2321</v>
      </c>
      <c r="V289" s="152"/>
    </row>
    <row r="290" spans="1:22" ht="16.399999999999999" hidden="1" customHeight="1">
      <c r="A290" s="29" t="str">
        <f t="shared" si="6"/>
        <v>RESPONSIBILITY_PROCESS_RELidetgar</v>
      </c>
      <c r="B290" s="141" t="s">
        <v>26</v>
      </c>
      <c r="C290" s="137" t="s">
        <v>54</v>
      </c>
      <c r="D290" s="133" t="s">
        <v>40</v>
      </c>
      <c r="E290" s="134" t="s">
        <v>74</v>
      </c>
      <c r="F290" s="476" t="s">
        <v>85</v>
      </c>
      <c r="G290" s="135" t="str">
        <f>VLOOKUP(A290,Plano_V3!$A$26:$G$768,7,0)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2321</v>
      </c>
      <c r="V290" s="152"/>
    </row>
    <row r="291" spans="1:22" ht="16.399999999999999" hidden="1" customHeight="1">
      <c r="A291" s="29" t="str">
        <f t="shared" si="6"/>
        <v>RESPONSIBILITY_PROCESS_RELnum_prop</v>
      </c>
      <c r="B291" s="141" t="s">
        <v>26</v>
      </c>
      <c r="C291" s="137" t="s">
        <v>54</v>
      </c>
      <c r="D291" s="133" t="s">
        <v>40</v>
      </c>
      <c r="E291" s="134" t="s">
        <v>74</v>
      </c>
      <c r="F291" s="476" t="s">
        <v>86</v>
      </c>
      <c r="G291" s="135" t="str">
        <f>VLOOKUP(A291,Plano_V3!$A$26:$G$768,7,0)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2321</v>
      </c>
      <c r="V291" s="152"/>
    </row>
    <row r="292" spans="1:22" ht="16.399999999999999" hidden="1" customHeight="1">
      <c r="A292" s="29" t="str">
        <f t="shared" si="6"/>
        <v>RESPONSIBILITY_PROCESS_RELSOURCE_CODE</v>
      </c>
      <c r="B292" s="141" t="s">
        <v>26</v>
      </c>
      <c r="C292" s="137" t="s">
        <v>54</v>
      </c>
      <c r="D292" s="133" t="s">
        <v>40</v>
      </c>
      <c r="E292" s="134" t="s">
        <v>74</v>
      </c>
      <c r="F292" s="476" t="s">
        <v>87</v>
      </c>
      <c r="G292" s="135" t="str">
        <f>VLOOKUP(A292,Plano_V3!$A$26:$G$768,7,0)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2321</v>
      </c>
      <c r="V292" s="152"/>
    </row>
    <row r="293" spans="1:22" ht="16.399999999999999" hidden="1" customHeight="1">
      <c r="A293" s="29" t="str">
        <f t="shared" si="6"/>
        <v>RESPONSIBILITY_PROCESS_RELDATA_DATE_PART</v>
      </c>
      <c r="B293" s="141" t="s">
        <v>26</v>
      </c>
      <c r="C293" s="137" t="s">
        <v>54</v>
      </c>
      <c r="D293" s="133" t="s">
        <v>40</v>
      </c>
      <c r="E293" s="134" t="s">
        <v>74</v>
      </c>
      <c r="F293" s="476" t="s">
        <v>73</v>
      </c>
      <c r="G293" s="135" t="str">
        <f>VLOOKUP(A293,Plano_V3!$A$26:$G$768,7,0)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2321</v>
      </c>
      <c r="V293" s="152"/>
    </row>
    <row r="294" spans="1:22" ht="16.399999999999999" hidden="1" customHeight="1">
      <c r="A294" s="29" t="str">
        <f t="shared" si="6"/>
        <v>PROCESS_PROPERTY_RELn.a.</v>
      </c>
      <c r="B294" s="141" t="s">
        <v>26</v>
      </c>
      <c r="C294" s="137" t="s">
        <v>54</v>
      </c>
      <c r="D294" s="133" t="s">
        <v>36</v>
      </c>
      <c r="E294" s="134" t="s">
        <v>88</v>
      </c>
      <c r="F294" s="476" t="s">
        <v>38</v>
      </c>
      <c r="G294" s="135" t="str">
        <f>VLOOKUP(A294,Plano_V3!$A$26:$G$768,7,0)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2321</v>
      </c>
      <c r="V294" s="152"/>
    </row>
    <row r="295" spans="1:22" ht="16.399999999999999" hidden="1" customHeight="1">
      <c r="A295" s="29" t="str">
        <f t="shared" si="6"/>
        <v>PROCESS_PROPERTY_RELPROPERTY_BANK_ID</v>
      </c>
      <c r="B295" s="141" t="s">
        <v>26</v>
      </c>
      <c r="C295" s="137" t="s">
        <v>54</v>
      </c>
      <c r="D295" s="133" t="s">
        <v>40</v>
      </c>
      <c r="E295" s="134" t="s">
        <v>88</v>
      </c>
      <c r="F295" s="476" t="s">
        <v>41</v>
      </c>
      <c r="G295" s="135" t="str">
        <f>VLOOKUP(A295,Plano_V3!$A$26:$G$768,7,0)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2321</v>
      </c>
      <c r="V295" s="152"/>
    </row>
    <row r="296" spans="1:22" ht="16.399999999999999" hidden="1" customHeight="1">
      <c r="A296" s="29" t="str">
        <f t="shared" si="6"/>
        <v>PROCESS_PROPERTY_RELPROCESS_BANK_ID</v>
      </c>
      <c r="B296" s="141" t="s">
        <v>26</v>
      </c>
      <c r="C296" s="137" t="s">
        <v>54</v>
      </c>
      <c r="D296" s="133" t="s">
        <v>40</v>
      </c>
      <c r="E296" s="134" t="s">
        <v>88</v>
      </c>
      <c r="F296" s="476" t="s">
        <v>57</v>
      </c>
      <c r="G296" s="135" t="str">
        <f>VLOOKUP(A296,Plano_V3!$A$26:$G$768,7,0)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2321</v>
      </c>
      <c r="V296" s="152"/>
    </row>
    <row r="297" spans="1:22" ht="16.399999999999999" hidden="1" customHeight="1">
      <c r="A297" s="29" t="str">
        <f t="shared" si="6"/>
        <v>PROCESS_PROPERTY_RELPROPERTY_BRANCH_CODE</v>
      </c>
      <c r="B297" s="141" t="s">
        <v>26</v>
      </c>
      <c r="C297" s="137" t="s">
        <v>54</v>
      </c>
      <c r="D297" s="133" t="s">
        <v>40</v>
      </c>
      <c r="E297" s="134" t="s">
        <v>88</v>
      </c>
      <c r="F297" s="476" t="s">
        <v>43</v>
      </c>
      <c r="G297" s="135" t="str">
        <f>VLOOKUP(A297,Plano_V3!$A$26:$G$768,7,0)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2321</v>
      </c>
      <c r="V297" s="152"/>
    </row>
    <row r="298" spans="1:22" ht="16.399999999999999" hidden="1" customHeight="1">
      <c r="A298" s="29" t="str">
        <f t="shared" si="6"/>
        <v>PROCESS_PROPERTY_RELPROCESS_BRANCH_CODE</v>
      </c>
      <c r="B298" s="141" t="s">
        <v>26</v>
      </c>
      <c r="C298" s="137" t="s">
        <v>54</v>
      </c>
      <c r="D298" s="133" t="s">
        <v>40</v>
      </c>
      <c r="E298" s="134" t="s">
        <v>88</v>
      </c>
      <c r="F298" s="476" t="s">
        <v>58</v>
      </c>
      <c r="G298" s="135" t="str">
        <f>VLOOKUP(A298,Plano_V3!$A$26:$G$768,7,0)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2321</v>
      </c>
      <c r="V298" s="152"/>
    </row>
    <row r="299" spans="1:22" ht="16.399999999999999" hidden="1" customHeight="1">
      <c r="A299" s="29" t="str">
        <f t="shared" si="6"/>
        <v>PROCESS_PROPERTY_RELPROPERTY_CONTRACT_ID</v>
      </c>
      <c r="B299" s="141" t="s">
        <v>26</v>
      </c>
      <c r="C299" s="137" t="s">
        <v>54</v>
      </c>
      <c r="D299" s="133" t="s">
        <v>40</v>
      </c>
      <c r="E299" s="134" t="s">
        <v>88</v>
      </c>
      <c r="F299" s="476" t="s">
        <v>44</v>
      </c>
      <c r="G299" s="135" t="str">
        <f>VLOOKUP(A299,Plano_V3!$A$26:$G$768,7,0)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2321</v>
      </c>
      <c r="V299" s="152"/>
    </row>
    <row r="300" spans="1:22" ht="16.399999999999999" hidden="1" customHeight="1">
      <c r="A300" s="29" t="str">
        <f t="shared" si="6"/>
        <v>PROCESS_PROPERTY_RELPROCESS_ACCOUNT_ID</v>
      </c>
      <c r="B300" s="141" t="s">
        <v>26</v>
      </c>
      <c r="C300" s="137" t="s">
        <v>54</v>
      </c>
      <c r="D300" s="133" t="s">
        <v>40</v>
      </c>
      <c r="E300" s="134" t="s">
        <v>88</v>
      </c>
      <c r="F300" s="476" t="s">
        <v>59</v>
      </c>
      <c r="G300" s="135" t="str">
        <f>VLOOKUP(A300,Plano_V3!$A$26:$G$768,7,0)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2321</v>
      </c>
      <c r="V300" s="152"/>
    </row>
    <row r="301" spans="1:22" ht="16.399999999999999" hidden="1" customHeight="1">
      <c r="A301" s="29" t="str">
        <f t="shared" si="6"/>
        <v>PROCESS_PROPERTY_RELPROPERTY_REFERENCE_CODE</v>
      </c>
      <c r="B301" s="141" t="s">
        <v>26</v>
      </c>
      <c r="C301" s="137" t="s">
        <v>54</v>
      </c>
      <c r="D301" s="133" t="s">
        <v>40</v>
      </c>
      <c r="E301" s="134" t="s">
        <v>88</v>
      </c>
      <c r="F301" s="476" t="s">
        <v>45</v>
      </c>
      <c r="G301" s="135" t="str">
        <f>VLOOKUP(A301,Plano_V3!$A$26:$G$768,7,0)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2321</v>
      </c>
      <c r="V301" s="152"/>
    </row>
    <row r="302" spans="1:22" ht="16.399999999999999" hidden="1" customHeight="1">
      <c r="A302" s="29" t="str">
        <f t="shared" si="6"/>
        <v>PROCESS_PROPERTY_RELPROCESS_REFERENCE_CODE</v>
      </c>
      <c r="B302" s="141" t="s">
        <v>26</v>
      </c>
      <c r="C302" s="137" t="s">
        <v>54</v>
      </c>
      <c r="D302" s="133" t="s">
        <v>40</v>
      </c>
      <c r="E302" s="134" t="s">
        <v>88</v>
      </c>
      <c r="F302" s="476" t="s">
        <v>67</v>
      </c>
      <c r="G302" s="135" t="str">
        <f>VLOOKUP(A302,Plano_V3!$A$26:$G$768,7,0)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2321</v>
      </c>
      <c r="V302" s="152"/>
    </row>
    <row r="303" spans="1:22" ht="16.399999999999999" hidden="1" customHeight="1">
      <c r="A303" s="29" t="str">
        <f t="shared" si="6"/>
        <v>PROCESS_PROPERTY_RELdata_assc</v>
      </c>
      <c r="B303" s="141" t="s">
        <v>26</v>
      </c>
      <c r="C303" s="137" t="s">
        <v>54</v>
      </c>
      <c r="D303" s="133" t="s">
        <v>40</v>
      </c>
      <c r="E303" s="134" t="s">
        <v>88</v>
      </c>
      <c r="F303" s="476" t="s">
        <v>89</v>
      </c>
      <c r="G303" s="135" t="str">
        <f>VLOOKUP(A303,Plano_V3!$A$26:$G$768,7,0)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2321</v>
      </c>
      <c r="V303" s="152"/>
    </row>
    <row r="304" spans="1:22" ht="16.399999999999999" hidden="1" customHeight="1">
      <c r="A304" s="29" t="str">
        <f t="shared" si="6"/>
        <v>PROCESS_PROPERTY_RELSEIZED_PROPERTY_IND</v>
      </c>
      <c r="B304" s="141" t="s">
        <v>26</v>
      </c>
      <c r="C304" s="137" t="s">
        <v>54</v>
      </c>
      <c r="D304" s="133" t="s">
        <v>40</v>
      </c>
      <c r="E304" s="134" t="s">
        <v>88</v>
      </c>
      <c r="F304" s="476" t="s">
        <v>90</v>
      </c>
      <c r="G304" s="135" t="str">
        <f>VLOOKUP(A304,Plano_V3!$A$26:$G$768,7,0)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2321</v>
      </c>
      <c r="V304" s="152"/>
    </row>
    <row r="305" spans="1:22" ht="16.399999999999999" hidden="1" customHeight="1">
      <c r="A305" s="29" t="str">
        <f t="shared" si="6"/>
        <v>PROCESS_PROPERTY_RELCOLLATERAL_PROPERTY_IND</v>
      </c>
      <c r="B305" s="141" t="s">
        <v>26</v>
      </c>
      <c r="C305" s="137" t="s">
        <v>54</v>
      </c>
      <c r="D305" s="133" t="s">
        <v>40</v>
      </c>
      <c r="E305" s="134" t="s">
        <v>88</v>
      </c>
      <c r="F305" s="476" t="s">
        <v>91</v>
      </c>
      <c r="G305" s="135" t="str">
        <f>VLOOKUP(A305,Plano_V3!$A$26:$G$768,7,0)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2321</v>
      </c>
      <c r="V305" s="152"/>
    </row>
    <row r="306" spans="1:22" ht="16.399999999999999" hidden="1" customHeight="1">
      <c r="A306" s="29" t="str">
        <f t="shared" si="6"/>
        <v>PROCESS_PROPERTY_RELFINANCED_PROPERTY_IND</v>
      </c>
      <c r="B306" s="141" t="s">
        <v>26</v>
      </c>
      <c r="C306" s="137" t="s">
        <v>54</v>
      </c>
      <c r="D306" s="133" t="s">
        <v>40</v>
      </c>
      <c r="E306" s="134" t="s">
        <v>88</v>
      </c>
      <c r="F306" s="476" t="s">
        <v>92</v>
      </c>
      <c r="G306" s="135" t="str">
        <f>VLOOKUP(A306,Plano_V3!$A$26:$G$768,7,0)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2321</v>
      </c>
      <c r="V306" s="152"/>
    </row>
    <row r="307" spans="1:22" ht="16.399999999999999" hidden="1" customHeight="1">
      <c r="A307" s="29" t="str">
        <f t="shared" si="6"/>
        <v>PROCESS_PROPERTY_RELOWNED_PROPERTY_IND</v>
      </c>
      <c r="B307" s="141" t="s">
        <v>26</v>
      </c>
      <c r="C307" s="137" t="s">
        <v>54</v>
      </c>
      <c r="D307" s="133" t="s">
        <v>40</v>
      </c>
      <c r="E307" s="134" t="s">
        <v>88</v>
      </c>
      <c r="F307" s="476" t="s">
        <v>93</v>
      </c>
      <c r="G307" s="135" t="str">
        <f>VLOOKUP(A307,Plano_V3!$A$26:$G$768,7,0)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2321</v>
      </c>
      <c r="V307" s="152"/>
    </row>
    <row r="308" spans="1:22" ht="16.399999999999999" hidden="1" customHeight="1">
      <c r="A308" s="29" t="str">
        <f t="shared" si="6"/>
        <v>PROCESS_PROPERTY_RELSOURCE_CODE</v>
      </c>
      <c r="B308" s="141" t="s">
        <v>26</v>
      </c>
      <c r="C308" s="137" t="s">
        <v>54</v>
      </c>
      <c r="D308" s="133" t="s">
        <v>40</v>
      </c>
      <c r="E308" s="134" t="s">
        <v>88</v>
      </c>
      <c r="F308" s="476" t="s">
        <v>87</v>
      </c>
      <c r="G308" s="135" t="str">
        <f>VLOOKUP(A308,Plano_V3!$A$26:$G$768,7,0)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2321</v>
      </c>
      <c r="V308" s="152"/>
    </row>
    <row r="309" spans="1:22" ht="16.399999999999999" hidden="1" customHeight="1">
      <c r="A309" s="29" t="str">
        <f t="shared" si="6"/>
        <v>PROCESS_PROPERTY_RELDATA_DATE_PART</v>
      </c>
      <c r="B309" s="141" t="s">
        <v>26</v>
      </c>
      <c r="C309" s="137" t="s">
        <v>54</v>
      </c>
      <c r="D309" s="133" t="s">
        <v>40</v>
      </c>
      <c r="E309" s="134" t="s">
        <v>88</v>
      </c>
      <c r="F309" s="476" t="s">
        <v>73</v>
      </c>
      <c r="G309" s="135" t="str">
        <f>VLOOKUP(A309,Plano_V3!$A$26:$G$768,7,0)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2321</v>
      </c>
      <c r="V309" s="152"/>
    </row>
    <row r="310" spans="1:22" ht="16.399999999999999" hidden="1" customHeight="1">
      <c r="A310" s="29" t="str">
        <f t="shared" si="6"/>
        <v>PROPERTYn.a.</v>
      </c>
      <c r="B310" s="141" t="s">
        <v>26</v>
      </c>
      <c r="C310" s="137" t="s">
        <v>54</v>
      </c>
      <c r="D310" s="133" t="s">
        <v>36</v>
      </c>
      <c r="E310" s="134" t="s">
        <v>94</v>
      </c>
      <c r="F310" s="476" t="s">
        <v>38</v>
      </c>
      <c r="G310" s="135" t="str">
        <f>VLOOKUP(A310,Plano_V3!$A$26:$G$768,7,0)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2321</v>
      </c>
      <c r="V310" s="152"/>
    </row>
    <row r="311" spans="1:22" ht="16.399999999999999" hidden="1" customHeight="1">
      <c r="A311" s="29" t="str">
        <f t="shared" si="6"/>
        <v>PROPERTYCONSTRUCTION_YEAR</v>
      </c>
      <c r="B311" s="141" t="s">
        <v>26</v>
      </c>
      <c r="C311" s="137" t="s">
        <v>54</v>
      </c>
      <c r="D311" s="133" t="s">
        <v>40</v>
      </c>
      <c r="E311" s="134" t="s">
        <v>94</v>
      </c>
      <c r="F311" s="476" t="s">
        <v>96</v>
      </c>
      <c r="G311" s="135" t="str">
        <f>VLOOKUP(A311,Plano_V3!$A$26:$G$768,7,0)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2321</v>
      </c>
      <c r="V311" s="152"/>
    </row>
    <row r="312" spans="1:22" ht="16.399999999999999" hidden="1" customHeight="1">
      <c r="A312" s="29" t="str">
        <f t="shared" si="6"/>
        <v>PROPERTYNET_FLOOR_AREA</v>
      </c>
      <c r="B312" s="141" t="s">
        <v>26</v>
      </c>
      <c r="C312" s="137" t="s">
        <v>54</v>
      </c>
      <c r="D312" s="133" t="s">
        <v>40</v>
      </c>
      <c r="E312" s="134" t="s">
        <v>94</v>
      </c>
      <c r="F312" s="476" t="s">
        <v>97</v>
      </c>
      <c r="G312" s="135" t="str">
        <f>VLOOKUP(A312,Plano_V3!$A$26:$G$768,7,0)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2321</v>
      </c>
      <c r="V312" s="152"/>
    </row>
    <row r="313" spans="1:22" ht="16.399999999999999" hidden="1" customHeight="1">
      <c r="A313" s="29" t="str">
        <f t="shared" si="6"/>
        <v>PROPERTYPROPERTY_BANK_ID</v>
      </c>
      <c r="B313" s="141" t="s">
        <v>26</v>
      </c>
      <c r="C313" s="137" t="s">
        <v>54</v>
      </c>
      <c r="D313" s="133" t="s">
        <v>40</v>
      </c>
      <c r="E313" s="134" t="s">
        <v>94</v>
      </c>
      <c r="F313" s="476" t="s">
        <v>41</v>
      </c>
      <c r="G313" s="135" t="str">
        <f>VLOOKUP(A313,Plano_V3!$A$26:$G$768,7,0)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2321</v>
      </c>
      <c r="V313" s="152"/>
    </row>
    <row r="314" spans="1:22" ht="16.399999999999999" hidden="1" customHeight="1">
      <c r="A314" s="29" t="str">
        <f t="shared" si="6"/>
        <v>PROPERTYPROPERTY_BRANCH_CODE</v>
      </c>
      <c r="B314" s="141" t="s">
        <v>26</v>
      </c>
      <c r="C314" s="137" t="s">
        <v>54</v>
      </c>
      <c r="D314" s="133" t="s">
        <v>40</v>
      </c>
      <c r="E314" s="134" t="s">
        <v>94</v>
      </c>
      <c r="F314" s="476" t="s">
        <v>43</v>
      </c>
      <c r="G314" s="135" t="str">
        <f>VLOOKUP(A314,Plano_V3!$A$26:$G$768,7,0)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2321</v>
      </c>
      <c r="V314" s="152"/>
    </row>
    <row r="315" spans="1:22" ht="16.399999999999999" hidden="1" customHeight="1">
      <c r="A315" s="29" t="str">
        <f t="shared" si="6"/>
        <v>PROPERTYPROPERTY_CONTRACT_ID</v>
      </c>
      <c r="B315" s="141" t="s">
        <v>26</v>
      </c>
      <c r="C315" s="137" t="s">
        <v>54</v>
      </c>
      <c r="D315" s="133" t="s">
        <v>40</v>
      </c>
      <c r="E315" s="134" t="s">
        <v>94</v>
      </c>
      <c r="F315" s="476" t="s">
        <v>44</v>
      </c>
      <c r="G315" s="135" t="str">
        <f>VLOOKUP(A315,Plano_V3!$A$26:$G$768,7,0)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2321</v>
      </c>
      <c r="V315" s="152"/>
    </row>
    <row r="316" spans="1:22" ht="16.399999999999999" hidden="1" customHeight="1">
      <c r="A316" s="29" t="str">
        <f t="shared" si="6"/>
        <v>PROPERTYPROPERTY_REFERENCE_CODE</v>
      </c>
      <c r="B316" s="141" t="s">
        <v>26</v>
      </c>
      <c r="C316" s="137" t="s">
        <v>54</v>
      </c>
      <c r="D316" s="133" t="s">
        <v>40</v>
      </c>
      <c r="E316" s="134" t="s">
        <v>94</v>
      </c>
      <c r="F316" s="476" t="s">
        <v>45</v>
      </c>
      <c r="G316" s="135" t="str">
        <f>VLOOKUP(A316,Plano_V3!$A$26:$G$768,7,0)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2321</v>
      </c>
      <c r="V316" s="152"/>
    </row>
    <row r="317" spans="1:22" ht="16.399999999999999" hidden="1" customHeight="1">
      <c r="A317" s="29" t="str">
        <f t="shared" si="6"/>
        <v>PROPERTYCADASTRAL_REGISTER_CODE</v>
      </c>
      <c r="B317" s="141" t="s">
        <v>26</v>
      </c>
      <c r="C317" s="137" t="s">
        <v>54</v>
      </c>
      <c r="D317" s="133" t="s">
        <v>40</v>
      </c>
      <c r="E317" s="134" t="s">
        <v>94</v>
      </c>
      <c r="F317" s="476" t="s">
        <v>98</v>
      </c>
      <c r="G317" s="135" t="str">
        <f>VLOOKUP(A317,Plano_V3!$A$26:$G$768,7,0)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2321</v>
      </c>
      <c r="V317" s="152"/>
    </row>
    <row r="318" spans="1:22" ht="16.399999999999999" hidden="1" customHeight="1">
      <c r="A318" s="29" t="str">
        <f t="shared" si="6"/>
        <v>PROPERTYAPPRAISAL_CODE</v>
      </c>
      <c r="B318" s="141" t="s">
        <v>26</v>
      </c>
      <c r="C318" s="137" t="s">
        <v>54</v>
      </c>
      <c r="D318" s="133" t="s">
        <v>40</v>
      </c>
      <c r="E318" s="134" t="s">
        <v>94</v>
      </c>
      <c r="F318" s="476" t="s">
        <v>99</v>
      </c>
      <c r="G318" s="135" t="str">
        <f>VLOOKUP(A318,Plano_V3!$A$26:$G$768,7,0)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2321</v>
      </c>
      <c r="V318" s="152"/>
    </row>
    <row r="319" spans="1:22" ht="16.399999999999999" hidden="1" customHeight="1">
      <c r="A319" s="29" t="str">
        <f t="shared" si="6"/>
        <v>PROPERTYcod_bem</v>
      </c>
      <c r="B319" s="141" t="s">
        <v>26</v>
      </c>
      <c r="C319" s="137" t="s">
        <v>54</v>
      </c>
      <c r="D319" s="133" t="s">
        <v>40</v>
      </c>
      <c r="E319" s="134" t="s">
        <v>94</v>
      </c>
      <c r="F319" s="476" t="s">
        <v>100</v>
      </c>
      <c r="G319" s="135" t="str">
        <f>VLOOKUP(A319,Plano_V3!$A$26:$G$768,7,0)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2321</v>
      </c>
      <c r="V319" s="152"/>
    </row>
    <row r="320" spans="1:22" ht="16.399999999999999" hidden="1" customHeight="1">
      <c r="A320" s="29" t="str">
        <f t="shared" si="6"/>
        <v>PROPERTYDISTRICT_MUNICIP_PARISH_CODE</v>
      </c>
      <c r="B320" s="141" t="s">
        <v>26</v>
      </c>
      <c r="C320" s="137" t="s">
        <v>54</v>
      </c>
      <c r="D320" s="133" t="s">
        <v>40</v>
      </c>
      <c r="E320" s="134" t="s">
        <v>94</v>
      </c>
      <c r="F320" s="476" t="s">
        <v>101</v>
      </c>
      <c r="G320" s="135" t="str">
        <f>VLOOKUP(A320,Plano_V3!$A$26:$G$768,7,0)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2321</v>
      </c>
      <c r="V320" s="152"/>
    </row>
    <row r="321" spans="1:22" ht="16.399999999999999" hidden="1" customHeight="1">
      <c r="A321" s="29" t="str">
        <f t="shared" si="6"/>
        <v>PROPERTYPROPERTY_PURPOSE_CODE</v>
      </c>
      <c r="B321" s="141" t="s">
        <v>26</v>
      </c>
      <c r="C321" s="137" t="s">
        <v>54</v>
      </c>
      <c r="D321" s="133" t="s">
        <v>40</v>
      </c>
      <c r="E321" s="134" t="s">
        <v>94</v>
      </c>
      <c r="F321" s="476" t="s">
        <v>102</v>
      </c>
      <c r="G321" s="135" t="str">
        <f>VLOOKUP(A321,Plano_V3!$A$26:$G$768,7,0)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2321</v>
      </c>
      <c r="V321" s="152"/>
    </row>
    <row r="322" spans="1:22" ht="16.399999999999999" hidden="1" customHeight="1">
      <c r="A322" s="29" t="str">
        <f t="shared" si="6"/>
        <v>PROPERTYPROPERTY_LIFETIME_CODE</v>
      </c>
      <c r="B322" s="141" t="s">
        <v>26</v>
      </c>
      <c r="C322" s="137" t="s">
        <v>54</v>
      </c>
      <c r="D322" s="133" t="s">
        <v>40</v>
      </c>
      <c r="E322" s="134" t="s">
        <v>94</v>
      </c>
      <c r="F322" s="476" t="s">
        <v>103</v>
      </c>
      <c r="G322" s="135" t="str">
        <f>VLOOKUP(A322,Plano_V3!$A$26:$G$768,7,0)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2321</v>
      </c>
      <c r="V322" s="152"/>
    </row>
    <row r="323" spans="1:22" ht="16.399999999999999" hidden="1" customHeight="1">
      <c r="A323" s="29" t="str">
        <f t="shared" si="6"/>
        <v>PROPERTYADDRESS_CODE</v>
      </c>
      <c r="B323" s="141" t="s">
        <v>26</v>
      </c>
      <c r="C323" s="137" t="s">
        <v>54</v>
      </c>
      <c r="D323" s="133" t="s">
        <v>40</v>
      </c>
      <c r="E323" s="134" t="s">
        <v>94</v>
      </c>
      <c r="F323" s="476" t="s">
        <v>104</v>
      </c>
      <c r="G323" s="135" t="str">
        <f>VLOOKUP(A323,Plano_V3!$A$26:$G$768,7,0)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2321</v>
      </c>
      <c r="V323" s="152"/>
    </row>
    <row r="324" spans="1:22" ht="16.399999999999999" hidden="1" customHeight="1">
      <c r="A324" s="29" t="str">
        <f t="shared" si="6"/>
        <v>PROPERTYCOUNTRY_CODE</v>
      </c>
      <c r="B324" s="141" t="s">
        <v>26</v>
      </c>
      <c r="C324" s="137" t="s">
        <v>54</v>
      </c>
      <c r="D324" s="133" t="s">
        <v>40</v>
      </c>
      <c r="E324" s="134" t="s">
        <v>94</v>
      </c>
      <c r="F324" s="476" t="s">
        <v>105</v>
      </c>
      <c r="G324" s="135" t="str">
        <f>VLOOKUP(A324,Plano_V3!$A$26:$G$768,7,0)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2321</v>
      </c>
      <c r="V324" s="152"/>
    </row>
    <row r="325" spans="1:22" ht="16.399999999999999" hidden="1" customHeight="1">
      <c r="A325" s="29" t="str">
        <f t="shared" si="6"/>
        <v>PROPERTYPOSTAL_CODE</v>
      </c>
      <c r="B325" s="141" t="s">
        <v>26</v>
      </c>
      <c r="C325" s="137" t="s">
        <v>54</v>
      </c>
      <c r="D325" s="133" t="s">
        <v>40</v>
      </c>
      <c r="E325" s="134" t="s">
        <v>94</v>
      </c>
      <c r="F325" s="476" t="s">
        <v>106</v>
      </c>
      <c r="G325" s="135" t="str">
        <f>VLOOKUP(A325,Plano_V3!$A$26:$G$768,7,0)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2321</v>
      </c>
      <c r="V325" s="152"/>
    </row>
    <row r="326" spans="1:22" ht="16.399999999999999" hidden="1" customHeight="1">
      <c r="A326" s="29" t="str">
        <f t="shared" si="6"/>
        <v>PROPERTYPROPERTY_TYPE_CODE</v>
      </c>
      <c r="B326" s="141" t="s">
        <v>26</v>
      </c>
      <c r="C326" s="137" t="s">
        <v>54</v>
      </c>
      <c r="D326" s="133" t="s">
        <v>40</v>
      </c>
      <c r="E326" s="134" t="s">
        <v>94</v>
      </c>
      <c r="F326" s="476" t="s">
        <v>107</v>
      </c>
      <c r="G326" s="135" t="str">
        <f>VLOOKUP(A326,Plano_V3!$A$26:$G$768,7,0)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2321</v>
      </c>
      <c r="V326" s="152"/>
    </row>
    <row r="327" spans="1:22" ht="16.399999999999999" hidden="1" customHeight="1">
      <c r="A327" s="29" t="str">
        <f t="shared" si="6"/>
        <v>PROPERTYLAST_APPRAISAL_DATE</v>
      </c>
      <c r="B327" s="141" t="s">
        <v>26</v>
      </c>
      <c r="C327" s="137" t="s">
        <v>54</v>
      </c>
      <c r="D327" s="133" t="s">
        <v>40</v>
      </c>
      <c r="E327" s="134" t="s">
        <v>94</v>
      </c>
      <c r="F327" s="476" t="s">
        <v>108</v>
      </c>
      <c r="G327" s="135" t="str">
        <f>VLOOKUP(A327,Plano_V3!$A$26:$G$768,7,0)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2321</v>
      </c>
      <c r="V327" s="152"/>
    </row>
    <row r="328" spans="1:22" ht="16.399999999999999" hidden="1" customHeight="1">
      <c r="A328" s="29" t="str">
        <f t="shared" si="6"/>
        <v>PROPERTYUSAGE_PERMIT_START_DATE</v>
      </c>
      <c r="B328" s="141" t="s">
        <v>26</v>
      </c>
      <c r="C328" s="137" t="s">
        <v>54</v>
      </c>
      <c r="D328" s="133" t="s">
        <v>40</v>
      </c>
      <c r="E328" s="134" t="s">
        <v>94</v>
      </c>
      <c r="F328" s="476" t="s">
        <v>109</v>
      </c>
      <c r="G328" s="135" t="str">
        <f>VLOOKUP(A328,Plano_V3!$A$26:$G$768,7,0)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2321</v>
      </c>
      <c r="V328" s="152"/>
    </row>
    <row r="329" spans="1:22" ht="16.399999999999999" hidden="1" customHeight="1">
      <c r="A329" s="29" t="str">
        <f t="shared" si="6"/>
        <v>PROPERTYCONSERVATORY_REG_FILE_ID</v>
      </c>
      <c r="B329" s="141" t="s">
        <v>26</v>
      </c>
      <c r="C329" s="137" t="s">
        <v>54</v>
      </c>
      <c r="D329" s="133" t="s">
        <v>40</v>
      </c>
      <c r="E329" s="134" t="s">
        <v>94</v>
      </c>
      <c r="F329" s="476" t="s">
        <v>110</v>
      </c>
      <c r="G329" s="135" t="str">
        <f>VLOOKUP(A329,Plano_V3!$A$26:$G$768,7,0)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2321</v>
      </c>
      <c r="V329" s="152"/>
    </row>
    <row r="330" spans="1:22" ht="16.399999999999999" hidden="1" customHeight="1">
      <c r="A330" s="29" t="str">
        <f t="shared" si="6"/>
        <v>PROPERTYFLOOR_NUMBER</v>
      </c>
      <c r="B330" s="141" t="s">
        <v>26</v>
      </c>
      <c r="C330" s="137" t="s">
        <v>54</v>
      </c>
      <c r="D330" s="133" t="s">
        <v>40</v>
      </c>
      <c r="E330" s="134" t="s">
        <v>94</v>
      </c>
      <c r="F330" s="476" t="s">
        <v>111</v>
      </c>
      <c r="G330" s="135" t="str">
        <f>VLOOKUP(A330,Plano_V3!$A$26:$G$768,7,0)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2321</v>
      </c>
      <c r="V330" s="152"/>
    </row>
    <row r="331" spans="1:22" ht="16.399999999999999" hidden="1" customHeight="1">
      <c r="A331" s="29" t="str">
        <f t="shared" ref="A331:A394" si="7">E331&amp;F331</f>
        <v>PROPERTYLOCALITY</v>
      </c>
      <c r="B331" s="141" t="s">
        <v>26</v>
      </c>
      <c r="C331" s="137" t="s">
        <v>54</v>
      </c>
      <c r="D331" s="133" t="s">
        <v>40</v>
      </c>
      <c r="E331" s="134" t="s">
        <v>94</v>
      </c>
      <c r="F331" s="476" t="s">
        <v>112</v>
      </c>
      <c r="G331" s="135" t="str">
        <f>VLOOKUP(A331,Plano_V3!$A$26:$G$768,7,0)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2321</v>
      </c>
      <c r="V331" s="152"/>
    </row>
    <row r="332" spans="1:22" ht="16.399999999999999" hidden="1" customHeight="1">
      <c r="A332" s="29" t="str">
        <f t="shared" si="7"/>
        <v>PROPERTYPROPERTY_LOT</v>
      </c>
      <c r="B332" s="141" t="s">
        <v>26</v>
      </c>
      <c r="C332" s="137" t="s">
        <v>54</v>
      </c>
      <c r="D332" s="133" t="s">
        <v>40</v>
      </c>
      <c r="E332" s="134" t="s">
        <v>94</v>
      </c>
      <c r="F332" s="476" t="s">
        <v>113</v>
      </c>
      <c r="G332" s="135" t="str">
        <f>VLOOKUP(A332,Plano_V3!$A$26:$G$768,7,0)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2321</v>
      </c>
      <c r="V332" s="152"/>
    </row>
    <row r="333" spans="1:22" ht="16.399999999999999" hidden="1" customHeight="1">
      <c r="A333" s="29" t="str">
        <f t="shared" si="7"/>
        <v>PROPERTYLAST_APPRAISAL_AMOUNT</v>
      </c>
      <c r="B333" s="141" t="s">
        <v>26</v>
      </c>
      <c r="C333" s="137" t="s">
        <v>54</v>
      </c>
      <c r="D333" s="133" t="s">
        <v>40</v>
      </c>
      <c r="E333" s="134" t="s">
        <v>94</v>
      </c>
      <c r="F333" s="476" t="s">
        <v>114</v>
      </c>
      <c r="G333" s="135" t="str">
        <f>VLOOKUP(A333,Plano_V3!$A$26:$G$768,7,0)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2321</v>
      </c>
      <c r="V333" s="152"/>
    </row>
    <row r="334" spans="1:22" ht="16.399999999999999" hidden="1" customHeight="1">
      <c r="A334" s="29" t="str">
        <f t="shared" si="7"/>
        <v>PROPERTYNET_APPRAISAL_AMOUNT</v>
      </c>
      <c r="B334" s="141" t="s">
        <v>26</v>
      </c>
      <c r="C334" s="137" t="s">
        <v>54</v>
      </c>
      <c r="D334" s="133" t="s">
        <v>40</v>
      </c>
      <c r="E334" s="134" t="s">
        <v>94</v>
      </c>
      <c r="F334" s="476" t="s">
        <v>115</v>
      </c>
      <c r="G334" s="135" t="str">
        <f>VLOOKUP(A334,Plano_V3!$A$26:$G$768,7,0)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2321</v>
      </c>
      <c r="V334" s="152"/>
    </row>
    <row r="335" spans="1:22" ht="16.399999999999999" hidden="1" customHeight="1">
      <c r="A335" s="29" t="str">
        <f t="shared" si="7"/>
        <v>PROPERTYCOLLATERAL_FAST_SALE_AMOUNT</v>
      </c>
      <c r="B335" s="141" t="s">
        <v>26</v>
      </c>
      <c r="C335" s="137" t="s">
        <v>54</v>
      </c>
      <c r="D335" s="133" t="s">
        <v>40</v>
      </c>
      <c r="E335" s="134" t="s">
        <v>94</v>
      </c>
      <c r="F335" s="476" t="s">
        <v>116</v>
      </c>
      <c r="G335" s="135" t="str">
        <f>VLOOKUP(A335,Plano_V3!$A$26:$G$768,7,0)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2321</v>
      </c>
      <c r="V335" s="152"/>
    </row>
    <row r="336" spans="1:22" ht="16.399999999999999" hidden="1" customHeight="1">
      <c r="A336" s="29" t="str">
        <f t="shared" si="7"/>
        <v>PROPERTYADDRESS</v>
      </c>
      <c r="B336" s="141" t="s">
        <v>26</v>
      </c>
      <c r="C336" s="137" t="s">
        <v>54</v>
      </c>
      <c r="D336" s="133" t="s">
        <v>40</v>
      </c>
      <c r="E336" s="134" t="s">
        <v>94</v>
      </c>
      <c r="F336" s="476" t="s">
        <v>117</v>
      </c>
      <c r="G336" s="135" t="str">
        <f>VLOOKUP(A336,Plano_V3!$A$26:$G$768,7,0)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2321</v>
      </c>
      <c r="V336" s="152"/>
    </row>
    <row r="337" spans="1:22" ht="16.399999999999999" hidden="1" customHeight="1">
      <c r="A337" s="29" t="str">
        <f t="shared" si="7"/>
        <v>PROPERTYPROPERTY_NUMBER</v>
      </c>
      <c r="B337" s="141" t="s">
        <v>26</v>
      </c>
      <c r="C337" s="137" t="s">
        <v>54</v>
      </c>
      <c r="D337" s="133" t="s">
        <v>40</v>
      </c>
      <c r="E337" s="134" t="s">
        <v>94</v>
      </c>
      <c r="F337" s="476" t="s">
        <v>118</v>
      </c>
      <c r="G337" s="135" t="str">
        <f>VLOOKUP(A337,Plano_V3!$A$26:$G$768,7,0)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2321</v>
      </c>
      <c r="V337" s="152"/>
    </row>
    <row r="338" spans="1:22" ht="16.399999999999999" hidden="1" customHeight="1">
      <c r="A338" s="29" t="str">
        <f t="shared" si="7"/>
        <v>PROPERTYOrigem</v>
      </c>
      <c r="B338" s="141" t="s">
        <v>26</v>
      </c>
      <c r="C338" s="137" t="s">
        <v>54</v>
      </c>
      <c r="D338" s="133" t="s">
        <v>40</v>
      </c>
      <c r="E338" s="134" t="s">
        <v>94</v>
      </c>
      <c r="F338" s="476" t="s">
        <v>119</v>
      </c>
      <c r="G338" s="135" t="str">
        <f>VLOOKUP(A338,Plano_V3!$A$26:$G$768,7,0)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2321</v>
      </c>
      <c r="V338" s="152"/>
    </row>
    <row r="339" spans="1:22" ht="16.399999999999999" hidden="1" customHeight="1">
      <c r="A339" s="29" t="str">
        <f t="shared" si="7"/>
        <v>PROPERTYCURRENT_CONSTRUCTION_PCT</v>
      </c>
      <c r="B339" s="141" t="s">
        <v>26</v>
      </c>
      <c r="C339" s="137" t="s">
        <v>54</v>
      </c>
      <c r="D339" s="133" t="s">
        <v>40</v>
      </c>
      <c r="E339" s="134" t="s">
        <v>94</v>
      </c>
      <c r="F339" s="476" t="s">
        <v>120</v>
      </c>
      <c r="G339" s="135" t="str">
        <f>VLOOKUP(A339,Plano_V3!$A$26:$G$768,7,0)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2321</v>
      </c>
      <c r="V339" s="152"/>
    </row>
    <row r="340" spans="1:22" ht="16.399999999999999" hidden="1" customHeight="1">
      <c r="A340" s="29" t="str">
        <f t="shared" si="7"/>
        <v>PROPERTYCONSTRUCTION_COMPLETED_PCT</v>
      </c>
      <c r="B340" s="141" t="s">
        <v>26</v>
      </c>
      <c r="C340" s="137" t="s">
        <v>54</v>
      </c>
      <c r="D340" s="133" t="s">
        <v>40</v>
      </c>
      <c r="E340" s="134" t="s">
        <v>94</v>
      </c>
      <c r="F340" s="476" t="s">
        <v>121</v>
      </c>
      <c r="G340" s="135" t="str">
        <f>VLOOKUP(A340,Plano_V3!$A$26:$G$768,7,0)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2321</v>
      </c>
      <c r="V340" s="152"/>
    </row>
    <row r="341" spans="1:22" ht="16.399999999999999" hidden="1" customHeight="1">
      <c r="A341" s="29" t="str">
        <f t="shared" si="7"/>
        <v>PROPERTYDATA_DATE_PART</v>
      </c>
      <c r="B341" s="141" t="s">
        <v>26</v>
      </c>
      <c r="C341" s="137" t="s">
        <v>54</v>
      </c>
      <c r="D341" s="133" t="s">
        <v>40</v>
      </c>
      <c r="E341" s="134" t="s">
        <v>94</v>
      </c>
      <c r="F341" s="476" t="s">
        <v>73</v>
      </c>
      <c r="G341" s="135" t="str">
        <f>VLOOKUP(A341,Plano_V3!$A$26:$G$768,7,0)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2321</v>
      </c>
      <c r="V341" s="152"/>
    </row>
    <row r="342" spans="1:22" ht="16.399999999999999" hidden="1" customHeight="1">
      <c r="A342" s="29" t="str">
        <f t="shared" si="7"/>
        <v>PROPERTYPROPERTY_CODE</v>
      </c>
      <c r="B342" s="141" t="s">
        <v>26</v>
      </c>
      <c r="C342" s="137" t="s">
        <v>54</v>
      </c>
      <c r="D342" s="133" t="s">
        <v>40</v>
      </c>
      <c r="E342" s="134" t="s">
        <v>94</v>
      </c>
      <c r="F342" s="476" t="s">
        <v>2162</v>
      </c>
      <c r="G342" s="135" t="str">
        <f>VLOOKUP(A342,Plano_V3!$A$26:$G$768,7,0)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2321</v>
      </c>
      <c r="V342" s="152"/>
    </row>
    <row r="343" spans="1:22" ht="16.399999999999999" hidden="1" customHeight="1">
      <c r="A343" s="29" t="str">
        <f t="shared" si="7"/>
        <v>PROPERTYURBANIZATION</v>
      </c>
      <c r="B343" s="141" t="s">
        <v>26</v>
      </c>
      <c r="C343" s="137" t="s">
        <v>54</v>
      </c>
      <c r="D343" s="133" t="s">
        <v>40</v>
      </c>
      <c r="E343" s="134" t="s">
        <v>94</v>
      </c>
      <c r="F343" s="476" t="s">
        <v>122</v>
      </c>
      <c r="G343" s="135" t="str">
        <f>VLOOKUP(A343,Plano_V3!$A$26:$G$768,7,0)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2321</v>
      </c>
      <c r="V343" s="152"/>
    </row>
    <row r="344" spans="1:22" ht="16.399999999999999" hidden="1" customHeight="1">
      <c r="A344" s="29" t="str">
        <f t="shared" si="7"/>
        <v>PROPERTY_ENERGY_CERTIFICATEn.a.</v>
      </c>
      <c r="B344" s="141" t="s">
        <v>26</v>
      </c>
      <c r="C344" s="137" t="s">
        <v>54</v>
      </c>
      <c r="D344" s="133" t="s">
        <v>36</v>
      </c>
      <c r="E344" s="134" t="s">
        <v>123</v>
      </c>
      <c r="F344" s="476" t="s">
        <v>38</v>
      </c>
      <c r="G344" s="135" t="str">
        <f>VLOOKUP(A344,Plano_V3!$A$26:$G$768,7,0)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2321</v>
      </c>
      <c r="V344" s="152"/>
    </row>
    <row r="345" spans="1:22" ht="16.399999999999999" hidden="1" customHeight="1">
      <c r="A345" s="29" t="str">
        <f t="shared" si="7"/>
        <v>PROPERTY_ENERGY_CERTIFICATEPROPERTY_BANK_ID</v>
      </c>
      <c r="B345" s="141" t="s">
        <v>26</v>
      </c>
      <c r="C345" s="137" t="s">
        <v>54</v>
      </c>
      <c r="D345" s="133" t="s">
        <v>40</v>
      </c>
      <c r="E345" s="134" t="s">
        <v>123</v>
      </c>
      <c r="F345" s="476" t="s">
        <v>41</v>
      </c>
      <c r="G345" s="135" t="str">
        <f>VLOOKUP(A345,Plano_V3!$A$26:$G$768,7,0)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2321</v>
      </c>
      <c r="V345" s="152"/>
    </row>
    <row r="346" spans="1:22" ht="16.399999999999999" hidden="1" customHeight="1">
      <c r="A346" s="29" t="str">
        <f t="shared" si="7"/>
        <v>PROPERTY_ENERGY_CERTIFICATEPROPERTY_BRANCH_CODE</v>
      </c>
      <c r="B346" s="141" t="s">
        <v>26</v>
      </c>
      <c r="C346" s="137" t="s">
        <v>54</v>
      </c>
      <c r="D346" s="133" t="s">
        <v>40</v>
      </c>
      <c r="E346" s="134" t="s">
        <v>123</v>
      </c>
      <c r="F346" s="476" t="s">
        <v>43</v>
      </c>
      <c r="G346" s="135" t="str">
        <f>VLOOKUP(A346,Plano_V3!$A$26:$G$768,7,0)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2321</v>
      </c>
      <c r="V346" s="152"/>
    </row>
    <row r="347" spans="1:22" ht="16.399999999999999" hidden="1" customHeight="1">
      <c r="A347" s="29" t="str">
        <f t="shared" si="7"/>
        <v>PROPERTY_ENERGY_CERTIFICATEPROPERTY_CONTRACT_ID</v>
      </c>
      <c r="B347" s="141" t="s">
        <v>26</v>
      </c>
      <c r="C347" s="137" t="s">
        <v>54</v>
      </c>
      <c r="D347" s="133" t="s">
        <v>40</v>
      </c>
      <c r="E347" s="134" t="s">
        <v>123</v>
      </c>
      <c r="F347" s="476" t="s">
        <v>44</v>
      </c>
      <c r="G347" s="135" t="str">
        <f>VLOOKUP(A347,Plano_V3!$A$26:$G$768,7,0)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2321</v>
      </c>
      <c r="V347" s="152"/>
    </row>
    <row r="348" spans="1:22" ht="16.399999999999999" hidden="1" customHeight="1">
      <c r="A348" s="29" t="str">
        <f t="shared" si="7"/>
        <v>PROPERTY_ENERGY_CERTIFICATEPROPERTY_REFERENCE_CODE</v>
      </c>
      <c r="B348" s="141" t="s">
        <v>26</v>
      </c>
      <c r="C348" s="137" t="s">
        <v>54</v>
      </c>
      <c r="D348" s="133" t="s">
        <v>40</v>
      </c>
      <c r="E348" s="134" t="s">
        <v>123</v>
      </c>
      <c r="F348" s="476" t="s">
        <v>45</v>
      </c>
      <c r="G348" s="135" t="str">
        <f>VLOOKUP(A348,Plano_V3!$A$26:$G$768,7,0)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2321</v>
      </c>
      <c r="V348" s="152"/>
    </row>
    <row r="349" spans="1:22" ht="16.399999999999999" hidden="1" customHeight="1">
      <c r="A349" s="29" t="str">
        <f t="shared" si="7"/>
        <v>PROPERTY_ENERGY_CERTIFICATELAND_REGISTRY_OFFICE_CODE</v>
      </c>
      <c r="B349" s="141" t="s">
        <v>26</v>
      </c>
      <c r="C349" s="137" t="s">
        <v>54</v>
      </c>
      <c r="D349" s="133" t="s">
        <v>40</v>
      </c>
      <c r="E349" s="134" t="s">
        <v>123</v>
      </c>
      <c r="F349" s="476" t="s">
        <v>125</v>
      </c>
      <c r="G349" s="135" t="str">
        <f>VLOOKUP(A349,Plano_V3!$A$26:$G$768,7,0)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2321</v>
      </c>
      <c r="V349" s="152"/>
    </row>
    <row r="350" spans="1:22" ht="16.399999999999999" hidden="1" customHeight="1">
      <c r="A350" s="29" t="str">
        <f t="shared" si="7"/>
        <v>PROPERTY_ENERGY_CERTIFICATEPROPERTY_IDENTIFICATION_CODE</v>
      </c>
      <c r="B350" s="141" t="s">
        <v>26</v>
      </c>
      <c r="C350" s="137" t="s">
        <v>54</v>
      </c>
      <c r="D350" s="133" t="s">
        <v>40</v>
      </c>
      <c r="E350" s="134" t="s">
        <v>123</v>
      </c>
      <c r="F350" s="476" t="s">
        <v>126</v>
      </c>
      <c r="G350" s="135" t="str">
        <f>VLOOKUP(A350,Plano_V3!$A$26:$G$768,7,0)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2321</v>
      </c>
      <c r="V350" s="152"/>
    </row>
    <row r="351" spans="1:22" ht="16.399999999999999" hidden="1" customHeight="1">
      <c r="A351" s="29" t="str">
        <f t="shared" si="7"/>
        <v>PROPERTY_ENERGY_CERTIFICATEENERGY_CERTIFICATION_SYSTEM_CODE</v>
      </c>
      <c r="B351" s="141" t="s">
        <v>26</v>
      </c>
      <c r="C351" s="137" t="s">
        <v>54</v>
      </c>
      <c r="D351" s="133" t="s">
        <v>40</v>
      </c>
      <c r="E351" s="134" t="s">
        <v>123</v>
      </c>
      <c r="F351" s="476" t="s">
        <v>127</v>
      </c>
      <c r="G351" s="135" t="str">
        <f>VLOOKUP(A351,Plano_V3!$A$26:$G$768,7,0)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2321</v>
      </c>
      <c r="V351" s="152"/>
    </row>
    <row r="352" spans="1:22" ht="16.399999999999999" hidden="1" customHeight="1">
      <c r="A352" s="29" t="str">
        <f t="shared" si="7"/>
        <v>PROPERTY_ENERGY_CERTIFICATEEPC_ISSUING_DATE</v>
      </c>
      <c r="B352" s="141" t="s">
        <v>26</v>
      </c>
      <c r="C352" s="137" t="s">
        <v>54</v>
      </c>
      <c r="D352" s="133" t="s">
        <v>40</v>
      </c>
      <c r="E352" s="134" t="s">
        <v>123</v>
      </c>
      <c r="F352" s="476" t="s">
        <v>128</v>
      </c>
      <c r="G352" s="135" t="str">
        <f>VLOOKUP(A352,Plano_V3!$A$26:$G$768,7,0)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2321</v>
      </c>
      <c r="V352" s="152"/>
    </row>
    <row r="353" spans="1:22" ht="16.399999999999999" hidden="1" customHeight="1">
      <c r="A353" s="29" t="str">
        <f t="shared" si="7"/>
        <v>PROPERTY_ENERGY_CERTIFICATEEPC_EXPIRATION_DATE</v>
      </c>
      <c r="B353" s="141" t="s">
        <v>26</v>
      </c>
      <c r="C353" s="137" t="s">
        <v>54</v>
      </c>
      <c r="D353" s="133" t="s">
        <v>40</v>
      </c>
      <c r="E353" s="134" t="s">
        <v>123</v>
      </c>
      <c r="F353" s="476" t="s">
        <v>129</v>
      </c>
      <c r="G353" s="135" t="str">
        <f>VLOOKUP(A353,Plano_V3!$A$26:$G$768,7,0)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2321</v>
      </c>
      <c r="V353" s="152"/>
    </row>
    <row r="354" spans="1:22" ht="16.399999999999999" hidden="1" customHeight="1">
      <c r="A354" s="29" t="str">
        <f t="shared" si="7"/>
        <v>PROPERTY_ENERGY_CERTIFICATEENERGY_CONSUMPTION_TYPE_S_IND</v>
      </c>
      <c r="B354" s="141" t="s">
        <v>26</v>
      </c>
      <c r="C354" s="137" t="s">
        <v>54</v>
      </c>
      <c r="D354" s="133" t="s">
        <v>40</v>
      </c>
      <c r="E354" s="134" t="s">
        <v>123</v>
      </c>
      <c r="F354" s="476" t="s">
        <v>130</v>
      </c>
      <c r="G354" s="135" t="str">
        <f>VLOOKUP(A354,Plano_V3!$A$26:$G$768,7,0)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2321</v>
      </c>
      <c r="V354" s="152"/>
    </row>
    <row r="355" spans="1:22" ht="16.399999999999999" hidden="1" customHeight="1">
      <c r="A355" s="29" t="str">
        <f t="shared" si="7"/>
        <v>PROPERTY_ENERGY_CERTIFICATEENERGY_CONSUMPTION_TYPE_T_IND</v>
      </c>
      <c r="B355" s="141" t="s">
        <v>26</v>
      </c>
      <c r="C355" s="137" t="s">
        <v>54</v>
      </c>
      <c r="D355" s="133" t="s">
        <v>40</v>
      </c>
      <c r="E355" s="134" t="s">
        <v>123</v>
      </c>
      <c r="F355" s="476" t="s">
        <v>131</v>
      </c>
      <c r="G355" s="135" t="str">
        <f>VLOOKUP(A355,Plano_V3!$A$26:$G$768,7,0)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2321</v>
      </c>
      <c r="V355" s="152"/>
    </row>
    <row r="356" spans="1:22" ht="16.399999999999999" hidden="1" customHeight="1">
      <c r="A356" s="29" t="str">
        <f t="shared" si="7"/>
        <v>PROPERTY_ENERGY_CERTIFICATEENERGY_EFFICIENCY_IND</v>
      </c>
      <c r="B356" s="141" t="s">
        <v>26</v>
      </c>
      <c r="C356" s="137" t="s">
        <v>54</v>
      </c>
      <c r="D356" s="133" t="s">
        <v>40</v>
      </c>
      <c r="E356" s="134" t="s">
        <v>123</v>
      </c>
      <c r="F356" s="476" t="s">
        <v>132</v>
      </c>
      <c r="G356" s="135" t="str">
        <f>VLOOKUP(A356,Plano_V3!$A$26:$G$768,7,0)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2321</v>
      </c>
      <c r="V356" s="152"/>
    </row>
    <row r="357" spans="1:22" ht="16.399999999999999" hidden="1" customHeight="1">
      <c r="A357" s="29" t="str">
        <f t="shared" si="7"/>
        <v>PROPERTY_ENERGY_CERTIFICATEREN_ENERGY_EFFICIENCY_IND</v>
      </c>
      <c r="B357" s="141" t="s">
        <v>26</v>
      </c>
      <c r="C357" s="137" t="s">
        <v>54</v>
      </c>
      <c r="D357" s="133" t="s">
        <v>40</v>
      </c>
      <c r="E357" s="134" t="s">
        <v>123</v>
      </c>
      <c r="F357" s="476" t="s">
        <v>133</v>
      </c>
      <c r="G357" s="135" t="str">
        <f>VLOOKUP(A357,Plano_V3!$A$26:$G$768,7,0)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2321</v>
      </c>
      <c r="V357" s="152"/>
    </row>
    <row r="358" spans="1:22" ht="16.399999999999999" hidden="1" customHeight="1">
      <c r="A358" s="29" t="str">
        <f t="shared" si="7"/>
        <v>PROPERTY_ENERGY_CERTIFICATENZEB_IND</v>
      </c>
      <c r="B358" s="141" t="s">
        <v>26</v>
      </c>
      <c r="C358" s="137" t="s">
        <v>54</v>
      </c>
      <c r="D358" s="133" t="s">
        <v>40</v>
      </c>
      <c r="E358" s="134" t="s">
        <v>123</v>
      </c>
      <c r="F358" s="476" t="s">
        <v>134</v>
      </c>
      <c r="G358" s="135" t="str">
        <f>VLOOKUP(A358,Plano_V3!$A$26:$G$768,7,0)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2321</v>
      </c>
      <c r="V358" s="152"/>
    </row>
    <row r="359" spans="1:22" ht="16.399999999999999" hidden="1" customHeight="1">
      <c r="A359" s="29" t="str">
        <f t="shared" si="7"/>
        <v>PROPERTY_ENERGY_CERTIFICATEQUALITY_SCORE</v>
      </c>
      <c r="B359" s="141" t="s">
        <v>26</v>
      </c>
      <c r="C359" s="137" t="s">
        <v>54</v>
      </c>
      <c r="D359" s="133" t="s">
        <v>40</v>
      </c>
      <c r="E359" s="134" t="s">
        <v>123</v>
      </c>
      <c r="F359" s="476" t="s">
        <v>50</v>
      </c>
      <c r="G359" s="135" t="str">
        <f>VLOOKUP(A359,Plano_V3!$A$26:$G$768,7,0)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2321</v>
      </c>
      <c r="V359" s="152"/>
    </row>
    <row r="360" spans="1:22" ht="16.399999999999999" hidden="1" customHeight="1">
      <c r="A360" s="29" t="str">
        <f t="shared" si="7"/>
        <v>PROPERTY_ENERGY_CERTIFICATESOURCE_CODE</v>
      </c>
      <c r="B360" s="141" t="s">
        <v>26</v>
      </c>
      <c r="C360" s="137" t="s">
        <v>54</v>
      </c>
      <c r="D360" s="133" t="s">
        <v>40</v>
      </c>
      <c r="E360" s="134" t="s">
        <v>123</v>
      </c>
      <c r="F360" s="476" t="s">
        <v>87</v>
      </c>
      <c r="G360" s="135" t="str">
        <f>VLOOKUP(A360,Plano_V3!$A$26:$G$768,7,0)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2321</v>
      </c>
      <c r="V360" s="152"/>
    </row>
    <row r="361" spans="1:22" ht="16.399999999999999" hidden="1" customHeight="1">
      <c r="A361" s="29" t="str">
        <f t="shared" si="7"/>
        <v>PROPERTY_ENERGY_CERTIFICATEDATA_DATE_PART</v>
      </c>
      <c r="B361" s="141" t="s">
        <v>26</v>
      </c>
      <c r="C361" s="137" t="s">
        <v>54</v>
      </c>
      <c r="D361" s="133" t="s">
        <v>40</v>
      </c>
      <c r="E361" s="134" t="s">
        <v>123</v>
      </c>
      <c r="F361" s="476" t="s">
        <v>73</v>
      </c>
      <c r="G361" s="135" t="str">
        <f>VLOOKUP(A361,Plano_V3!$A$26:$G$768,7,0)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2321</v>
      </c>
      <c r="V361" s="152"/>
    </row>
    <row r="362" spans="1:22" ht="16.399999999999999" hidden="1" customHeight="1">
      <c r="A362" s="29" t="str">
        <f t="shared" si="7"/>
        <v>PROPERTY_ENERGY_CERTIFICATECERTIFICATE_TYPE</v>
      </c>
      <c r="B362" s="141" t="s">
        <v>26</v>
      </c>
      <c r="C362" s="137" t="s">
        <v>54</v>
      </c>
      <c r="D362" s="133" t="s">
        <v>40</v>
      </c>
      <c r="E362" s="134" t="s">
        <v>123</v>
      </c>
      <c r="F362" s="476" t="s">
        <v>136</v>
      </c>
      <c r="G362" s="135" t="str">
        <f>VLOOKUP(A362,Plano_V3!$A$26:$G$768,7,0)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2321</v>
      </c>
      <c r="V362" s="152"/>
    </row>
    <row r="363" spans="1:22" ht="16.399999999999999" hidden="1" customHeight="1">
      <c r="A363" s="29" t="str">
        <f t="shared" si="7"/>
        <v>PROPERTY_ENERGY_CERTIFICATEBUILDING_DOMEST_HOTWATER_VALUE</v>
      </c>
      <c r="B363" s="141" t="s">
        <v>26</v>
      </c>
      <c r="C363" s="137" t="s">
        <v>54</v>
      </c>
      <c r="D363" s="133" t="s">
        <v>40</v>
      </c>
      <c r="E363" s="134" t="s">
        <v>123</v>
      </c>
      <c r="F363" s="476" t="s">
        <v>137</v>
      </c>
      <c r="G363" s="135" t="str">
        <f>VLOOKUP(A363,Plano_V3!$A$26:$G$768,7,0)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2321</v>
      </c>
      <c r="V363" s="152"/>
    </row>
    <row r="364" spans="1:22" ht="16.399999999999999" hidden="1" customHeight="1">
      <c r="A364" s="29" t="str">
        <f t="shared" si="7"/>
        <v>PROPERTY_ENERGY_CERTIFICATERENEWABLE_DOMEST_HOTWATER_VALUE</v>
      </c>
      <c r="B364" s="141" t="s">
        <v>26</v>
      </c>
      <c r="C364" s="137" t="s">
        <v>54</v>
      </c>
      <c r="D364" s="133" t="s">
        <v>40</v>
      </c>
      <c r="E364" s="134" t="s">
        <v>123</v>
      </c>
      <c r="F364" s="476" t="s">
        <v>138</v>
      </c>
      <c r="G364" s="135" t="str">
        <f>VLOOKUP(A364,Plano_V3!$A$26:$G$768,7,0)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2321</v>
      </c>
      <c r="V364" s="152"/>
    </row>
    <row r="365" spans="1:22" ht="16.399999999999999" hidden="1" customHeight="1">
      <c r="A365" s="29" t="str">
        <f t="shared" si="7"/>
        <v>PROPERTY_ENERGY_CERTIFICATEDOMEST_HOTWATER_REF_VALUE</v>
      </c>
      <c r="B365" s="141" t="s">
        <v>26</v>
      </c>
      <c r="C365" s="137" t="s">
        <v>54</v>
      </c>
      <c r="D365" s="133" t="s">
        <v>40</v>
      </c>
      <c r="E365" s="134" t="s">
        <v>123</v>
      </c>
      <c r="F365" s="476" t="s">
        <v>139</v>
      </c>
      <c r="G365" s="135" t="str">
        <f>VLOOKUP(A365,Plano_V3!$A$26:$G$768,7,0)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2321</v>
      </c>
      <c r="V365" s="152"/>
    </row>
    <row r="366" spans="1:22" ht="16.399999999999999" hidden="1" customHeight="1">
      <c r="A366" s="29" t="str">
        <f t="shared" si="7"/>
        <v>PROPERTY_ENERGY_CERTIFICATEHEIGHT</v>
      </c>
      <c r="B366" s="141" t="s">
        <v>26</v>
      </c>
      <c r="C366" s="137" t="s">
        <v>54</v>
      </c>
      <c r="D366" s="133" t="s">
        <v>40</v>
      </c>
      <c r="E366" s="134" t="s">
        <v>123</v>
      </c>
      <c r="F366" s="476" t="s">
        <v>140</v>
      </c>
      <c r="G366" s="135" t="str">
        <f>VLOOKUP(A366,Plano_V3!$A$26:$G$768,7,0)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2321</v>
      </c>
      <c r="V366" s="152"/>
    </row>
    <row r="367" spans="1:22" ht="16.399999999999999" hidden="1" customHeight="1">
      <c r="A367" s="29" t="str">
        <f t="shared" si="7"/>
        <v>PROPERTY_ENERGY_CERTIFICATEBUILDING_SPACE_HEATING_VALUE</v>
      </c>
      <c r="B367" s="141" t="s">
        <v>26</v>
      </c>
      <c r="C367" s="137" t="s">
        <v>54</v>
      </c>
      <c r="D367" s="133" t="s">
        <v>40</v>
      </c>
      <c r="E367" s="134" t="s">
        <v>123</v>
      </c>
      <c r="F367" s="476" t="s">
        <v>141</v>
      </c>
      <c r="G367" s="135" t="str">
        <f>VLOOKUP(A367,Plano_V3!$A$26:$G$768,7,0)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2321</v>
      </c>
      <c r="V367" s="152"/>
    </row>
    <row r="368" spans="1:22" ht="16.399999999999999" hidden="1" customHeight="1">
      <c r="A368" s="29" t="str">
        <f t="shared" si="7"/>
        <v>PROPERTY_ENERGY_CERTIFICATESPACE_HEATING_REF_VALUE</v>
      </c>
      <c r="B368" s="141" t="s">
        <v>26</v>
      </c>
      <c r="C368" s="137" t="s">
        <v>54</v>
      </c>
      <c r="D368" s="133" t="s">
        <v>40</v>
      </c>
      <c r="E368" s="134" t="s">
        <v>123</v>
      </c>
      <c r="F368" s="476" t="s">
        <v>142</v>
      </c>
      <c r="G368" s="135" t="str">
        <f>VLOOKUP(A368,Plano_V3!$A$26:$G$768,7,0)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2321</v>
      </c>
      <c r="V368" s="152"/>
    </row>
    <row r="369" spans="1:22" ht="16.399999999999999" hidden="1" customHeight="1">
      <c r="A369" s="29" t="str">
        <f t="shared" si="7"/>
        <v>PROPERTY_ENERGY_CERTIFICATERENEWABLE_SPACE_HEATING_VALUE</v>
      </c>
      <c r="B369" s="141" t="s">
        <v>26</v>
      </c>
      <c r="C369" s="137" t="s">
        <v>54</v>
      </c>
      <c r="D369" s="133" t="s">
        <v>40</v>
      </c>
      <c r="E369" s="134" t="s">
        <v>123</v>
      </c>
      <c r="F369" s="476" t="s">
        <v>143</v>
      </c>
      <c r="G369" s="135" t="str">
        <f>VLOOKUP(A369,Plano_V3!$A$26:$G$768,7,0)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2321</v>
      </c>
      <c r="V369" s="152"/>
    </row>
    <row r="370" spans="1:22" ht="16.399999999999999" hidden="1" customHeight="1">
      <c r="A370" s="29" t="str">
        <f t="shared" si="7"/>
        <v>PROPERTY_ENERGY_CERTIFICATEBUILDING_SPACE_COOLING_VALUE</v>
      </c>
      <c r="B370" s="141" t="s">
        <v>26</v>
      </c>
      <c r="C370" s="137" t="s">
        <v>54</v>
      </c>
      <c r="D370" s="133" t="s">
        <v>40</v>
      </c>
      <c r="E370" s="134" t="s">
        <v>123</v>
      </c>
      <c r="F370" s="476" t="s">
        <v>144</v>
      </c>
      <c r="G370" s="135" t="str">
        <f>VLOOKUP(A370,Plano_V3!$A$26:$G$768,7,0)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2321</v>
      </c>
      <c r="V370" s="152"/>
    </row>
    <row r="371" spans="1:22" ht="16.399999999999999" hidden="1" customHeight="1">
      <c r="A371" s="29" t="str">
        <f t="shared" si="7"/>
        <v>PROPERTY_ENERGY_CERTIFICATERENEWABLE_SPACE_COOLING_VALUE</v>
      </c>
      <c r="B371" s="141" t="s">
        <v>26</v>
      </c>
      <c r="C371" s="137" t="s">
        <v>54</v>
      </c>
      <c r="D371" s="133" t="s">
        <v>40</v>
      </c>
      <c r="E371" s="134" t="s">
        <v>123</v>
      </c>
      <c r="F371" s="476" t="s">
        <v>145</v>
      </c>
      <c r="G371" s="135" t="str">
        <f>VLOOKUP(A371,Plano_V3!$A$26:$G$768,7,0)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2321</v>
      </c>
      <c r="V371" s="152"/>
    </row>
    <row r="372" spans="1:22" ht="16.399999999999999" hidden="1" customHeight="1">
      <c r="A372" s="29" t="str">
        <f t="shared" si="7"/>
        <v>PROPERTY_ENERGY_CERTIFICATESPACE_COOLING_REF_VALUE</v>
      </c>
      <c r="B372" s="141" t="s">
        <v>26</v>
      </c>
      <c r="C372" s="137" t="s">
        <v>54</v>
      </c>
      <c r="D372" s="133" t="s">
        <v>40</v>
      </c>
      <c r="E372" s="134" t="s">
        <v>123</v>
      </c>
      <c r="F372" s="476" t="s">
        <v>146</v>
      </c>
      <c r="G372" s="135" t="str">
        <f>VLOOKUP(A372,Plano_V3!$A$26:$G$768,7,0)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2321</v>
      </c>
      <c r="V372" s="152"/>
    </row>
    <row r="373" spans="1:22" ht="16.399999999999999" hidden="1" customHeight="1">
      <c r="A373" s="29" t="str">
        <f t="shared" si="7"/>
        <v>PROPERTY_ENERGY_CERTIFICATEENERGY_CLASS_AFTER_MEASUREMENT</v>
      </c>
      <c r="B373" s="141" t="s">
        <v>26</v>
      </c>
      <c r="C373" s="137" t="s">
        <v>54</v>
      </c>
      <c r="D373" s="133" t="s">
        <v>40</v>
      </c>
      <c r="E373" s="134" t="s">
        <v>123</v>
      </c>
      <c r="F373" s="476" t="s">
        <v>147</v>
      </c>
      <c r="G373" s="135" t="str">
        <f>VLOOKUP(A373,Plano_V3!$A$26:$G$768,7,0)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2321</v>
      </c>
      <c r="V373" s="152"/>
    </row>
    <row r="374" spans="1:22" ht="16.399999999999999" hidden="1" customHeight="1">
      <c r="A374" s="29" t="str">
        <f t="shared" si="7"/>
        <v>PROPERTY_ENERGY_CERTIFICATETHERMAL_BEHAVIOUR_ROOF</v>
      </c>
      <c r="B374" s="141" t="s">
        <v>26</v>
      </c>
      <c r="C374" s="137" t="s">
        <v>54</v>
      </c>
      <c r="D374" s="133" t="s">
        <v>40</v>
      </c>
      <c r="E374" s="134" t="s">
        <v>123</v>
      </c>
      <c r="F374" s="476" t="s">
        <v>148</v>
      </c>
      <c r="G374" s="135" t="str">
        <f>VLOOKUP(A374,Plano_V3!$A$26:$G$768,7,0)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2321</v>
      </c>
      <c r="V374" s="152"/>
    </row>
    <row r="375" spans="1:22" ht="16.399999999999999" hidden="1" customHeight="1">
      <c r="A375" s="29" t="str">
        <f t="shared" si="7"/>
        <v>PROPERTY_ENERGY_CERTIFICATETHERMAL_BEHAVIOUR_WINDOWS</v>
      </c>
      <c r="B375" s="141" t="s">
        <v>26</v>
      </c>
      <c r="C375" s="137" t="s">
        <v>54</v>
      </c>
      <c r="D375" s="133" t="s">
        <v>40</v>
      </c>
      <c r="E375" s="134" t="s">
        <v>123</v>
      </c>
      <c r="F375" s="476" t="s">
        <v>149</v>
      </c>
      <c r="G375" s="135" t="str">
        <f>VLOOKUP(A375,Plano_V3!$A$26:$G$768,7,0)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2321</v>
      </c>
      <c r="V375" s="152"/>
    </row>
    <row r="376" spans="1:22" ht="16.399999999999999" hidden="1" customHeight="1">
      <c r="A376" s="29" t="str">
        <f t="shared" si="7"/>
        <v>PROPERTY_ENERGY_CERTIFICATETHERMAL_BEHAVIOUR_WALL</v>
      </c>
      <c r="B376" s="141" t="s">
        <v>26</v>
      </c>
      <c r="C376" s="137" t="s">
        <v>54</v>
      </c>
      <c r="D376" s="133" t="s">
        <v>40</v>
      </c>
      <c r="E376" s="134" t="s">
        <v>123</v>
      </c>
      <c r="F376" s="476" t="s">
        <v>150</v>
      </c>
      <c r="G376" s="135" t="str">
        <f>VLOOKUP(A376,Plano_V3!$A$26:$G$768,7,0)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2321</v>
      </c>
      <c r="V376" s="152"/>
    </row>
    <row r="377" spans="1:22" ht="16.399999999999999" hidden="1" customHeight="1">
      <c r="A377" s="29" t="str">
        <f t="shared" si="7"/>
        <v>PROPERTY_ENERGY_CERTIFICATETHERMAL_BEHAVIOUR_FLOORS</v>
      </c>
      <c r="B377" s="141" t="s">
        <v>26</v>
      </c>
      <c r="C377" s="137" t="s">
        <v>54</v>
      </c>
      <c r="D377" s="133" t="s">
        <v>40</v>
      </c>
      <c r="E377" s="134" t="s">
        <v>123</v>
      </c>
      <c r="F377" s="476" t="s">
        <v>151</v>
      </c>
      <c r="G377" s="135" t="str">
        <f>VLOOKUP(A377,Plano_V3!$A$26:$G$768,7,0)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2321</v>
      </c>
      <c r="V377" s="152"/>
    </row>
    <row r="378" spans="1:22" ht="16.399999999999999" hidden="1" customHeight="1">
      <c r="A378" s="29" t="str">
        <f t="shared" si="7"/>
        <v>PROPERTY_ENERGY_CERTIFICATETHERMAL_BEHAVIOUR_TECH_SYS_VENT</v>
      </c>
      <c r="B378" s="141" t="s">
        <v>26</v>
      </c>
      <c r="C378" s="137" t="s">
        <v>54</v>
      </c>
      <c r="D378" s="133" t="s">
        <v>40</v>
      </c>
      <c r="E378" s="134" t="s">
        <v>123</v>
      </c>
      <c r="F378" s="476" t="s">
        <v>152</v>
      </c>
      <c r="G378" s="135" t="str">
        <f>VLOOKUP(A378,Plano_V3!$A$26:$G$768,7,0)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2321</v>
      </c>
      <c r="V378" s="152"/>
    </row>
    <row r="379" spans="1:22" ht="16.399999999999999" hidden="1" customHeight="1">
      <c r="A379" s="29" t="str">
        <f t="shared" si="7"/>
        <v>PROPERTY_ENERGY_CERTIFICATETOTAL_INVSTMNT_ESTMTD_VALUE</v>
      </c>
      <c r="B379" s="141" t="s">
        <v>26</v>
      </c>
      <c r="C379" s="137" t="s">
        <v>54</v>
      </c>
      <c r="D379" s="133" t="s">
        <v>40</v>
      </c>
      <c r="E379" s="134" t="s">
        <v>123</v>
      </c>
      <c r="F379" s="476" t="s">
        <v>153</v>
      </c>
      <c r="G379" s="135" t="str">
        <f>VLOOKUP(A379,Plano_V3!$A$26:$G$768,7,0)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2321</v>
      </c>
      <c r="V379" s="152"/>
    </row>
    <row r="380" spans="1:22" ht="16.399999999999999" hidden="1" customHeight="1">
      <c r="A380" s="29" t="str">
        <f t="shared" si="7"/>
        <v>PROPERTY_ENERGY_CERTIFICATEDURATION_SUMMER</v>
      </c>
      <c r="B380" s="141" t="s">
        <v>26</v>
      </c>
      <c r="C380" s="137" t="s">
        <v>54</v>
      </c>
      <c r="D380" s="133" t="s">
        <v>40</v>
      </c>
      <c r="E380" s="134" t="s">
        <v>123</v>
      </c>
      <c r="F380" s="476" t="s">
        <v>154</v>
      </c>
      <c r="G380" s="135" t="str">
        <f>VLOOKUP(A380,Plano_V3!$A$26:$G$768,7,0)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2321</v>
      </c>
      <c r="V380" s="152"/>
    </row>
    <row r="381" spans="1:22" ht="16.399999999999999" hidden="1" customHeight="1">
      <c r="A381" s="29" t="str">
        <f t="shared" si="7"/>
        <v>PROPERTY_ENERGY_CERTIFICATEDURATION_WINTER</v>
      </c>
      <c r="B381" s="141" t="s">
        <v>26</v>
      </c>
      <c r="C381" s="137" t="s">
        <v>54</v>
      </c>
      <c r="D381" s="133" t="s">
        <v>40</v>
      </c>
      <c r="E381" s="134" t="s">
        <v>123</v>
      </c>
      <c r="F381" s="476" t="s">
        <v>155</v>
      </c>
      <c r="G381" s="135" t="str">
        <f>VLOOKUP(A381,Plano_V3!$A$26:$G$768,7,0)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2321</v>
      </c>
      <c r="V381" s="152"/>
    </row>
    <row r="382" spans="1:22" ht="16.399999999999999" hidden="1" customHeight="1">
      <c r="A382" s="29" t="str">
        <f t="shared" si="7"/>
        <v>PROPERTY_ENERGY_CERTIFICATECARBON_EMISSION_VALUE</v>
      </c>
      <c r="B382" s="141" t="s">
        <v>26</v>
      </c>
      <c r="C382" s="137" t="s">
        <v>54</v>
      </c>
      <c r="D382" s="133" t="s">
        <v>40</v>
      </c>
      <c r="E382" s="134" t="s">
        <v>123</v>
      </c>
      <c r="F382" s="476" t="s">
        <v>156</v>
      </c>
      <c r="G382" s="135" t="str">
        <f>VLOOKUP(A382,Plano_V3!$A$26:$G$768,7,0)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2321</v>
      </c>
      <c r="V382" s="152"/>
    </row>
    <row r="383" spans="1:22" ht="16.399999999999999" hidden="1" customHeight="1">
      <c r="A383" s="29" t="str">
        <f t="shared" si="7"/>
        <v>PROPERTY_ENERGY_CERTIFICATEUSEFUL_ENERGY_FANS_REQ_VALUE</v>
      </c>
      <c r="B383" s="141" t="s">
        <v>26</v>
      </c>
      <c r="C383" s="137" t="s">
        <v>54</v>
      </c>
      <c r="D383" s="133" t="s">
        <v>40</v>
      </c>
      <c r="E383" s="134" t="s">
        <v>123</v>
      </c>
      <c r="F383" s="476" t="s">
        <v>157</v>
      </c>
      <c r="G383" s="135" t="str">
        <f>VLOOKUP(A383,Plano_V3!$A$26:$G$768,7,0)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2321</v>
      </c>
      <c r="V383" s="152"/>
    </row>
    <row r="384" spans="1:22" ht="16.399999999999999" hidden="1" customHeight="1">
      <c r="A384" s="29" t="str">
        <f t="shared" si="7"/>
        <v>PROPERTY_ENERGY_CERTIFICATEREN_ENERGY_PRODUCED_OTHER_VALUE</v>
      </c>
      <c r="B384" s="141" t="s">
        <v>26</v>
      </c>
      <c r="C384" s="137" t="s">
        <v>54</v>
      </c>
      <c r="D384" s="133" t="s">
        <v>40</v>
      </c>
      <c r="E384" s="134" t="s">
        <v>123</v>
      </c>
      <c r="F384" s="476" t="s">
        <v>158</v>
      </c>
      <c r="G384" s="135" t="str">
        <f>VLOOKUP(A384,Plano_V3!$A$26:$G$768,7,0)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2321</v>
      </c>
      <c r="V384" s="152"/>
    </row>
    <row r="385" spans="1:22" ht="16.399999999999999" hidden="1" customHeight="1">
      <c r="A385" s="29" t="str">
        <f t="shared" si="7"/>
        <v>PROPERTY_ENERGY_CERTIFICATEREN_ENERGY_PRODUCED_REG_VALUE</v>
      </c>
      <c r="B385" s="141" t="s">
        <v>26</v>
      </c>
      <c r="C385" s="137" t="s">
        <v>54</v>
      </c>
      <c r="D385" s="133" t="s">
        <v>40</v>
      </c>
      <c r="E385" s="134" t="s">
        <v>123</v>
      </c>
      <c r="F385" s="476" t="s">
        <v>159</v>
      </c>
      <c r="G385" s="135" t="str">
        <f>VLOOKUP(A385,Plano_V3!$A$26:$G$768,7,0)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2321</v>
      </c>
      <c r="V385" s="152"/>
    </row>
    <row r="386" spans="1:22" ht="16.399999999999999" hidden="1" customHeight="1">
      <c r="A386" s="29" t="str">
        <f t="shared" si="7"/>
        <v>PROPERTY_ENERGY_CERTIFICATEREN_ENERGY_PRODUCED_VALUE</v>
      </c>
      <c r="B386" s="141" t="s">
        <v>26</v>
      </c>
      <c r="C386" s="137" t="s">
        <v>54</v>
      </c>
      <c r="D386" s="133" t="s">
        <v>40</v>
      </c>
      <c r="E386" s="134" t="s">
        <v>123</v>
      </c>
      <c r="F386" s="476" t="s">
        <v>160</v>
      </c>
      <c r="G386" s="135" t="str">
        <f>VLOOKUP(A386,Plano_V3!$A$26:$G$768,7,0)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2321</v>
      </c>
      <c r="V386" s="152"/>
    </row>
    <row r="387" spans="1:22" ht="16.399999999999999" hidden="1" customHeight="1">
      <c r="A387" s="29" t="str">
        <f t="shared" si="7"/>
        <v>PROPERTY_ENERGY_CERTIFICATEUSEFUL_ENERGY_DOM_HOTWATER_VALUE</v>
      </c>
      <c r="B387" s="141" t="s">
        <v>26</v>
      </c>
      <c r="C387" s="137" t="s">
        <v>54</v>
      </c>
      <c r="D387" s="133" t="s">
        <v>40</v>
      </c>
      <c r="E387" s="134" t="s">
        <v>123</v>
      </c>
      <c r="F387" s="476" t="s">
        <v>161</v>
      </c>
      <c r="G387" s="135" t="str">
        <f>VLOOKUP(A387,Plano_V3!$A$26:$G$768,7,0)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2321</v>
      </c>
      <c r="V387" s="152"/>
    </row>
    <row r="388" spans="1:22" ht="16.399999999999999" hidden="1" customHeight="1">
      <c r="A388" s="29" t="str">
        <f t="shared" si="7"/>
        <v>PROPERTY_ENERGY_CERTIFICATEUSEFUL_ENERGY_COOLING_VALUE</v>
      </c>
      <c r="B388" s="141" t="s">
        <v>26</v>
      </c>
      <c r="C388" s="137" t="s">
        <v>54</v>
      </c>
      <c r="D388" s="133" t="s">
        <v>40</v>
      </c>
      <c r="E388" s="134" t="s">
        <v>123</v>
      </c>
      <c r="F388" s="476" t="s">
        <v>162</v>
      </c>
      <c r="G388" s="135" t="str">
        <f>VLOOKUP(A388,Plano_V3!$A$26:$G$768,7,0)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2321</v>
      </c>
      <c r="V388" s="152"/>
    </row>
    <row r="389" spans="1:22" ht="16.399999999999999" hidden="1" customHeight="1">
      <c r="A389" s="29" t="str">
        <f t="shared" si="7"/>
        <v>PROPERTY_ENERGY_CERTIFICATETEMPERATURE_DAY_VALUE</v>
      </c>
      <c r="B389" s="141" t="s">
        <v>26</v>
      </c>
      <c r="C389" s="137" t="s">
        <v>54</v>
      </c>
      <c r="D389" s="133" t="s">
        <v>40</v>
      </c>
      <c r="E389" s="134" t="s">
        <v>123</v>
      </c>
      <c r="F389" s="476" t="s">
        <v>163</v>
      </c>
      <c r="G389" s="135" t="str">
        <f>VLOOKUP(A389,Plano_V3!$A$26:$G$768,7,0)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2321</v>
      </c>
      <c r="V389" s="152"/>
    </row>
    <row r="390" spans="1:22" ht="16.399999999999999" hidden="1" customHeight="1">
      <c r="A390" s="29" t="str">
        <f t="shared" si="7"/>
        <v>PROPERTY_ENERGY_CERTIFICATEPRIMARY_ENERGY_REQ_VALUE</v>
      </c>
      <c r="B390" s="141" t="s">
        <v>26</v>
      </c>
      <c r="C390" s="137" t="s">
        <v>54</v>
      </c>
      <c r="D390" s="133" t="s">
        <v>40</v>
      </c>
      <c r="E390" s="134" t="s">
        <v>123</v>
      </c>
      <c r="F390" s="476" t="s">
        <v>164</v>
      </c>
      <c r="G390" s="135" t="str">
        <f>VLOOKUP(A390,Plano_V3!$A$26:$G$768,7,0)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2321</v>
      </c>
      <c r="V390" s="152"/>
    </row>
    <row r="391" spans="1:22" ht="16.399999999999999" hidden="1" customHeight="1">
      <c r="A391" s="29" t="str">
        <f t="shared" si="7"/>
        <v>PROPERTY_ENERGY_CERTIFICATEUSEFUL_ENERGY_HEATING_REQ_VALUE</v>
      </c>
      <c r="B391" s="141" t="s">
        <v>26</v>
      </c>
      <c r="C391" s="137" t="s">
        <v>54</v>
      </c>
      <c r="D391" s="133" t="s">
        <v>40</v>
      </c>
      <c r="E391" s="134" t="s">
        <v>123</v>
      </c>
      <c r="F391" s="476" t="s">
        <v>165</v>
      </c>
      <c r="G391" s="135" t="str">
        <f>VLOOKUP(A391,Plano_V3!$A$26:$G$768,7,0)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2321</v>
      </c>
      <c r="V391" s="152"/>
    </row>
    <row r="392" spans="1:22" ht="16.399999999999999" hidden="1" customHeight="1">
      <c r="A392" s="29" t="str">
        <f t="shared" si="7"/>
        <v>PROPERTY_ENERGY_CERTIFICATEPNL_WINTER_WALLS_DOORS_VALUE</v>
      </c>
      <c r="B392" s="141" t="s">
        <v>26</v>
      </c>
      <c r="C392" s="137" t="s">
        <v>54</v>
      </c>
      <c r="D392" s="133" t="s">
        <v>40</v>
      </c>
      <c r="E392" s="134" t="s">
        <v>123</v>
      </c>
      <c r="F392" s="476" t="s">
        <v>166</v>
      </c>
      <c r="G392" s="135" t="str">
        <f>VLOOKUP(A392,Plano_V3!$A$26:$G$768,7,0)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2321</v>
      </c>
      <c r="V392" s="152"/>
    </row>
    <row r="393" spans="1:22" ht="16.399999999999999" hidden="1" customHeight="1">
      <c r="A393" s="29" t="str">
        <f t="shared" si="7"/>
        <v>PROPERTY_ENERGY_CERTIFICATEPNL_WINTER_FLOORS_VALUE</v>
      </c>
      <c r="B393" s="141" t="s">
        <v>26</v>
      </c>
      <c r="C393" s="137" t="s">
        <v>54</v>
      </c>
      <c r="D393" s="133" t="s">
        <v>40</v>
      </c>
      <c r="E393" s="134" t="s">
        <v>123</v>
      </c>
      <c r="F393" s="476" t="s">
        <v>167</v>
      </c>
      <c r="G393" s="135" t="str">
        <f>VLOOKUP(A393,Plano_V3!$A$26:$G$768,7,0)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2321</v>
      </c>
      <c r="V393" s="152"/>
    </row>
    <row r="394" spans="1:22" ht="16.399999999999999" hidden="1" customHeight="1">
      <c r="A394" s="29" t="str">
        <f t="shared" si="7"/>
        <v>PROPERTY_ENERGY_CERTIFICATEPNL_WINTER_ROOF_VALUE</v>
      </c>
      <c r="B394" s="141" t="s">
        <v>26</v>
      </c>
      <c r="C394" s="137" t="s">
        <v>54</v>
      </c>
      <c r="D394" s="133" t="s">
        <v>40</v>
      </c>
      <c r="E394" s="134" t="s">
        <v>123</v>
      </c>
      <c r="F394" s="476" t="s">
        <v>168</v>
      </c>
      <c r="G394" s="135" t="str">
        <f>VLOOKUP(A394,Plano_V3!$A$26:$G$768,7,0)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2321</v>
      </c>
      <c r="V394" s="152"/>
    </row>
    <row r="395" spans="1:22" ht="16.399999999999999" hidden="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VLOOKUP(A395,Plano_V3!$A$26:$G$768,7,0)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2321</v>
      </c>
      <c r="V395" s="152"/>
    </row>
    <row r="396" spans="1:22" ht="16.399999999999999" hidden="1" customHeight="1">
      <c r="A396" s="29" t="str">
        <f t="shared" si="8"/>
        <v>PROPERTY_ENERGY_CERTIFICATEPNL_WINTER_REF_VALUE</v>
      </c>
      <c r="B396" s="141" t="s">
        <v>26</v>
      </c>
      <c r="C396" s="137" t="s">
        <v>54</v>
      </c>
      <c r="D396" s="133" t="s">
        <v>40</v>
      </c>
      <c r="E396" s="134" t="s">
        <v>123</v>
      </c>
      <c r="F396" s="476" t="s">
        <v>170</v>
      </c>
      <c r="G396" s="135" t="str">
        <f>VLOOKUP(A396,Plano_V3!$A$26:$G$768,7,0)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2321</v>
      </c>
      <c r="V396" s="152"/>
    </row>
    <row r="397" spans="1:22" ht="16.399999999999999" hidden="1" customHeight="1">
      <c r="A397" s="29" t="str">
        <f t="shared" si="8"/>
        <v>PROPERTY_ENERGY_CERTIFICATEPNL_WINTER_FANS_VALUE</v>
      </c>
      <c r="B397" s="141" t="s">
        <v>26</v>
      </c>
      <c r="C397" s="137" t="s">
        <v>54</v>
      </c>
      <c r="D397" s="133" t="s">
        <v>40</v>
      </c>
      <c r="E397" s="134" t="s">
        <v>123</v>
      </c>
      <c r="F397" s="476" t="s">
        <v>171</v>
      </c>
      <c r="G397" s="135" t="str">
        <f>VLOOKUP(A397,Plano_V3!$A$26:$G$768,7,0)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2321</v>
      </c>
      <c r="V397" s="152"/>
    </row>
    <row r="398" spans="1:22" ht="16.399999999999999" hidden="1" customHeight="1">
      <c r="A398" s="29" t="str">
        <f t="shared" si="8"/>
        <v>PROPERTY_ENERGY_CERTIFICATEPNL_SUMMER_ROOF_VALUE</v>
      </c>
      <c r="B398" s="141" t="s">
        <v>26</v>
      </c>
      <c r="C398" s="137" t="s">
        <v>54</v>
      </c>
      <c r="D398" s="133" t="s">
        <v>40</v>
      </c>
      <c r="E398" s="134" t="s">
        <v>123</v>
      </c>
      <c r="F398" s="476" t="s">
        <v>172</v>
      </c>
      <c r="G398" s="135" t="str">
        <f>VLOOKUP(A398,Plano_V3!$A$26:$G$768,7,0)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2321</v>
      </c>
      <c r="V398" s="152"/>
    </row>
    <row r="399" spans="1:22" ht="16.399999999999999" hidden="1" customHeight="1">
      <c r="A399" s="29" t="str">
        <f t="shared" si="8"/>
        <v>PROPERTY_ENERGY_CERTIFICATEPNL_SUMMER_WINDOWS_VALUE</v>
      </c>
      <c r="B399" s="141" t="s">
        <v>26</v>
      </c>
      <c r="C399" s="137" t="s">
        <v>54</v>
      </c>
      <c r="D399" s="133" t="s">
        <v>40</v>
      </c>
      <c r="E399" s="134" t="s">
        <v>123</v>
      </c>
      <c r="F399" s="476" t="s">
        <v>173</v>
      </c>
      <c r="G399" s="135" t="str">
        <f>VLOOKUP(A399,Plano_V3!$A$26:$G$768,7,0)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2321</v>
      </c>
      <c r="V399" s="152"/>
    </row>
    <row r="400" spans="1:22" ht="16.399999999999999" hidden="1" customHeight="1">
      <c r="A400" s="29" t="str">
        <f t="shared" si="8"/>
        <v>PROPERTY_ENERGY_CERTIFICATEPNL_SUMMER_WALLS_DOORS_VALUE</v>
      </c>
      <c r="B400" s="141" t="s">
        <v>26</v>
      </c>
      <c r="C400" s="137" t="s">
        <v>54</v>
      </c>
      <c r="D400" s="133" t="s">
        <v>40</v>
      </c>
      <c r="E400" s="134" t="s">
        <v>123</v>
      </c>
      <c r="F400" s="476" t="s">
        <v>174</v>
      </c>
      <c r="G400" s="135" t="str">
        <f>VLOOKUP(A400,Plano_V3!$A$26:$G$768,7,0)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2321</v>
      </c>
      <c r="V400" s="152"/>
    </row>
    <row r="401" spans="1:22" ht="16.399999999999999" hidden="1" customHeight="1">
      <c r="A401" s="29" t="str">
        <f t="shared" si="8"/>
        <v>PROPERTY_ENERGY_CERTIFICATEPNL_SUMMER_REF_VALUE</v>
      </c>
      <c r="B401" s="141" t="s">
        <v>26</v>
      </c>
      <c r="C401" s="137" t="s">
        <v>54</v>
      </c>
      <c r="D401" s="133" t="s">
        <v>40</v>
      </c>
      <c r="E401" s="134" t="s">
        <v>123</v>
      </c>
      <c r="F401" s="476" t="s">
        <v>175</v>
      </c>
      <c r="G401" s="135" t="str">
        <f>VLOOKUP(A401,Plano_V3!$A$26:$G$768,7,0)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2321</v>
      </c>
      <c r="V401" s="152"/>
    </row>
    <row r="402" spans="1:22" ht="16.399999999999999" hidden="1" customHeight="1">
      <c r="A402" s="29" t="str">
        <f t="shared" si="8"/>
        <v>PROPERTY_ENERGY_CERTIFICATEINVOICE_RED_ANNUAL_ESTMTD_VALUE</v>
      </c>
      <c r="B402" s="141" t="s">
        <v>26</v>
      </c>
      <c r="C402" s="137" t="s">
        <v>54</v>
      </c>
      <c r="D402" s="133" t="s">
        <v>40</v>
      </c>
      <c r="E402" s="134" t="s">
        <v>123</v>
      </c>
      <c r="F402" s="476" t="s">
        <v>176</v>
      </c>
      <c r="G402" s="135" t="str">
        <f>VLOOKUP(A402,Plano_V3!$A$26:$G$768,7,0)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2321</v>
      </c>
      <c r="V402" s="152"/>
    </row>
    <row r="403" spans="1:22" ht="16.399999999999999" hidden="1" customHeight="1">
      <c r="A403" s="29" t="str">
        <f t="shared" si="8"/>
        <v>PROPERTY_ENERGY_CERTIFICATETEMPERATURE_OUTDOOR_AVG_VALUE</v>
      </c>
      <c r="B403" s="141" t="s">
        <v>26</v>
      </c>
      <c r="C403" s="137" t="s">
        <v>54</v>
      </c>
      <c r="D403" s="133" t="s">
        <v>40</v>
      </c>
      <c r="E403" s="134" t="s">
        <v>123</v>
      </c>
      <c r="F403" s="476" t="s">
        <v>177</v>
      </c>
      <c r="G403" s="135" t="str">
        <f>VLOOKUP(A403,Plano_V3!$A$26:$G$768,7,0)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2321</v>
      </c>
      <c r="V403" s="152"/>
    </row>
    <row r="404" spans="1:22" ht="16.399999999999999" hidden="1" customHeight="1">
      <c r="A404" s="29" t="str">
        <f t="shared" si="8"/>
        <v>PROPERTY_ENERGY_CERTIFICATECLIMATE_ZONE_WINTER</v>
      </c>
      <c r="B404" s="141" t="s">
        <v>26</v>
      </c>
      <c r="C404" s="137" t="s">
        <v>54</v>
      </c>
      <c r="D404" s="133" t="s">
        <v>40</v>
      </c>
      <c r="E404" s="134" t="s">
        <v>123</v>
      </c>
      <c r="F404" s="476" t="s">
        <v>178</v>
      </c>
      <c r="G404" s="135" t="str">
        <f>VLOOKUP(A404,Plano_V3!$A$26:$G$768,7,0)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2321</v>
      </c>
      <c r="V404" s="152"/>
    </row>
    <row r="405" spans="1:22" ht="16.399999999999999" hidden="1" customHeight="1">
      <c r="A405" s="29" t="str">
        <f t="shared" si="8"/>
        <v>PROPERTY_ENERGY_CERTIFICATENET_FLOOR_AREA</v>
      </c>
      <c r="B405" s="141" t="s">
        <v>26</v>
      </c>
      <c r="C405" s="137" t="s">
        <v>54</v>
      </c>
      <c r="D405" s="133" t="s">
        <v>40</v>
      </c>
      <c r="E405" s="134" t="s">
        <v>123</v>
      </c>
      <c r="F405" s="476" t="s">
        <v>97</v>
      </c>
      <c r="G405" s="135" t="str">
        <f>VLOOKUP(A405,Plano_V3!$A$26:$G$768,7,0)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2321</v>
      </c>
      <c r="V405" s="152"/>
    </row>
    <row r="406" spans="1:22" ht="16.399999999999999" hidden="1" customHeight="1">
      <c r="A406" s="29" t="str">
        <f t="shared" si="8"/>
        <v>PROPERTY_ENERGY_CERTIFICATECADASTRAL_REGISTER_CODE</v>
      </c>
      <c r="B406" s="141" t="s">
        <v>26</v>
      </c>
      <c r="C406" s="137" t="s">
        <v>54</v>
      </c>
      <c r="D406" s="133" t="s">
        <v>40</v>
      </c>
      <c r="E406" s="134" t="s">
        <v>123</v>
      </c>
      <c r="F406" s="476" t="s">
        <v>98</v>
      </c>
      <c r="G406" s="135" t="str">
        <f>VLOOKUP(A406,Plano_V3!$A$26:$G$768,7,0)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2321</v>
      </c>
      <c r="V406" s="152"/>
    </row>
    <row r="407" spans="1:22" ht="16.399999999999999" hidden="1" customHeight="1">
      <c r="A407" s="29" t="str">
        <f t="shared" si="8"/>
        <v>PROPERTY_ENERGY_CERTIFICATEDISTRICT_MUNICIP_PARISH_CODE</v>
      </c>
      <c r="B407" s="141" t="s">
        <v>26</v>
      </c>
      <c r="C407" s="137" t="s">
        <v>54</v>
      </c>
      <c r="D407" s="133" t="s">
        <v>40</v>
      </c>
      <c r="E407" s="134" t="s">
        <v>123</v>
      </c>
      <c r="F407" s="476" t="s">
        <v>101</v>
      </c>
      <c r="G407" s="135" t="str">
        <f>VLOOKUP(A407,Plano_V3!$A$26:$G$768,7,0)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2321</v>
      </c>
      <c r="V407" s="152"/>
    </row>
    <row r="408" spans="1:22" ht="16.399999999999999" hidden="1" customHeight="1">
      <c r="A408" s="29" t="str">
        <f t="shared" si="8"/>
        <v>PROPERTY_ENERGY_CERTIFICATEPROPERTY_PURPOSE_CODE</v>
      </c>
      <c r="B408" s="141" t="s">
        <v>26</v>
      </c>
      <c r="C408" s="137" t="s">
        <v>54</v>
      </c>
      <c r="D408" s="133" t="s">
        <v>40</v>
      </c>
      <c r="E408" s="134" t="s">
        <v>123</v>
      </c>
      <c r="F408" s="476" t="s">
        <v>102</v>
      </c>
      <c r="G408" s="135" t="str">
        <f>VLOOKUP(A408,Plano_V3!$A$26:$G$768,7,0)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2321</v>
      </c>
      <c r="V408" s="152"/>
    </row>
    <row r="409" spans="1:22" ht="16.399999999999999" hidden="1" customHeight="1">
      <c r="A409" s="29" t="str">
        <f t="shared" si="8"/>
        <v>PROPERTY_ENERGY_CERTIFICATEADDRESS_CODE</v>
      </c>
      <c r="B409" s="141" t="s">
        <v>26</v>
      </c>
      <c r="C409" s="137" t="s">
        <v>54</v>
      </c>
      <c r="D409" s="133" t="s">
        <v>40</v>
      </c>
      <c r="E409" s="134" t="s">
        <v>123</v>
      </c>
      <c r="F409" s="476" t="s">
        <v>104</v>
      </c>
      <c r="G409" s="135" t="str">
        <f>VLOOKUP(A409,Plano_V3!$A$26:$G$768,7,0)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2321</v>
      </c>
      <c r="V409" s="152"/>
    </row>
    <row r="410" spans="1:22" ht="16.399999999999999" hidden="1" customHeight="1">
      <c r="A410" s="29" t="str">
        <f t="shared" si="8"/>
        <v>PROPERTY_ENERGY_CERTIFICATEFLOOR_NUMBER</v>
      </c>
      <c r="B410" s="141" t="s">
        <v>26</v>
      </c>
      <c r="C410" s="137" t="s">
        <v>54</v>
      </c>
      <c r="D410" s="133" t="s">
        <v>40</v>
      </c>
      <c r="E410" s="134" t="s">
        <v>123</v>
      </c>
      <c r="F410" s="476" t="s">
        <v>111</v>
      </c>
      <c r="G410" s="135" t="str">
        <f>VLOOKUP(A410,Plano_V3!$A$26:$G$768,7,0)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2321</v>
      </c>
      <c r="V410" s="152"/>
    </row>
    <row r="411" spans="1:22" ht="16.399999999999999" hidden="1" customHeight="1">
      <c r="A411" s="29" t="str">
        <f t="shared" si="8"/>
        <v>PROPERTY_ENERGY_CERTIFICATELOCALITY</v>
      </c>
      <c r="B411" s="141" t="s">
        <v>26</v>
      </c>
      <c r="C411" s="137" t="s">
        <v>54</v>
      </c>
      <c r="D411" s="133" t="s">
        <v>40</v>
      </c>
      <c r="E411" s="134" t="s">
        <v>123</v>
      </c>
      <c r="F411" s="476" t="s">
        <v>112</v>
      </c>
      <c r="G411" s="135" t="str">
        <f>VLOOKUP(A411,Plano_V3!$A$26:$G$768,7,0)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2321</v>
      </c>
      <c r="V411" s="152"/>
    </row>
    <row r="412" spans="1:22" ht="16.399999999999999" hidden="1" customHeight="1">
      <c r="A412" s="29" t="str">
        <f t="shared" si="8"/>
        <v>PROPERTY_ENERGY_CERTIFICATECLIMATE_ZONE_SUMMER</v>
      </c>
      <c r="B412" s="141" t="s">
        <v>26</v>
      </c>
      <c r="C412" s="137" t="s">
        <v>54</v>
      </c>
      <c r="D412" s="133" t="s">
        <v>40</v>
      </c>
      <c r="E412" s="134" t="s">
        <v>123</v>
      </c>
      <c r="F412" s="476" t="s">
        <v>179</v>
      </c>
      <c r="G412" s="135" t="str">
        <f>VLOOKUP(A412,Plano_V3!$A$26:$G$768,7,0)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2321</v>
      </c>
      <c r="V412" s="152"/>
    </row>
    <row r="413" spans="1:22" ht="16.399999999999999" hidden="1" customHeight="1">
      <c r="A413" s="29" t="str">
        <f t="shared" si="8"/>
        <v>PROPERTY_ENERGY_CERTIFICATEGPS_LATITUDE</v>
      </c>
      <c r="B413" s="141" t="s">
        <v>26</v>
      </c>
      <c r="C413" s="137" t="s">
        <v>54</v>
      </c>
      <c r="D413" s="133" t="s">
        <v>40</v>
      </c>
      <c r="E413" s="134" t="s">
        <v>123</v>
      </c>
      <c r="F413" s="476" t="s">
        <v>2431</v>
      </c>
      <c r="G413" s="135" t="str">
        <f>VLOOKUP(A413,Plano_V3!$A$26:$G$768,7,0)</f>
        <v>1. Concluído</v>
      </c>
      <c r="H413" s="135" t="s">
        <v>612</v>
      </c>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2321</v>
      </c>
      <c r="V413" s="152"/>
    </row>
    <row r="414" spans="1:22" ht="16.399999999999999" hidden="1" customHeight="1">
      <c r="A414" s="29" t="str">
        <f t="shared" si="8"/>
        <v>PROPERTY_ENERGY_CERTIFICATEGPS_LONGITUDE</v>
      </c>
      <c r="B414" s="141" t="s">
        <v>26</v>
      </c>
      <c r="C414" s="137" t="s">
        <v>54</v>
      </c>
      <c r="D414" s="133" t="s">
        <v>40</v>
      </c>
      <c r="E414" s="134" t="s">
        <v>123</v>
      </c>
      <c r="F414" s="476" t="s">
        <v>2432</v>
      </c>
      <c r="G414" s="135" t="str">
        <f>VLOOKUP(A414,Plano_V3!$A$26:$G$768,7,0)</f>
        <v>1. Concluído</v>
      </c>
      <c r="H414" s="135" t="s">
        <v>612</v>
      </c>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2321</v>
      </c>
      <c r="V414" s="323"/>
    </row>
    <row r="415" spans="1:22" ht="16.399999999999999" hidden="1" customHeight="1">
      <c r="A415" s="29" t="str">
        <f t="shared" si="8"/>
        <v>modesg_param_sfics_taxon_europeiaordem</v>
      </c>
      <c r="B415" s="141" t="s">
        <v>26</v>
      </c>
      <c r="C415" s="137" t="s">
        <v>181</v>
      </c>
      <c r="D415" s="133" t="s">
        <v>40</v>
      </c>
      <c r="E415" s="134" t="s">
        <v>2097</v>
      </c>
      <c r="F415" s="476" t="s">
        <v>211</v>
      </c>
      <c r="G415" s="135" t="str">
        <f>VLOOKUP(A415,Plano_V3!$A$26:$G$768,7,0)</f>
        <v xml:space="preserve">6. Em implementação </v>
      </c>
      <c r="H415" s="135" t="s">
        <v>2320</v>
      </c>
      <c r="I415" s="473"/>
      <c r="J415" s="153"/>
      <c r="K415" s="359"/>
      <c r="L415" s="489"/>
      <c r="M415" s="152"/>
      <c r="N415" s="152"/>
      <c r="O415" s="152"/>
      <c r="P415" s="202"/>
      <c r="Q415" s="202"/>
      <c r="R415" s="202"/>
      <c r="S415" s="324"/>
      <c r="T415" s="324"/>
      <c r="U415" s="372" t="s">
        <v>2321</v>
      </c>
      <c r="V415" s="323"/>
    </row>
    <row r="416" spans="1:22" ht="16.399999999999999" hidden="1" customHeight="1">
      <c r="A416" s="29" t="str">
        <f t="shared" si="8"/>
        <v>modesg_param_sfics_taxon_europeianome_purpose_esg</v>
      </c>
      <c r="B416" s="141" t="s">
        <v>26</v>
      </c>
      <c r="C416" s="137" t="s">
        <v>181</v>
      </c>
      <c r="D416" s="133" t="s">
        <v>40</v>
      </c>
      <c r="E416" s="134" t="s">
        <v>2097</v>
      </c>
      <c r="F416" s="476" t="s">
        <v>205</v>
      </c>
      <c r="G416" s="135" t="str">
        <f>VLOOKUP(A416,Plano_V3!$A$26:$G$768,7,0)</f>
        <v>0. Cancelado</v>
      </c>
      <c r="H416" s="135" t="s">
        <v>611</v>
      </c>
      <c r="I416" s="473"/>
      <c r="J416" s="153"/>
      <c r="K416" s="359"/>
      <c r="L416" s="153"/>
      <c r="M416" s="152"/>
      <c r="N416" s="152"/>
      <c r="O416" s="152"/>
      <c r="P416" s="202"/>
      <c r="Q416" s="202"/>
      <c r="R416" s="202"/>
      <c r="S416" s="324"/>
      <c r="T416" s="324"/>
      <c r="U416" s="372" t="s">
        <v>2321</v>
      </c>
      <c r="V416" s="323"/>
    </row>
    <row r="417" spans="1:22" ht="16.399999999999999" hidden="1" customHeight="1">
      <c r="A417" s="29" t="str">
        <f t="shared" si="8"/>
        <v>modesg_param_sfics_taxon_europeiadominio</v>
      </c>
      <c r="B417" s="141" t="s">
        <v>26</v>
      </c>
      <c r="C417" s="137" t="s">
        <v>181</v>
      </c>
      <c r="D417" s="133" t="s">
        <v>40</v>
      </c>
      <c r="E417" s="134" t="s">
        <v>2097</v>
      </c>
      <c r="F417" s="476" t="s">
        <v>196</v>
      </c>
      <c r="G417" s="135" t="str">
        <f>VLOOKUP(A417,Plano_V3!$A$26:$G$768,7,0)</f>
        <v xml:space="preserve">6. Em implementação </v>
      </c>
      <c r="H417" s="135" t="s">
        <v>2320</v>
      </c>
      <c r="I417" s="473"/>
      <c r="J417" s="153"/>
      <c r="K417" s="359"/>
      <c r="L417" s="153"/>
      <c r="M417" s="152"/>
      <c r="N417" s="152"/>
      <c r="O417" s="152"/>
      <c r="P417" s="202"/>
      <c r="Q417" s="202"/>
      <c r="R417" s="202"/>
      <c r="S417" s="324"/>
      <c r="T417" s="324"/>
      <c r="U417" s="372" t="s">
        <v>2321</v>
      </c>
      <c r="V417" s="323"/>
    </row>
    <row r="418" spans="1:22" ht="16.399999999999999" hidden="1" customHeight="1">
      <c r="A418" s="29" t="str">
        <f t="shared" si="8"/>
        <v>modesg_inp_emss_vclsn.a.</v>
      </c>
      <c r="B418" s="141" t="s">
        <v>26</v>
      </c>
      <c r="C418" s="137" t="s">
        <v>181</v>
      </c>
      <c r="D418" s="133" t="s">
        <v>36</v>
      </c>
      <c r="E418" s="134" t="s">
        <v>212</v>
      </c>
      <c r="F418" s="476" t="s">
        <v>38</v>
      </c>
      <c r="G418" s="135" t="str">
        <f>VLOOKUP(A418,Plano_V3!$A$26:$G$768,7,0)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2321</v>
      </c>
      <c r="V418" s="323"/>
    </row>
    <row r="419" spans="1:22" ht="16.399999999999999" hidden="1" customHeight="1">
      <c r="A419" s="29" t="str">
        <f t="shared" si="8"/>
        <v>modesg_inp_km_medios_emss_vclsn.a.</v>
      </c>
      <c r="B419" s="141" t="s">
        <v>26</v>
      </c>
      <c r="C419" s="137" t="s">
        <v>181</v>
      </c>
      <c r="D419" s="133" t="s">
        <v>36</v>
      </c>
      <c r="E419" s="134" t="s">
        <v>213</v>
      </c>
      <c r="F419" s="476" t="s">
        <v>38</v>
      </c>
      <c r="G419" s="135" t="str">
        <f>VLOOKUP(A419,Plano_V3!$A$26:$G$768,7,0)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2321</v>
      </c>
      <c r="V419" s="323"/>
    </row>
    <row r="420" spans="1:22" ht="16.399999999999999" hidden="1" customHeight="1">
      <c r="A420" s="29" t="str">
        <f t="shared" si="8"/>
        <v>modesg_inp_empr_excl_parisn.a.</v>
      </c>
      <c r="B420" s="141" t="s">
        <v>26</v>
      </c>
      <c r="C420" s="137" t="s">
        <v>181</v>
      </c>
      <c r="D420" s="133" t="s">
        <v>36</v>
      </c>
      <c r="E420" s="134" t="s">
        <v>214</v>
      </c>
      <c r="F420" s="476" t="s">
        <v>38</v>
      </c>
      <c r="G420" s="135" t="str">
        <f>VLOOKUP(A420,Plano_V3!$A$26:$G$768,7,0)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2321</v>
      </c>
      <c r="V420" s="323"/>
    </row>
    <row r="421" spans="1:22" ht="16.399999999999999" hidden="1" customHeight="1">
      <c r="A421" s="29" t="str">
        <f t="shared" si="8"/>
        <v>modesg_inp_nfrd_alinhamento_taxn.a.</v>
      </c>
      <c r="B421" s="141" t="s">
        <v>26</v>
      </c>
      <c r="C421" s="137" t="s">
        <v>181</v>
      </c>
      <c r="D421" s="133" t="s">
        <v>36</v>
      </c>
      <c r="E421" s="134" t="s">
        <v>215</v>
      </c>
      <c r="F421" s="476" t="s">
        <v>38</v>
      </c>
      <c r="G421" s="135" t="str">
        <f>VLOOKUP(A421,Plano_V3!$A$26:$G$768,7,0)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2321</v>
      </c>
      <c r="V421" s="323"/>
    </row>
    <row r="422" spans="1:22" ht="16.399999999999999" hidden="1" customHeight="1">
      <c r="A422" s="29" t="str">
        <f t="shared" si="8"/>
        <v>modesg_inp_risco_fisicon.a.</v>
      </c>
      <c r="B422" s="141" t="s">
        <v>26</v>
      </c>
      <c r="C422" s="137" t="s">
        <v>181</v>
      </c>
      <c r="D422" s="133" t="s">
        <v>36</v>
      </c>
      <c r="E422" s="134" t="s">
        <v>216</v>
      </c>
      <c r="F422" s="476" t="s">
        <v>38</v>
      </c>
      <c r="G422" s="135" t="str">
        <f>VLOOKUP(A422,Plano_V3!$A$26:$G$768,7,0)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2321</v>
      </c>
      <c r="V422" s="323"/>
    </row>
    <row r="423" spans="1:22" ht="16.399999999999999" hidden="1" customHeight="1">
      <c r="A423" s="29" t="str">
        <f t="shared" si="8"/>
        <v>modesg_inp_emss_scibn.a.</v>
      </c>
      <c r="B423" s="141" t="s">
        <v>26</v>
      </c>
      <c r="C423" s="137" t="s">
        <v>181</v>
      </c>
      <c r="D423" s="133" t="s">
        <v>36</v>
      </c>
      <c r="E423" s="134" t="s">
        <v>217</v>
      </c>
      <c r="F423" s="476" t="s">
        <v>38</v>
      </c>
      <c r="G423" s="135" t="str">
        <f>VLOOKUP(A423,Plano_V3!$A$26:$G$768,7,0)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2321</v>
      </c>
      <c r="V423" s="323"/>
    </row>
    <row r="424" spans="1:22" ht="16.399999999999999" hidden="1" customHeight="1">
      <c r="A424" s="29" t="str">
        <f t="shared" si="8"/>
        <v>modesg_inp_emss_nacen.a.</v>
      </c>
      <c r="B424" s="141" t="s">
        <v>26</v>
      </c>
      <c r="C424" s="137" t="s">
        <v>181</v>
      </c>
      <c r="D424" s="133" t="s">
        <v>36</v>
      </c>
      <c r="E424" s="134" t="s">
        <v>218</v>
      </c>
      <c r="F424" s="476" t="s">
        <v>38</v>
      </c>
      <c r="G424" s="135" t="str">
        <f>VLOOKUP(A424,Plano_V3!$A$26:$G$768,7,0)</f>
        <v>1. Concluído</v>
      </c>
      <c r="H424" s="135" t="s">
        <v>612</v>
      </c>
      <c r="I424" s="473"/>
      <c r="J424" s="142"/>
      <c r="K424" s="142"/>
      <c r="L424" s="142" t="s">
        <v>2355</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2321</v>
      </c>
      <c r="V424" s="323"/>
    </row>
    <row r="425" spans="1:22" ht="16.399999999999999" hidden="1" customHeight="1">
      <c r="A425" s="29" t="str">
        <f t="shared" si="8"/>
        <v>modesg_inp_emss_bens_imoveisn.a.</v>
      </c>
      <c r="B425" s="141" t="s">
        <v>26</v>
      </c>
      <c r="C425" s="137" t="s">
        <v>181</v>
      </c>
      <c r="D425" s="133" t="s">
        <v>36</v>
      </c>
      <c r="E425" s="134" t="s">
        <v>219</v>
      </c>
      <c r="F425" s="476" t="s">
        <v>38</v>
      </c>
      <c r="G425" s="135" t="str">
        <f>VLOOKUP(A425,Plano_V3!$A$26:$G$768,7,0)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2321</v>
      </c>
      <c r="V425" s="323"/>
    </row>
    <row r="426" spans="1:22" ht="16.399999999999999" hidden="1" customHeight="1">
      <c r="A426" s="29" t="str">
        <f t="shared" si="8"/>
        <v>modesg_inp_emss_vclsref_date</v>
      </c>
      <c r="B426" s="141" t="s">
        <v>26</v>
      </c>
      <c r="C426" s="137" t="s">
        <v>181</v>
      </c>
      <c r="D426" s="133" t="s">
        <v>40</v>
      </c>
      <c r="E426" s="134" t="s">
        <v>212</v>
      </c>
      <c r="F426" s="476" t="s">
        <v>208</v>
      </c>
      <c r="G426" s="135" t="str">
        <f>VLOOKUP(A426,Plano_V3!$A$26:$G$768,7,0)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2321</v>
      </c>
      <c r="V426" s="323"/>
    </row>
    <row r="427" spans="1:22" ht="16.399999999999999" hidden="1" customHeight="1">
      <c r="A427" s="29" t="str">
        <f t="shared" si="8"/>
        <v>modesg_inp_emss_vclsnome_regiao</v>
      </c>
      <c r="B427" s="141" t="s">
        <v>26</v>
      </c>
      <c r="C427" s="137" t="s">
        <v>181</v>
      </c>
      <c r="D427" s="133" t="s">
        <v>40</v>
      </c>
      <c r="E427" s="134" t="s">
        <v>212</v>
      </c>
      <c r="F427" s="476" t="s">
        <v>220</v>
      </c>
      <c r="G427" s="135" t="str">
        <f>VLOOKUP(A427,Plano_V3!$A$26:$G$768,7,0)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2321</v>
      </c>
      <c r="V427" s="323"/>
    </row>
    <row r="428" spans="1:22" ht="16.399999999999999" hidden="1" customHeight="1">
      <c r="A428" s="29" t="str">
        <f t="shared" si="8"/>
        <v>modesg_inp_emss_vclsnome_pais</v>
      </c>
      <c r="B428" s="141" t="s">
        <v>26</v>
      </c>
      <c r="C428" s="137" t="s">
        <v>181</v>
      </c>
      <c r="D428" s="133" t="s">
        <v>40</v>
      </c>
      <c r="E428" s="134" t="s">
        <v>212</v>
      </c>
      <c r="F428" s="476" t="s">
        <v>221</v>
      </c>
      <c r="G428" s="135" t="str">
        <f>VLOOKUP(A428,Plano_V3!$A$26:$G$768,7,0)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2321</v>
      </c>
      <c r="V428" s="323"/>
    </row>
    <row r="429" spans="1:22" ht="16.399999999999999" hidden="1" customHeight="1">
      <c r="A429" s="29" t="str">
        <f t="shared" si="8"/>
        <v>modesg_inp_emss_vclsnome_estado</v>
      </c>
      <c r="B429" s="141" t="s">
        <v>26</v>
      </c>
      <c r="C429" s="137" t="s">
        <v>181</v>
      </c>
      <c r="D429" s="133" t="s">
        <v>40</v>
      </c>
      <c r="E429" s="134" t="s">
        <v>212</v>
      </c>
      <c r="F429" s="476" t="s">
        <v>222</v>
      </c>
      <c r="G429" s="135" t="str">
        <f>VLOOKUP(A429,Plano_V3!$A$26:$G$768,7,0)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2321</v>
      </c>
      <c r="V429" s="323"/>
    </row>
    <row r="430" spans="1:22" ht="16.399999999999999" hidden="1" customHeight="1">
      <c r="A430" s="29" t="str">
        <f t="shared" si="8"/>
        <v>modesg_inp_emss_vclstipo_veiculo</v>
      </c>
      <c r="B430" s="141" t="s">
        <v>26</v>
      </c>
      <c r="C430" s="137" t="s">
        <v>181</v>
      </c>
      <c r="D430" s="133" t="s">
        <v>40</v>
      </c>
      <c r="E430" s="134" t="s">
        <v>212</v>
      </c>
      <c r="F430" s="476" t="s">
        <v>223</v>
      </c>
      <c r="G430" s="135" t="str">
        <f>VLOOKUP(A430,Plano_V3!$A$26:$G$768,7,0)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2321</v>
      </c>
      <c r="V430" s="323"/>
    </row>
    <row r="431" spans="1:22" ht="16.399999999999999" hidden="1" customHeight="1">
      <c r="A431" s="29" t="str">
        <f t="shared" si="8"/>
        <v>modesg_inp_emss_vclstipo_motor</v>
      </c>
      <c r="B431" s="141" t="s">
        <v>26</v>
      </c>
      <c r="C431" s="137" t="s">
        <v>181</v>
      </c>
      <c r="D431" s="133" t="s">
        <v>40</v>
      </c>
      <c r="E431" s="134" t="s">
        <v>212</v>
      </c>
      <c r="F431" s="476" t="s">
        <v>224</v>
      </c>
      <c r="G431" s="135" t="str">
        <f>VLOOKUP(A431,Plano_V3!$A$26:$G$768,7,0)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2321</v>
      </c>
      <c r="V431" s="323"/>
    </row>
    <row r="432" spans="1:22" ht="16.399999999999999" hidden="1" customHeight="1">
      <c r="A432" s="29" t="str">
        <f t="shared" si="8"/>
        <v>modesg_inp_emss_vclsmarca</v>
      </c>
      <c r="B432" s="141" t="s">
        <v>26</v>
      </c>
      <c r="C432" s="137" t="s">
        <v>181</v>
      </c>
      <c r="D432" s="133" t="s">
        <v>40</v>
      </c>
      <c r="E432" s="134" t="s">
        <v>212</v>
      </c>
      <c r="F432" s="476" t="s">
        <v>225</v>
      </c>
      <c r="G432" s="135" t="str">
        <f>VLOOKUP(A432,Plano_V3!$A$26:$G$768,7,0)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2321</v>
      </c>
      <c r="V432" s="323"/>
    </row>
    <row r="433" spans="1:22" ht="16.399999999999999" hidden="1" customHeight="1">
      <c r="A433" s="29" t="str">
        <f t="shared" si="8"/>
        <v>modesg_inp_emss_vclsmodelo</v>
      </c>
      <c r="B433" s="141" t="s">
        <v>26</v>
      </c>
      <c r="C433" s="137" t="s">
        <v>181</v>
      </c>
      <c r="D433" s="133" t="s">
        <v>40</v>
      </c>
      <c r="E433" s="134" t="s">
        <v>212</v>
      </c>
      <c r="F433" s="476" t="s">
        <v>226</v>
      </c>
      <c r="G433" s="135" t="str">
        <f>VLOOKUP(A433,Plano_V3!$A$26:$G$768,7,0)</f>
        <v>1. Concluído</v>
      </c>
      <c r="H433" s="135" t="s">
        <v>612</v>
      </c>
      <c r="I433" s="473"/>
      <c r="J433" s="488"/>
      <c r="K433" s="488"/>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2321</v>
      </c>
      <c r="V433" s="323"/>
    </row>
    <row r="434" spans="1:22" ht="16.399999999999999" hidden="1" customHeight="1">
      <c r="A434" s="29" t="str">
        <f t="shared" si="8"/>
        <v>modesg_inp_emss_vclssubgrupo</v>
      </c>
      <c r="B434" s="141" t="s">
        <v>26</v>
      </c>
      <c r="C434" s="137" t="s">
        <v>181</v>
      </c>
      <c r="D434" s="133" t="s">
        <v>40</v>
      </c>
      <c r="E434" s="134" t="s">
        <v>212</v>
      </c>
      <c r="F434" s="476" t="s">
        <v>227</v>
      </c>
      <c r="G434" s="135" t="str">
        <f>VLOOKUP(A434,Plano_V3!$A$26:$G$768,7,0)</f>
        <v>1. Concluído</v>
      </c>
      <c r="H434" s="135" t="s">
        <v>612</v>
      </c>
      <c r="I434" s="473"/>
      <c r="J434" s="488"/>
      <c r="K434" s="488"/>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2321</v>
      </c>
      <c r="V434" s="323"/>
    </row>
    <row r="435" spans="1:22" ht="16.399999999999999" hidden="1" customHeight="1">
      <c r="A435" s="29" t="str">
        <f t="shared" si="8"/>
        <v>modesg_inp_emss_vclsnome_unidade_funcional</v>
      </c>
      <c r="B435" s="141" t="s">
        <v>26</v>
      </c>
      <c r="C435" s="137" t="s">
        <v>181</v>
      </c>
      <c r="D435" s="133" t="s">
        <v>40</v>
      </c>
      <c r="E435" s="134" t="s">
        <v>212</v>
      </c>
      <c r="F435" s="476" t="s">
        <v>228</v>
      </c>
      <c r="G435" s="135" t="str">
        <f>VLOOKUP(A435,Plano_V3!$A$26:$G$768,7,0)</f>
        <v>1. Concluído</v>
      </c>
      <c r="H435" s="135" t="s">
        <v>612</v>
      </c>
      <c r="I435" s="473"/>
      <c r="J435" s="488"/>
      <c r="K435" s="488"/>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2321</v>
      </c>
      <c r="V435" s="323"/>
    </row>
    <row r="436" spans="1:22" ht="16.399999999999999" hidden="1" customHeight="1">
      <c r="A436" s="29" t="str">
        <f t="shared" si="8"/>
        <v>modesg_inp_emss_vclsunidade_funcional</v>
      </c>
      <c r="B436" s="141" t="s">
        <v>26</v>
      </c>
      <c r="C436" s="137" t="s">
        <v>181</v>
      </c>
      <c r="D436" s="133" t="s">
        <v>40</v>
      </c>
      <c r="E436" s="134" t="s">
        <v>212</v>
      </c>
      <c r="F436" s="476" t="s">
        <v>229</v>
      </c>
      <c r="G436" s="135" t="str">
        <f>VLOOKUP(A436,Plano_V3!$A$26:$G$768,7,0)</f>
        <v>1. Concluído</v>
      </c>
      <c r="H436" s="135" t="s">
        <v>612</v>
      </c>
      <c r="I436" s="473"/>
      <c r="J436" s="488"/>
      <c r="K436" s="488"/>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2321</v>
      </c>
      <c r="V436" s="323"/>
    </row>
    <row r="437" spans="1:22" ht="16.399999999999999" hidden="1" customHeight="1">
      <c r="A437" s="29" t="str">
        <f t="shared" si="8"/>
        <v>modesg_inp_emss_vclsnome_fator_emissao</v>
      </c>
      <c r="B437" s="141" t="s">
        <v>26</v>
      </c>
      <c r="C437" s="137" t="s">
        <v>181</v>
      </c>
      <c r="D437" s="133" t="s">
        <v>40</v>
      </c>
      <c r="E437" s="134" t="s">
        <v>212</v>
      </c>
      <c r="F437" s="476" t="s">
        <v>230</v>
      </c>
      <c r="G437" s="135" t="str">
        <f>VLOOKUP(A437,Plano_V3!$A$26:$G$768,7,0)</f>
        <v>1. Concluído</v>
      </c>
      <c r="H437" s="135" t="s">
        <v>612</v>
      </c>
      <c r="I437" s="473"/>
      <c r="J437" s="488"/>
      <c r="K437" s="488"/>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2321</v>
      </c>
      <c r="V437" s="323"/>
    </row>
    <row r="438" spans="1:22" ht="16.399999999999999" hidden="1" customHeight="1">
      <c r="A438" s="29" t="str">
        <f t="shared" si="8"/>
        <v>modesg_inp_emss_vclsunidade_fator_de_emissao</v>
      </c>
      <c r="B438" s="141" t="s">
        <v>26</v>
      </c>
      <c r="C438" s="137" t="s">
        <v>181</v>
      </c>
      <c r="D438" s="133" t="s">
        <v>40</v>
      </c>
      <c r="E438" s="134" t="s">
        <v>212</v>
      </c>
      <c r="F438" s="476" t="s">
        <v>231</v>
      </c>
      <c r="G438" s="135" t="str">
        <f>VLOOKUP(A438,Plano_V3!$A$26:$G$768,7,0)</f>
        <v>1. Concluído</v>
      </c>
      <c r="H438" s="135" t="s">
        <v>612</v>
      </c>
      <c r="I438" s="473"/>
      <c r="J438" s="488"/>
      <c r="K438" s="488"/>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2321</v>
      </c>
      <c r="V438" s="323"/>
    </row>
    <row r="439" spans="1:22" ht="16.399999999999999" hidden="1" customHeight="1">
      <c r="A439" s="29" t="str">
        <f t="shared" si="8"/>
        <v>modesg_inp_emss_vclsscore_qualidade</v>
      </c>
      <c r="B439" s="141" t="s">
        <v>26</v>
      </c>
      <c r="C439" s="137" t="s">
        <v>181</v>
      </c>
      <c r="D439" s="133" t="s">
        <v>40</v>
      </c>
      <c r="E439" s="134" t="s">
        <v>212</v>
      </c>
      <c r="F439" s="476" t="s">
        <v>232</v>
      </c>
      <c r="G439" s="135" t="str">
        <f>VLOOKUP(A439,Plano_V3!$A$26:$G$768,7,0)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2321</v>
      </c>
      <c r="V439" s="323"/>
    </row>
    <row r="440" spans="1:22" ht="16.399999999999999" hidden="1" customHeight="1">
      <c r="A440" s="29" t="str">
        <f t="shared" si="8"/>
        <v>modesg_inp_emss_vclsscp1_ftr_emss</v>
      </c>
      <c r="B440" s="141" t="s">
        <v>26</v>
      </c>
      <c r="C440" s="137" t="s">
        <v>181</v>
      </c>
      <c r="D440" s="133" t="s">
        <v>40</v>
      </c>
      <c r="E440" s="134" t="s">
        <v>212</v>
      </c>
      <c r="F440" s="476" t="s">
        <v>233</v>
      </c>
      <c r="G440" s="135" t="str">
        <f>VLOOKUP(A440,Plano_V3!$A$26:$G$768,7,0)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2321</v>
      </c>
      <c r="V440" s="323"/>
    </row>
    <row r="441" spans="1:22" ht="16.399999999999999" hidden="1" customHeight="1">
      <c r="A441" s="29" t="str">
        <f t="shared" si="8"/>
        <v>modesg_inp_emss_vclsscp2_ftr_emss</v>
      </c>
      <c r="B441" s="141" t="s">
        <v>26</v>
      </c>
      <c r="C441" s="137" t="s">
        <v>181</v>
      </c>
      <c r="D441" s="133" t="s">
        <v>40</v>
      </c>
      <c r="E441" s="134" t="s">
        <v>212</v>
      </c>
      <c r="F441" s="476" t="s">
        <v>234</v>
      </c>
      <c r="G441" s="135" t="str">
        <f>VLOOKUP(A441,Plano_V3!$A$26:$G$768,7,0)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2321</v>
      </c>
      <c r="V441" s="323"/>
    </row>
    <row r="442" spans="1:22" ht="16.399999999999999" hidden="1" customHeight="1">
      <c r="A442" s="29" t="str">
        <f t="shared" si="8"/>
        <v>modesg_inp_emss_vclsscp3_ftr_emss</v>
      </c>
      <c r="B442" s="141" t="s">
        <v>26</v>
      </c>
      <c r="C442" s="137" t="s">
        <v>181</v>
      </c>
      <c r="D442" s="133" t="s">
        <v>40</v>
      </c>
      <c r="E442" s="134" t="s">
        <v>212</v>
      </c>
      <c r="F442" s="476" t="s">
        <v>235</v>
      </c>
      <c r="G442" s="135" t="str">
        <f>VLOOKUP(A442,Plano_V3!$A$26:$G$768,7,0)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2321</v>
      </c>
      <c r="V442" s="323"/>
    </row>
    <row r="443" spans="1:22" ht="16.399999999999999" hidden="1" customHeight="1">
      <c r="A443" s="29" t="str">
        <f t="shared" si="8"/>
        <v>modesg_inp_km_medios_emss_vclsref_date</v>
      </c>
      <c r="B443" s="141" t="s">
        <v>26</v>
      </c>
      <c r="C443" s="137" t="s">
        <v>181</v>
      </c>
      <c r="D443" s="133" t="s">
        <v>40</v>
      </c>
      <c r="E443" s="134" t="s">
        <v>213</v>
      </c>
      <c r="F443" s="476" t="s">
        <v>208</v>
      </c>
      <c r="G443" s="135" t="str">
        <f>VLOOKUP(A443,Plano_V3!$A$26:$G$768,7,0)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2321</v>
      </c>
      <c r="V443" s="323"/>
    </row>
    <row r="444" spans="1:22" ht="16.399999999999999" hidden="1" customHeight="1">
      <c r="A444" s="29" t="str">
        <f t="shared" si="8"/>
        <v>modesg_inp_km_medios_emss_vclsnome_pais</v>
      </c>
      <c r="B444" s="141" t="s">
        <v>26</v>
      </c>
      <c r="C444" s="137" t="s">
        <v>181</v>
      </c>
      <c r="D444" s="133" t="s">
        <v>40</v>
      </c>
      <c r="E444" s="134" t="s">
        <v>213</v>
      </c>
      <c r="F444" s="476" t="s">
        <v>221</v>
      </c>
      <c r="G444" s="135" t="str">
        <f>VLOOKUP(A444,Plano_V3!$A$26:$G$768,7,0)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2321</v>
      </c>
      <c r="V444" s="323"/>
    </row>
    <row r="445" spans="1:22" ht="16.399999999999999" hidden="1" customHeight="1">
      <c r="A445" s="29" t="str">
        <f t="shared" si="8"/>
        <v>modesg_inp_km_medios_emss_vclstipo_vcl</v>
      </c>
      <c r="B445" s="141" t="s">
        <v>26</v>
      </c>
      <c r="C445" s="137" t="s">
        <v>181</v>
      </c>
      <c r="D445" s="133" t="s">
        <v>40</v>
      </c>
      <c r="E445" s="134" t="s">
        <v>213</v>
      </c>
      <c r="F445" s="476" t="s">
        <v>236</v>
      </c>
      <c r="G445" s="135" t="str">
        <f>VLOOKUP(A445,Plano_V3!$A$26:$G$768,7,0)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2321</v>
      </c>
      <c r="V445" s="323"/>
    </row>
    <row r="446" spans="1:22" ht="16.399999999999999" hidden="1" customHeight="1">
      <c r="A446" s="29" t="str">
        <f t="shared" si="8"/>
        <v>modesg_inp_km_medios_emss_vclstipo_motor</v>
      </c>
      <c r="B446" s="141" t="s">
        <v>26</v>
      </c>
      <c r="C446" s="137" t="s">
        <v>181</v>
      </c>
      <c r="D446" s="133" t="s">
        <v>40</v>
      </c>
      <c r="E446" s="134" t="s">
        <v>213</v>
      </c>
      <c r="F446" s="476" t="s">
        <v>224</v>
      </c>
      <c r="G446" s="135" t="str">
        <f>VLOOKUP(A446,Plano_V3!$A$26:$G$768,7,0)</f>
        <v>1. Concluído</v>
      </c>
      <c r="H446" s="135" t="s">
        <v>612</v>
      </c>
      <c r="I446" s="473"/>
      <c r="J446" s="488"/>
      <c r="K446" s="488"/>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2321</v>
      </c>
      <c r="V446" s="323"/>
    </row>
    <row r="447" spans="1:22" ht="16.399999999999999" hidden="1" customHeight="1">
      <c r="A447" s="29" t="str">
        <f t="shared" si="8"/>
        <v>modesg_inp_km_medios_emss_vclssubgrupo</v>
      </c>
      <c r="B447" s="141" t="s">
        <v>26</v>
      </c>
      <c r="C447" s="137" t="s">
        <v>181</v>
      </c>
      <c r="D447" s="133" t="s">
        <v>40</v>
      </c>
      <c r="E447" s="134" t="s">
        <v>213</v>
      </c>
      <c r="F447" s="476" t="s">
        <v>227</v>
      </c>
      <c r="G447" s="135" t="str">
        <f>VLOOKUP(A447,Plano_V3!$A$26:$G$768,7,0)</f>
        <v>1. Concluído</v>
      </c>
      <c r="H447" s="135" t="s">
        <v>612</v>
      </c>
      <c r="I447" s="473"/>
      <c r="J447" s="488"/>
      <c r="K447" s="488"/>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2321</v>
      </c>
      <c r="V447" s="323"/>
    </row>
    <row r="448" spans="1:22" ht="16.399999999999999" hidden="1" customHeight="1">
      <c r="A448" s="29" t="str">
        <f t="shared" si="8"/>
        <v>modesg_inp_km_medios_emss_vclsmedia_km</v>
      </c>
      <c r="B448" s="141" t="s">
        <v>26</v>
      </c>
      <c r="C448" s="137" t="s">
        <v>181</v>
      </c>
      <c r="D448" s="133" t="s">
        <v>40</v>
      </c>
      <c r="E448" s="134" t="s">
        <v>213</v>
      </c>
      <c r="F448" s="476" t="s">
        <v>237</v>
      </c>
      <c r="G448" s="135" t="str">
        <f>VLOOKUP(A448,Plano_V3!$A$26:$G$768,7,0)</f>
        <v>1. Concluído</v>
      </c>
      <c r="H448" s="135" t="s">
        <v>612</v>
      </c>
      <c r="I448" s="473"/>
      <c r="J448" s="488"/>
      <c r="K448" s="488"/>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2321</v>
      </c>
      <c r="V448" s="323"/>
    </row>
    <row r="449" spans="1:22" ht="16.399999999999999" hidden="1" customHeight="1">
      <c r="A449" s="29" t="str">
        <f t="shared" si="8"/>
        <v>modesg_inp_empr_excl_parisref_date</v>
      </c>
      <c r="B449" s="141" t="s">
        <v>26</v>
      </c>
      <c r="C449" s="137" t="s">
        <v>181</v>
      </c>
      <c r="D449" s="133" t="s">
        <v>40</v>
      </c>
      <c r="E449" s="134" t="s">
        <v>214</v>
      </c>
      <c r="F449" s="476" t="s">
        <v>208</v>
      </c>
      <c r="G449" s="135" t="str">
        <f>VLOOKUP(A449,Plano_V3!$A$26:$G$768,7,0)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2321</v>
      </c>
      <c r="V449" s="323"/>
    </row>
    <row r="450" spans="1:22" ht="16.399999999999999" hidden="1" customHeight="1">
      <c r="A450" s="29" t="str">
        <f t="shared" si="8"/>
        <v>modesg_inp_empr_excl_parisisin</v>
      </c>
      <c r="B450" s="141" t="s">
        <v>26</v>
      </c>
      <c r="C450" s="137" t="s">
        <v>181</v>
      </c>
      <c r="D450" s="133" t="s">
        <v>40</v>
      </c>
      <c r="E450" s="134" t="s">
        <v>214</v>
      </c>
      <c r="F450" s="476" t="s">
        <v>238</v>
      </c>
      <c r="G450" s="135" t="str">
        <f>VLOOKUP(A450,Plano_V3!$A$26:$G$768,7,0)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2321</v>
      </c>
      <c r="V450" s="323"/>
    </row>
    <row r="451" spans="1:22" ht="16.399999999999999" hidden="1" customHeight="1">
      <c r="A451" s="29" t="str">
        <f t="shared" si="8"/>
        <v>modesg_inp_empr_excl_parisclei</v>
      </c>
      <c r="B451" s="141" t="s">
        <v>26</v>
      </c>
      <c r="C451" s="137" t="s">
        <v>181</v>
      </c>
      <c r="D451" s="133" t="s">
        <v>40</v>
      </c>
      <c r="E451" s="134" t="s">
        <v>214</v>
      </c>
      <c r="F451" s="476" t="s">
        <v>239</v>
      </c>
      <c r="G451" s="135" t="str">
        <f>VLOOKUP(A451,Plano_V3!$A$26:$G$768,7,0)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2321</v>
      </c>
      <c r="V451" s="323"/>
    </row>
    <row r="452" spans="1:22" ht="16.399999999999999" hidden="1" customHeight="1">
      <c r="A452" s="29" t="str">
        <f t="shared" si="8"/>
        <v>modesg_inp_empr_excl_parisccli_kgl</v>
      </c>
      <c r="B452" s="141" t="s">
        <v>26</v>
      </c>
      <c r="C452" s="137" t="s">
        <v>181</v>
      </c>
      <c r="D452" s="133" t="s">
        <v>40</v>
      </c>
      <c r="E452" s="134" t="s">
        <v>214</v>
      </c>
      <c r="F452" s="476" t="s">
        <v>240</v>
      </c>
      <c r="G452" s="135" t="str">
        <f>VLOOKUP(A452,Plano_V3!$A$26:$G$768,7,0)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2321</v>
      </c>
      <c r="V452" s="323"/>
    </row>
    <row r="453" spans="1:22" ht="16.399999999999999" hidden="1" customHeight="1">
      <c r="A453" s="29" t="str">
        <f t="shared" si="8"/>
        <v>modesg_inp_empr_excl_parisnome_entidade</v>
      </c>
      <c r="B453" s="141" t="s">
        <v>26</v>
      </c>
      <c r="C453" s="137" t="s">
        <v>181</v>
      </c>
      <c r="D453" s="133" t="s">
        <v>40</v>
      </c>
      <c r="E453" s="134" t="s">
        <v>214</v>
      </c>
      <c r="F453" s="476" t="s">
        <v>241</v>
      </c>
      <c r="G453" s="135" t="str">
        <f>VLOOKUP(A453,Plano_V3!$A$26:$G$768,7,0)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2321</v>
      </c>
      <c r="V453" s="323"/>
    </row>
    <row r="454" spans="1:22" ht="16.399999999999999" hidden="1" customHeight="1">
      <c r="A454" s="29" t="str">
        <f t="shared" si="8"/>
        <v>modesg_inp_empr_excl_parisflg_scib</v>
      </c>
      <c r="B454" s="141" t="s">
        <v>26</v>
      </c>
      <c r="C454" s="137" t="s">
        <v>181</v>
      </c>
      <c r="D454" s="133" t="s">
        <v>40</v>
      </c>
      <c r="E454" s="134" t="s">
        <v>214</v>
      </c>
      <c r="F454" s="476" t="s">
        <v>242</v>
      </c>
      <c r="G454" s="135" t="str">
        <f>VLOOKUP(A454,Plano_V3!$A$26:$G$768,7,0)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2321</v>
      </c>
      <c r="V454" s="323"/>
    </row>
    <row r="455" spans="1:22" ht="16.399999999999999" hidden="1" customHeight="1">
      <c r="A455" s="29" t="str">
        <f t="shared" si="8"/>
        <v>modesg_inp_empr_excl_parisnome_pais</v>
      </c>
      <c r="B455" s="141" t="s">
        <v>26</v>
      </c>
      <c r="C455" s="137" t="s">
        <v>181</v>
      </c>
      <c r="D455" s="133" t="s">
        <v>40</v>
      </c>
      <c r="E455" s="134" t="s">
        <v>214</v>
      </c>
      <c r="F455" s="476" t="s">
        <v>221</v>
      </c>
      <c r="G455" s="135" t="str">
        <f>VLOOKUP(A455,Plano_V3!$A$26:$G$768,7,0)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2321</v>
      </c>
      <c r="V455" s="323"/>
    </row>
    <row r="456" spans="1:22" ht="16.399999999999999" hidden="1" customHeight="1">
      <c r="A456" s="29" t="str">
        <f t="shared" si="8"/>
        <v>modesg_inp_nfrd_alinhamento_taxref_date</v>
      </c>
      <c r="B456" s="141" t="s">
        <v>26</v>
      </c>
      <c r="C456" s="137" t="s">
        <v>181</v>
      </c>
      <c r="D456" s="133" t="s">
        <v>40</v>
      </c>
      <c r="E456" s="134" t="s">
        <v>215</v>
      </c>
      <c r="F456" s="476" t="s">
        <v>208</v>
      </c>
      <c r="G456" s="135" t="str">
        <f>VLOOKUP(A456,Plano_V3!$A$26:$G$768,7,0)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2321</v>
      </c>
      <c r="V456" s="323"/>
    </row>
    <row r="457" spans="1:22" ht="16.399999999999999" hidden="1" customHeight="1">
      <c r="A457" s="29" t="str">
        <f t="shared" si="8"/>
        <v>modesg_inp_nfrd_alinhamento_taxccli_kgl</v>
      </c>
      <c r="B457" s="141" t="s">
        <v>26</v>
      </c>
      <c r="C457" s="137" t="s">
        <v>181</v>
      </c>
      <c r="D457" s="133" t="s">
        <v>40</v>
      </c>
      <c r="E457" s="134" t="s">
        <v>215</v>
      </c>
      <c r="F457" s="476" t="s">
        <v>240</v>
      </c>
      <c r="G457" s="135" t="str">
        <f>VLOOKUP(A457,Plano_V3!$A$26:$G$768,7,0)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2321</v>
      </c>
      <c r="V457" s="323"/>
    </row>
    <row r="458" spans="1:22" ht="16.399999999999999" hidden="1" customHeight="1">
      <c r="A458" s="29" t="str">
        <f t="shared" si="8"/>
        <v>modesg_inp_nfrd_alinhamento_taxclei</v>
      </c>
      <c r="B458" s="141" t="s">
        <v>26</v>
      </c>
      <c r="C458" s="137" t="s">
        <v>181</v>
      </c>
      <c r="D458" s="133" t="s">
        <v>40</v>
      </c>
      <c r="E458" s="134" t="s">
        <v>215</v>
      </c>
      <c r="F458" s="476" t="s">
        <v>239</v>
      </c>
      <c r="G458" s="135" t="str">
        <f>VLOOKUP(A458,Plano_V3!$A$26:$G$768,7,0)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2321</v>
      </c>
      <c r="V458" s="323"/>
    </row>
    <row r="459" spans="1:22" ht="16.399999999999999" hidden="1" customHeight="1">
      <c r="A459" s="29" t="str">
        <f t="shared" ref="A459:A524" si="9">E459&amp;F459</f>
        <v>modesg_inp_nfrd_alinhamento_taxperm_id</v>
      </c>
      <c r="B459" s="141" t="s">
        <v>26</v>
      </c>
      <c r="C459" s="137" t="s">
        <v>181</v>
      </c>
      <c r="D459" s="133" t="s">
        <v>40</v>
      </c>
      <c r="E459" s="134" t="s">
        <v>215</v>
      </c>
      <c r="F459" s="476" t="s">
        <v>243</v>
      </c>
      <c r="G459" s="135" t="str">
        <f>VLOOKUP(A459,Plano_V3!$A$26:$G$768,7,0)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2321</v>
      </c>
      <c r="V459" s="323"/>
    </row>
    <row r="460" spans="1:22" ht="16.399999999999999" hidden="1" customHeight="1">
      <c r="A460" s="29" t="str">
        <f t="shared" si="9"/>
        <v>modesg_inp_nfrd_alinhamento_taxnome_entidade</v>
      </c>
      <c r="B460" s="141" t="s">
        <v>26</v>
      </c>
      <c r="C460" s="137" t="s">
        <v>181</v>
      </c>
      <c r="D460" s="133" t="s">
        <v>40</v>
      </c>
      <c r="E460" s="134" t="s">
        <v>215</v>
      </c>
      <c r="F460" s="476" t="s">
        <v>241</v>
      </c>
      <c r="G460" s="135" t="str">
        <f>VLOOKUP(A460,Plano_V3!$A$26:$G$768,7,0)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2321</v>
      </c>
      <c r="V460" s="323"/>
    </row>
    <row r="461" spans="1:22" ht="16.399999999999999" hidden="1" customHeight="1">
      <c r="A461" s="29" t="str">
        <f t="shared" si="9"/>
        <v>modesg_inp_nfrd_alinhamento_taxnome_pais</v>
      </c>
      <c r="B461" s="141" t="s">
        <v>26</v>
      </c>
      <c r="C461" s="137" t="s">
        <v>181</v>
      </c>
      <c r="D461" s="133" t="s">
        <v>40</v>
      </c>
      <c r="E461" s="134" t="s">
        <v>215</v>
      </c>
      <c r="F461" s="476" t="s">
        <v>221</v>
      </c>
      <c r="G461" s="135" t="str">
        <f>VLOOKUP(A461,Plano_V3!$A$26:$G$768,7,0)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2321</v>
      </c>
      <c r="V461" s="323"/>
    </row>
    <row r="462" spans="1:22" ht="16.399999999999999" hidden="1" customHeight="1">
      <c r="A462" s="29" t="str">
        <f t="shared" si="9"/>
        <v>modesg_inp_nfrd_alinhamento_taxflg_nfrd</v>
      </c>
      <c r="B462" s="141" t="s">
        <v>26</v>
      </c>
      <c r="C462" s="137" t="s">
        <v>181</v>
      </c>
      <c r="D462" s="133" t="s">
        <v>40</v>
      </c>
      <c r="E462" s="134" t="s">
        <v>215</v>
      </c>
      <c r="F462" s="476" t="s">
        <v>244</v>
      </c>
      <c r="G462" s="135" t="str">
        <f>VLOOKUP(A462,Plano_V3!$A$26:$G$768,7,0)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2321</v>
      </c>
      <c r="V462" s="323"/>
    </row>
    <row r="463" spans="1:22" ht="16.399999999999999" hidden="1" customHeight="1">
      <c r="A463" s="29" t="str">
        <f t="shared" si="9"/>
        <v>modesg_inp_nfrd_alinhamento_taxcca_trnvr_ttl_elgbl</v>
      </c>
      <c r="B463" s="141" t="s">
        <v>26</v>
      </c>
      <c r="C463" s="137" t="s">
        <v>181</v>
      </c>
      <c r="D463" s="133" t="s">
        <v>40</v>
      </c>
      <c r="E463" s="134" t="s">
        <v>215</v>
      </c>
      <c r="F463" s="476" t="s">
        <v>245</v>
      </c>
      <c r="G463" s="135" t="str">
        <f>VLOOKUP(A463,Plano_V3!$A$26:$G$768,7,0)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2321</v>
      </c>
      <c r="V463" s="323"/>
    </row>
    <row r="464" spans="1:22" ht="16.399999999999999" hidden="1" customHeight="1">
      <c r="A464" s="29" t="str">
        <f t="shared" si="9"/>
        <v>modesg_inp_nfrd_alinhamento_taxcca_trnvr_enblng_alignd</v>
      </c>
      <c r="B464" s="141" t="s">
        <v>26</v>
      </c>
      <c r="C464" s="137" t="s">
        <v>181</v>
      </c>
      <c r="D464" s="133" t="s">
        <v>40</v>
      </c>
      <c r="E464" s="134" t="s">
        <v>215</v>
      </c>
      <c r="F464" s="476" t="s">
        <v>246</v>
      </c>
      <c r="G464" s="135" t="str">
        <f>VLOOKUP(A464,Plano_V3!$A$26:$G$768,7,0)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2321</v>
      </c>
      <c r="V464" s="323"/>
    </row>
    <row r="465" spans="1:22" ht="16.399999999999999" hidden="1" customHeight="1">
      <c r="A465" s="29" t="str">
        <f t="shared" si="9"/>
        <v>modesg_inp_nfrd_alinhamento_taxcca_turnover_own_prfrmnce_algnd</v>
      </c>
      <c r="B465" s="141" t="s">
        <v>26</v>
      </c>
      <c r="C465" s="137" t="s">
        <v>181</v>
      </c>
      <c r="D465" s="133" t="s">
        <v>40</v>
      </c>
      <c r="E465" s="134" t="s">
        <v>215</v>
      </c>
      <c r="F465" s="476" t="s">
        <v>247</v>
      </c>
      <c r="G465" s="135" t="str">
        <f>VLOOKUP(A465,Plano_V3!$A$26:$G$768,7,0)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2321</v>
      </c>
      <c r="V465" s="323"/>
    </row>
    <row r="466" spans="1:22" ht="16.399999999999999" hidden="1" customHeight="1">
      <c r="A466" s="29" t="str">
        <f t="shared" si="9"/>
        <v>modesg_inp_nfrd_alinhamento_taxcca_capex_ttl_elgbl</v>
      </c>
      <c r="B466" s="141" t="s">
        <v>26</v>
      </c>
      <c r="C466" s="137" t="s">
        <v>181</v>
      </c>
      <c r="D466" s="133" t="s">
        <v>40</v>
      </c>
      <c r="E466" s="134" t="s">
        <v>215</v>
      </c>
      <c r="F466" s="476" t="s">
        <v>248</v>
      </c>
      <c r="G466" s="135" t="str">
        <f>VLOOKUP(A466,Plano_V3!$A$26:$G$768,7,0)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2321</v>
      </c>
      <c r="V466" s="323"/>
    </row>
    <row r="467" spans="1:22" ht="16.399999999999999" hidden="1" customHeight="1">
      <c r="A467" s="29" t="str">
        <f t="shared" si="9"/>
        <v>modesg_inp_nfrd_alinhamento_taxcca_capex_enblng_algnd</v>
      </c>
      <c r="B467" s="141" t="s">
        <v>26</v>
      </c>
      <c r="C467" s="137" t="s">
        <v>181</v>
      </c>
      <c r="D467" s="133" t="s">
        <v>40</v>
      </c>
      <c r="E467" s="134" t="s">
        <v>215</v>
      </c>
      <c r="F467" s="476" t="s">
        <v>249</v>
      </c>
      <c r="G467" s="135" t="str">
        <f>VLOOKUP(A467,Plano_V3!$A$26:$G$768,7,0)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2321</v>
      </c>
      <c r="V467" s="323"/>
    </row>
    <row r="468" spans="1:22" ht="16.399999999999999" hidden="1" customHeight="1">
      <c r="A468" s="29" t="str">
        <f t="shared" si="9"/>
        <v>modesg_inp_nfrd_alinhamento_taxcca_capex_own_prfrmnce_algnd</v>
      </c>
      <c r="B468" s="141" t="s">
        <v>26</v>
      </c>
      <c r="C468" s="137" t="s">
        <v>181</v>
      </c>
      <c r="D468" s="133" t="s">
        <v>40</v>
      </c>
      <c r="E468" s="134" t="s">
        <v>215</v>
      </c>
      <c r="F468" s="476" t="s">
        <v>250</v>
      </c>
      <c r="G468" s="135" t="str">
        <f>VLOOKUP(A468,Plano_V3!$A$26:$G$768,7,0)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2321</v>
      </c>
      <c r="V468" s="323"/>
    </row>
    <row r="469" spans="1:22" ht="16.399999999999999" hidden="1" customHeight="1">
      <c r="A469" s="29" t="str">
        <f t="shared" si="9"/>
        <v>modesg_inp_nfrd_alinhamento_taxccm_trnvr_ttl_elgbl</v>
      </c>
      <c r="B469" s="141" t="s">
        <v>26</v>
      </c>
      <c r="C469" s="137" t="s">
        <v>181</v>
      </c>
      <c r="D469" s="133" t="s">
        <v>40</v>
      </c>
      <c r="E469" s="134" t="s">
        <v>215</v>
      </c>
      <c r="F469" s="476" t="s">
        <v>251</v>
      </c>
      <c r="G469" s="135" t="str">
        <f>VLOOKUP(A469,Plano_V3!$A$26:$G$768,7,0)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2321</v>
      </c>
      <c r="V469" s="323"/>
    </row>
    <row r="470" spans="1:22" ht="16.399999999999999" hidden="1" customHeight="1">
      <c r="A470" s="29" t="str">
        <f t="shared" si="9"/>
        <v>modesg_inp_nfrd_alinhamento_taxccm_trnvr_enblng_algnd</v>
      </c>
      <c r="B470" s="141" t="s">
        <v>26</v>
      </c>
      <c r="C470" s="137" t="s">
        <v>181</v>
      </c>
      <c r="D470" s="133" t="s">
        <v>40</v>
      </c>
      <c r="E470" s="134" t="s">
        <v>215</v>
      </c>
      <c r="F470" s="476" t="s">
        <v>252</v>
      </c>
      <c r="G470" s="135" t="str">
        <f>VLOOKUP(A470,Plano_V3!$A$26:$G$768,7,0)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2321</v>
      </c>
      <c r="V470" s="323"/>
    </row>
    <row r="471" spans="1:22" ht="16.399999999999999" hidden="1" customHeight="1">
      <c r="A471" s="29" t="str">
        <f t="shared" si="9"/>
        <v>modesg_inp_nfrd_alinhamento_taxccm_trnvr_trnstn_alignd</v>
      </c>
      <c r="B471" s="141" t="s">
        <v>26</v>
      </c>
      <c r="C471" s="137" t="s">
        <v>181</v>
      </c>
      <c r="D471" s="133" t="s">
        <v>40</v>
      </c>
      <c r="E471" s="134" t="s">
        <v>215</v>
      </c>
      <c r="F471" s="476" t="s">
        <v>253</v>
      </c>
      <c r="G471" s="135" t="str">
        <f>VLOOKUP(A471,Plano_V3!$A$26:$G$768,7,0)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2321</v>
      </c>
      <c r="V471" s="323"/>
    </row>
    <row r="472" spans="1:22" ht="16.399999999999999" hidden="1" customHeight="1">
      <c r="A472" s="29" t="str">
        <f t="shared" si="9"/>
        <v>modesg_inp_nfrd_alinhamento_taxccm_trnvr_own_prfrmnce_algnd</v>
      </c>
      <c r="B472" s="141" t="s">
        <v>26</v>
      </c>
      <c r="C472" s="137" t="s">
        <v>181</v>
      </c>
      <c r="D472" s="133" t="s">
        <v>40</v>
      </c>
      <c r="E472" s="134" t="s">
        <v>215</v>
      </c>
      <c r="F472" s="476" t="s">
        <v>254</v>
      </c>
      <c r="G472" s="135" t="str">
        <f>VLOOKUP(A472,Plano_V3!$A$26:$G$768,7,0)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2321</v>
      </c>
      <c r="V472" s="323"/>
    </row>
    <row r="473" spans="1:22" ht="16.399999999999999" hidden="1" customHeight="1">
      <c r="A473" s="29" t="str">
        <f t="shared" si="9"/>
        <v>modesg_inp_nfrd_alinhamento_taxccm_capex_ttl_elgbl</v>
      </c>
      <c r="B473" s="141" t="s">
        <v>26</v>
      </c>
      <c r="C473" s="137" t="s">
        <v>181</v>
      </c>
      <c r="D473" s="133" t="s">
        <v>40</v>
      </c>
      <c r="E473" s="134" t="s">
        <v>215</v>
      </c>
      <c r="F473" s="476" t="s">
        <v>255</v>
      </c>
      <c r="G473" s="135" t="str">
        <f>VLOOKUP(A473,Plano_V3!$A$26:$G$768,7,0)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2321</v>
      </c>
      <c r="V473" s="323"/>
    </row>
    <row r="474" spans="1:22" ht="16.399999999999999" hidden="1" customHeight="1">
      <c r="A474" s="29" t="str">
        <f t="shared" si="9"/>
        <v>modesg_inp_nfrd_alinhamento_taxccm_capex_enblng_algnd</v>
      </c>
      <c r="B474" s="141" t="s">
        <v>26</v>
      </c>
      <c r="C474" s="137" t="s">
        <v>181</v>
      </c>
      <c r="D474" s="133" t="s">
        <v>40</v>
      </c>
      <c r="E474" s="134" t="s">
        <v>215</v>
      </c>
      <c r="F474" s="476" t="s">
        <v>256</v>
      </c>
      <c r="G474" s="135" t="str">
        <f>VLOOKUP(A474,Plano_V3!$A$26:$G$768,7,0)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2321</v>
      </c>
      <c r="V474" s="323"/>
    </row>
    <row r="475" spans="1:22" ht="16.399999999999999" hidden="1" customHeight="1">
      <c r="A475" s="29" t="str">
        <f t="shared" si="9"/>
        <v>modesg_inp_nfrd_alinhamento_taxccm_capex_trnstn_algnd</v>
      </c>
      <c r="B475" s="141" t="s">
        <v>26</v>
      </c>
      <c r="C475" s="137" t="s">
        <v>181</v>
      </c>
      <c r="D475" s="133" t="s">
        <v>40</v>
      </c>
      <c r="E475" s="134" t="s">
        <v>215</v>
      </c>
      <c r="F475" s="476" t="s">
        <v>257</v>
      </c>
      <c r="G475" s="135" t="str">
        <f>VLOOKUP(A475,Plano_V3!$A$26:$G$768,7,0)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2321</v>
      </c>
      <c r="V475" s="323"/>
    </row>
    <row r="476" spans="1:22" ht="16.399999999999999" hidden="1" customHeight="1">
      <c r="A476" s="29" t="str">
        <f t="shared" si="9"/>
        <v>modesg_inp_nfrd_alinhamento_taxccm_capex_own_prfrmnce_algnd</v>
      </c>
      <c r="B476" s="141" t="s">
        <v>26</v>
      </c>
      <c r="C476" s="137" t="s">
        <v>181</v>
      </c>
      <c r="D476" s="133" t="s">
        <v>40</v>
      </c>
      <c r="E476" s="134" t="s">
        <v>215</v>
      </c>
      <c r="F476" s="476" t="s">
        <v>258</v>
      </c>
      <c r="G476" s="135" t="str">
        <f>VLOOKUP(A476,Plano_V3!$A$26:$G$768,7,0)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2321</v>
      </c>
      <c r="V476" s="323"/>
    </row>
    <row r="477" spans="1:22" ht="16.399999999999999" hidden="1" customHeight="1">
      <c r="A477" s="29" t="str">
        <f t="shared" si="9"/>
        <v>modesg_inp_nfrd_alinhamento_taxppc_trnvr_ttl_elgbl</v>
      </c>
      <c r="B477" s="141" t="s">
        <v>26</v>
      </c>
      <c r="C477" s="137" t="s">
        <v>181</v>
      </c>
      <c r="D477" s="133" t="s">
        <v>40</v>
      </c>
      <c r="E477" s="134" t="s">
        <v>215</v>
      </c>
      <c r="F477" s="476" t="s">
        <v>259</v>
      </c>
      <c r="G477" s="135" t="str">
        <f>VLOOKUP(A477,Plano_V3!$A$26:$G$768,7,0)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2321</v>
      </c>
      <c r="V477" s="323"/>
    </row>
    <row r="478" spans="1:22" ht="16.399999999999999" hidden="1" customHeight="1">
      <c r="A478" s="29" t="str">
        <f t="shared" si="9"/>
        <v>modesg_inp_nfrd_alinhamento_taxppc_turnover_own_prfrmnce_algnd</v>
      </c>
      <c r="B478" s="141" t="s">
        <v>26</v>
      </c>
      <c r="C478" s="137" t="s">
        <v>181</v>
      </c>
      <c r="D478" s="133" t="s">
        <v>40</v>
      </c>
      <c r="E478" s="134" t="s">
        <v>215</v>
      </c>
      <c r="F478" s="476" t="s">
        <v>260</v>
      </c>
      <c r="G478" s="135" t="str">
        <f>VLOOKUP(A478,Plano_V3!$A$26:$G$768,7,0)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2321</v>
      </c>
      <c r="V478" s="323"/>
    </row>
    <row r="479" spans="1:22" ht="16.399999999999999" hidden="1" customHeight="1">
      <c r="A479" s="29" t="str">
        <f t="shared" si="9"/>
        <v>modesg_inp_nfrd_alinhamento_taxppc_capex_ttl_elgbl</v>
      </c>
      <c r="B479" s="141" t="s">
        <v>26</v>
      </c>
      <c r="C479" s="137" t="s">
        <v>181</v>
      </c>
      <c r="D479" s="133" t="s">
        <v>40</v>
      </c>
      <c r="E479" s="134" t="s">
        <v>215</v>
      </c>
      <c r="F479" s="476" t="s">
        <v>261</v>
      </c>
      <c r="G479" s="135" t="str">
        <f>VLOOKUP(A479,Plano_V3!$A$26:$G$768,7,0)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2321</v>
      </c>
      <c r="V479" s="323"/>
    </row>
    <row r="480" spans="1:22" ht="16.399999999999999" hidden="1" customHeight="1">
      <c r="A480" s="29" t="str">
        <f t="shared" si="9"/>
        <v>modesg_inp_nfrd_alinhamento_taxppc_capex_own_prfrmnce_algnd</v>
      </c>
      <c r="B480" s="141" t="s">
        <v>26</v>
      </c>
      <c r="C480" s="137" t="s">
        <v>181</v>
      </c>
      <c r="D480" s="133" t="s">
        <v>40</v>
      </c>
      <c r="E480" s="134" t="s">
        <v>215</v>
      </c>
      <c r="F480" s="476" t="s">
        <v>262</v>
      </c>
      <c r="G480" s="135" t="str">
        <f>VLOOKUP(A480,Plano_V3!$A$26:$G$768,7,0)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2321</v>
      </c>
      <c r="V480" s="323"/>
    </row>
    <row r="481" spans="1:22" ht="16.399999999999999" hidden="1" customHeight="1">
      <c r="A481" s="29" t="str">
        <f t="shared" si="9"/>
        <v>modesg_inp_nfrd_alinhamento_taxbio_trnvr_ttl_elgbl</v>
      </c>
      <c r="B481" s="141" t="s">
        <v>26</v>
      </c>
      <c r="C481" s="137" t="s">
        <v>181</v>
      </c>
      <c r="D481" s="133" t="s">
        <v>40</v>
      </c>
      <c r="E481" s="134" t="s">
        <v>215</v>
      </c>
      <c r="F481" s="476" t="s">
        <v>263</v>
      </c>
      <c r="G481" s="135" t="str">
        <f>VLOOKUP(A481,Plano_V3!$A$26:$G$768,7,0)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2321</v>
      </c>
      <c r="V481" s="323"/>
    </row>
    <row r="482" spans="1:22" ht="16.399999999999999" hidden="1" customHeight="1">
      <c r="A482" s="29" t="str">
        <f t="shared" si="9"/>
        <v>modesg_inp_nfrd_alinhamento_taxbio_turnover_own_prfrmnce_algnd</v>
      </c>
      <c r="B482" s="141" t="s">
        <v>26</v>
      </c>
      <c r="C482" s="137" t="s">
        <v>181</v>
      </c>
      <c r="D482" s="133" t="s">
        <v>40</v>
      </c>
      <c r="E482" s="134" t="s">
        <v>215</v>
      </c>
      <c r="F482" s="476" t="s">
        <v>264</v>
      </c>
      <c r="G482" s="135" t="str">
        <f>VLOOKUP(A482,Plano_V3!$A$26:$G$768,7,0)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2321</v>
      </c>
      <c r="V482" s="323"/>
    </row>
    <row r="483" spans="1:22" ht="16.399999999999999" hidden="1" customHeight="1">
      <c r="A483" s="29" t="str">
        <f t="shared" si="9"/>
        <v>modesg_inp_nfrd_alinhamento_taxbio_capex_ttl_elgbl</v>
      </c>
      <c r="B483" s="141" t="s">
        <v>26</v>
      </c>
      <c r="C483" s="137" t="s">
        <v>181</v>
      </c>
      <c r="D483" s="133" t="s">
        <v>40</v>
      </c>
      <c r="E483" s="134" t="s">
        <v>215</v>
      </c>
      <c r="F483" s="476" t="s">
        <v>265</v>
      </c>
      <c r="G483" s="135" t="str">
        <f>VLOOKUP(A483,Plano_V3!$A$26:$G$768,7,0)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2321</v>
      </c>
      <c r="V483" s="323"/>
    </row>
    <row r="484" spans="1:22" ht="16.399999999999999" hidden="1" customHeight="1">
      <c r="A484" s="29" t="str">
        <f t="shared" si="9"/>
        <v>modesg_inp_nfrd_alinhamento_taxbio_capex_own_prfrmnce_algnd</v>
      </c>
      <c r="B484" s="141" t="s">
        <v>26</v>
      </c>
      <c r="C484" s="137" t="s">
        <v>181</v>
      </c>
      <c r="D484" s="133" t="s">
        <v>40</v>
      </c>
      <c r="E484" s="134" t="s">
        <v>215</v>
      </c>
      <c r="F484" s="476" t="s">
        <v>266</v>
      </c>
      <c r="G484" s="135" t="str">
        <f>VLOOKUP(A484,Plano_V3!$A$26:$G$768,7,0)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2321</v>
      </c>
      <c r="V484" s="323"/>
    </row>
    <row r="485" spans="1:22" ht="16.399999999999999" hidden="1" customHeight="1">
      <c r="A485" s="29" t="str">
        <f t="shared" si="9"/>
        <v>modesg_inp_nfrd_alinhamento_taxwtr_trnvr_ttl_elgbl</v>
      </c>
      <c r="B485" s="141" t="s">
        <v>26</v>
      </c>
      <c r="C485" s="137" t="s">
        <v>181</v>
      </c>
      <c r="D485" s="133" t="s">
        <v>40</v>
      </c>
      <c r="E485" s="134" t="s">
        <v>215</v>
      </c>
      <c r="F485" s="476" t="s">
        <v>267</v>
      </c>
      <c r="G485" s="135" t="str">
        <f>VLOOKUP(A485,Plano_V3!$A$26:$G$768,7,0)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2321</v>
      </c>
      <c r="V485" s="323"/>
    </row>
    <row r="486" spans="1:22" ht="16.399999999999999" hidden="1" customHeight="1">
      <c r="A486" s="29" t="str">
        <f t="shared" si="9"/>
        <v>modesg_inp_nfrd_alinhamento_taxwtr_trnvr_enblng_alignd</v>
      </c>
      <c r="B486" s="141" t="s">
        <v>26</v>
      </c>
      <c r="C486" s="137" t="s">
        <v>181</v>
      </c>
      <c r="D486" s="133" t="s">
        <v>40</v>
      </c>
      <c r="E486" s="134" t="s">
        <v>215</v>
      </c>
      <c r="F486" s="476" t="s">
        <v>268</v>
      </c>
      <c r="G486" s="135" t="str">
        <f>VLOOKUP(A486,Plano_V3!$A$26:$G$768,7,0)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2321</v>
      </c>
      <c r="V486" s="323"/>
    </row>
    <row r="487" spans="1:22" ht="16.399999999999999" hidden="1" customHeight="1">
      <c r="A487" s="29" t="str">
        <f t="shared" si="9"/>
        <v>modesg_inp_nfrd_alinhamento_taxwtr_turnover_own_prfrmnce_algnd</v>
      </c>
      <c r="B487" s="141" t="s">
        <v>26</v>
      </c>
      <c r="C487" s="137" t="s">
        <v>181</v>
      </c>
      <c r="D487" s="133" t="s">
        <v>40</v>
      </c>
      <c r="E487" s="134" t="s">
        <v>215</v>
      </c>
      <c r="F487" s="476" t="s">
        <v>269</v>
      </c>
      <c r="G487" s="135" t="str">
        <f>VLOOKUP(A487,Plano_V3!$A$26:$G$768,7,0)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2321</v>
      </c>
      <c r="V487" s="323"/>
    </row>
    <row r="488" spans="1:22" ht="16.399999999999999" hidden="1" customHeight="1">
      <c r="A488" s="29" t="str">
        <f t="shared" si="9"/>
        <v>modesg_inp_nfrd_alinhamento_taxwtr_capex_ttl_elgbl</v>
      </c>
      <c r="B488" s="141" t="s">
        <v>26</v>
      </c>
      <c r="C488" s="137" t="s">
        <v>181</v>
      </c>
      <c r="D488" s="133" t="s">
        <v>40</v>
      </c>
      <c r="E488" s="134" t="s">
        <v>215</v>
      </c>
      <c r="F488" s="476" t="s">
        <v>270</v>
      </c>
      <c r="G488" s="135" t="str">
        <f>VLOOKUP(A488,Plano_V3!$A$26:$G$768,7,0)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2321</v>
      </c>
      <c r="V488" s="323"/>
    </row>
    <row r="489" spans="1:22" ht="16.399999999999999" hidden="1" customHeight="1">
      <c r="A489" s="29" t="str">
        <f t="shared" si="9"/>
        <v>modesg_inp_nfrd_alinhamento_taxwtr_capex_enblng_algnd</v>
      </c>
      <c r="B489" s="141" t="s">
        <v>26</v>
      </c>
      <c r="C489" s="137" t="s">
        <v>181</v>
      </c>
      <c r="D489" s="133" t="s">
        <v>40</v>
      </c>
      <c r="E489" s="134" t="s">
        <v>215</v>
      </c>
      <c r="F489" s="476" t="s">
        <v>271</v>
      </c>
      <c r="G489" s="135" t="str">
        <f>VLOOKUP(A489,Plano_V3!$A$26:$G$768,7,0)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2321</v>
      </c>
      <c r="V489" s="323"/>
    </row>
    <row r="490" spans="1:22" ht="16.399999999999999" hidden="1" customHeight="1">
      <c r="A490" s="29" t="str">
        <f t="shared" si="9"/>
        <v>modesg_inp_nfrd_alinhamento_taxwtr_capex_own_prfrmnce_algnd</v>
      </c>
      <c r="B490" s="141" t="s">
        <v>26</v>
      </c>
      <c r="C490" s="137" t="s">
        <v>181</v>
      </c>
      <c r="D490" s="133" t="s">
        <v>40</v>
      </c>
      <c r="E490" s="134" t="s">
        <v>215</v>
      </c>
      <c r="F490" s="476" t="s">
        <v>272</v>
      </c>
      <c r="G490" s="135" t="str">
        <f>VLOOKUP(A490,Plano_V3!$A$26:$G$768,7,0)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2321</v>
      </c>
      <c r="V490" s="323"/>
    </row>
    <row r="491" spans="1:22" ht="16.399999999999999" hidden="1" customHeight="1">
      <c r="A491" s="29" t="str">
        <f t="shared" si="9"/>
        <v>modesg_inp_nfrd_alinhamento_taxce_trnvr_ttl_elgbl</v>
      </c>
      <c r="B491" s="141" t="s">
        <v>26</v>
      </c>
      <c r="C491" s="137" t="s">
        <v>181</v>
      </c>
      <c r="D491" s="133" t="s">
        <v>40</v>
      </c>
      <c r="E491" s="134" t="s">
        <v>215</v>
      </c>
      <c r="F491" s="476" t="s">
        <v>273</v>
      </c>
      <c r="G491" s="135" t="str">
        <f>VLOOKUP(A491,Plano_V3!$A$26:$G$768,7,0)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2321</v>
      </c>
      <c r="V491" s="323"/>
    </row>
    <row r="492" spans="1:22" ht="16.399999999999999" hidden="1" customHeight="1">
      <c r="A492" s="29" t="str">
        <f t="shared" si="9"/>
        <v>modesg_inp_nfrd_alinhamento_taxce_trnvr_enblng_alignd</v>
      </c>
      <c r="B492" s="141" t="s">
        <v>26</v>
      </c>
      <c r="C492" s="137" t="s">
        <v>181</v>
      </c>
      <c r="D492" s="133" t="s">
        <v>40</v>
      </c>
      <c r="E492" s="134" t="s">
        <v>215</v>
      </c>
      <c r="F492" s="476" t="s">
        <v>274</v>
      </c>
      <c r="G492" s="135" t="str">
        <f>VLOOKUP(A492,Plano_V3!$A$26:$G$768,7,0)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2321</v>
      </c>
      <c r="V492" s="323"/>
    </row>
    <row r="493" spans="1:22" ht="16.399999999999999" hidden="1" customHeight="1">
      <c r="A493" s="29" t="str">
        <f t="shared" si="9"/>
        <v>modesg_inp_nfrd_alinhamento_taxce_turnover_own_prfrmnce_algnd</v>
      </c>
      <c r="B493" s="141" t="s">
        <v>26</v>
      </c>
      <c r="C493" s="137" t="s">
        <v>181</v>
      </c>
      <c r="D493" s="133" t="s">
        <v>40</v>
      </c>
      <c r="E493" s="134" t="s">
        <v>215</v>
      </c>
      <c r="F493" s="476" t="s">
        <v>275</v>
      </c>
      <c r="G493" s="135" t="str">
        <f>VLOOKUP(A493,Plano_V3!$A$26:$G$768,7,0)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2321</v>
      </c>
      <c r="V493" s="323"/>
    </row>
    <row r="494" spans="1:22" ht="16.399999999999999" hidden="1" customHeight="1">
      <c r="A494" s="29" t="str">
        <f t="shared" si="9"/>
        <v>modesg_inp_nfrd_alinhamento_taxce_capex_ttl_elgbl</v>
      </c>
      <c r="B494" s="141" t="s">
        <v>26</v>
      </c>
      <c r="C494" s="137" t="s">
        <v>181</v>
      </c>
      <c r="D494" s="133" t="s">
        <v>40</v>
      </c>
      <c r="E494" s="134" t="s">
        <v>215</v>
      </c>
      <c r="F494" s="476" t="s">
        <v>276</v>
      </c>
      <c r="G494" s="135" t="str">
        <f>VLOOKUP(A494,Plano_V3!$A$26:$G$768,7,0)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2321</v>
      </c>
      <c r="V494" s="323"/>
    </row>
    <row r="495" spans="1:22" ht="16.399999999999999" hidden="1" customHeight="1">
      <c r="A495" s="29" t="str">
        <f t="shared" si="9"/>
        <v>modesg_inp_nfrd_alinhamento_taxce_capex_enblng_algnd</v>
      </c>
      <c r="B495" s="141" t="s">
        <v>26</v>
      </c>
      <c r="C495" s="137" t="s">
        <v>181</v>
      </c>
      <c r="D495" s="133" t="s">
        <v>40</v>
      </c>
      <c r="E495" s="134" t="s">
        <v>215</v>
      </c>
      <c r="F495" s="476" t="s">
        <v>277</v>
      </c>
      <c r="G495" s="135" t="str">
        <f>VLOOKUP(A495,Plano_V3!$A$26:$G$768,7,0)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2321</v>
      </c>
      <c r="V495" s="323"/>
    </row>
    <row r="496" spans="1:22" ht="16.399999999999999" hidden="1" customHeight="1">
      <c r="A496" s="29" t="str">
        <f t="shared" si="9"/>
        <v>modesg_inp_nfrd_alinhamento_taxce_capex_own_prfrmnce_algnd</v>
      </c>
      <c r="B496" s="141" t="s">
        <v>26</v>
      </c>
      <c r="C496" s="137" t="s">
        <v>181</v>
      </c>
      <c r="D496" s="133" t="s">
        <v>40</v>
      </c>
      <c r="E496" s="134" t="s">
        <v>215</v>
      </c>
      <c r="F496" s="476" t="s">
        <v>278</v>
      </c>
      <c r="G496" s="135" t="str">
        <f>VLOOKUP(A496,Plano_V3!$A$26:$G$768,7,0)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2321</v>
      </c>
      <c r="V496" s="323"/>
    </row>
    <row r="497" spans="1:22" ht="16.399999999999999" hidden="1" customHeight="1">
      <c r="A497" s="29" t="str">
        <f t="shared" si="9"/>
        <v>modesg_inp_risco_fisicoref_date</v>
      </c>
      <c r="B497" s="141" t="s">
        <v>26</v>
      </c>
      <c r="C497" s="137" t="s">
        <v>181</v>
      </c>
      <c r="D497" s="133" t="s">
        <v>40</v>
      </c>
      <c r="E497" s="134" t="s">
        <v>216</v>
      </c>
      <c r="F497" s="476" t="s">
        <v>208</v>
      </c>
      <c r="G497" s="135" t="str">
        <f>VLOOKUP(A497,Plano_V3!$A$26:$G$768,7,0)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2321</v>
      </c>
      <c r="V497" s="323"/>
    </row>
    <row r="498" spans="1:22" ht="16.399999999999999" hidden="1" customHeight="1">
      <c r="A498" s="29" t="str">
        <f t="shared" si="9"/>
        <v>modesg_inp_risco_fisicocod_pais</v>
      </c>
      <c r="B498" s="141" t="s">
        <v>26</v>
      </c>
      <c r="C498" s="137" t="s">
        <v>181</v>
      </c>
      <c r="D498" s="133" t="s">
        <v>40</v>
      </c>
      <c r="E498" s="134" t="s">
        <v>216</v>
      </c>
      <c r="F498" s="476" t="s">
        <v>279</v>
      </c>
      <c r="G498" s="135" t="str">
        <f>VLOOKUP(A498,Plano_V3!$A$26:$G$768,7,0)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2321</v>
      </c>
      <c r="V498" s="323"/>
    </row>
    <row r="499" spans="1:22" ht="16.399999999999999" hidden="1" customHeight="1">
      <c r="A499" s="29" t="str">
        <f t="shared" si="9"/>
        <v>modesg_inp_risco_fisicocod_nutiii</v>
      </c>
      <c r="B499" s="141" t="s">
        <v>26</v>
      </c>
      <c r="C499" s="137" t="s">
        <v>181</v>
      </c>
      <c r="D499" s="133" t="s">
        <v>40</v>
      </c>
      <c r="E499" s="134" t="s">
        <v>216</v>
      </c>
      <c r="F499" s="476" t="s">
        <v>280</v>
      </c>
      <c r="G499" s="135" t="str">
        <f>VLOOKUP(A499,Plano_V3!$A$26:$G$768,7,0)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2321</v>
      </c>
      <c r="V499" s="323"/>
    </row>
    <row r="500" spans="1:22" ht="16.399999999999999" hidden="1" customHeight="1">
      <c r="A500" s="29" t="str">
        <f t="shared" si="9"/>
        <v>modesg_inp_risco_fisicocod_nace_esg</v>
      </c>
      <c r="B500" s="141" t="s">
        <v>26</v>
      </c>
      <c r="C500" s="137" t="s">
        <v>181</v>
      </c>
      <c r="D500" s="133" t="s">
        <v>40</v>
      </c>
      <c r="E500" s="134" t="s">
        <v>216</v>
      </c>
      <c r="F500" s="476" t="s">
        <v>281</v>
      </c>
      <c r="G500" s="135" t="str">
        <f>VLOOKUP(A500,Plano_V3!$A$26:$G$768,7,0)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2321</v>
      </c>
      <c r="V500" s="323"/>
    </row>
    <row r="501" spans="1:22" ht="16.399999999999999" hidden="1" customHeight="1">
      <c r="A501" s="29" t="str">
        <f t="shared" si="9"/>
        <v>modesg_inp_risco_fisicoflg_rsc_fsc_agd</v>
      </c>
      <c r="B501" s="141" t="s">
        <v>26</v>
      </c>
      <c r="C501" s="137" t="s">
        <v>181</v>
      </c>
      <c r="D501" s="133" t="s">
        <v>40</v>
      </c>
      <c r="E501" s="134" t="s">
        <v>216</v>
      </c>
      <c r="F501" s="476" t="s">
        <v>282</v>
      </c>
      <c r="G501" s="135" t="str">
        <f>VLOOKUP(A501,Plano_V3!$A$26:$G$768,7,0)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2321</v>
      </c>
      <c r="V501" s="323"/>
    </row>
    <row r="502" spans="1:22" ht="16.399999999999999" hidden="1" customHeight="1">
      <c r="A502" s="29" t="str">
        <f t="shared" si="9"/>
        <v>modesg_inp_risco_fisicoflg_rsc_fsc_crnc</v>
      </c>
      <c r="B502" s="141" t="s">
        <v>26</v>
      </c>
      <c r="C502" s="137" t="s">
        <v>181</v>
      </c>
      <c r="D502" s="133" t="s">
        <v>40</v>
      </c>
      <c r="E502" s="134" t="s">
        <v>216</v>
      </c>
      <c r="F502" s="476" t="s">
        <v>283</v>
      </c>
      <c r="G502" s="135" t="str">
        <f>VLOOKUP(A502,Plano_V3!$A$26:$G$768,7,0)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2321</v>
      </c>
      <c r="V502" s="323"/>
    </row>
    <row r="503" spans="1:22" ht="16.399999999999999" hidden="1" customHeight="1">
      <c r="A503" s="29" t="str">
        <f t="shared" si="9"/>
        <v>modesg_inp_emss_scibref_date</v>
      </c>
      <c r="B503" s="141" t="s">
        <v>26</v>
      </c>
      <c r="C503" s="137" t="s">
        <v>181</v>
      </c>
      <c r="D503" s="133" t="s">
        <v>40</v>
      </c>
      <c r="E503" s="134" t="s">
        <v>217</v>
      </c>
      <c r="F503" s="476" t="s">
        <v>208</v>
      </c>
      <c r="G503" s="135" t="str">
        <f>VLOOKUP(A503,Plano_V3!$A$26:$G$768,7,0)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2321</v>
      </c>
      <c r="V503" s="323"/>
    </row>
    <row r="504" spans="1:22" ht="16.399999999999999" hidden="1" customHeight="1">
      <c r="A504" s="29" t="str">
        <f t="shared" si="9"/>
        <v>modesg_inp_emss_scibccli_kgl</v>
      </c>
      <c r="B504" s="141" t="s">
        <v>26</v>
      </c>
      <c r="C504" s="137" t="s">
        <v>181</v>
      </c>
      <c r="D504" s="133" t="s">
        <v>40</v>
      </c>
      <c r="E504" s="134" t="s">
        <v>217</v>
      </c>
      <c r="F504" s="476" t="s">
        <v>240</v>
      </c>
      <c r="G504" s="135" t="str">
        <f>VLOOKUP(A504,Plano_V3!$A$26:$G$768,7,0)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2321</v>
      </c>
      <c r="V504" s="323"/>
    </row>
    <row r="505" spans="1:22" ht="16.399999999999999" hidden="1" customHeight="1">
      <c r="A505" s="29" t="str">
        <f t="shared" si="9"/>
        <v>modesg_inp_emss_scibnome_grupo</v>
      </c>
      <c r="B505" s="141" t="s">
        <v>26</v>
      </c>
      <c r="C505" s="137" t="s">
        <v>181</v>
      </c>
      <c r="D505" s="133" t="s">
        <v>40</v>
      </c>
      <c r="E505" s="134" t="s">
        <v>217</v>
      </c>
      <c r="F505" s="476" t="s">
        <v>284</v>
      </c>
      <c r="G505" s="135" t="str">
        <f>VLOOKUP(A505,Plano_V3!$A$26:$G$768,7,0)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2321</v>
      </c>
      <c r="V505" s="323"/>
    </row>
    <row r="506" spans="1:22" ht="16.399999999999999" hidden="1" customHeight="1">
      <c r="A506" s="29" t="str">
        <f t="shared" si="9"/>
        <v>modesg_inp_emss_scibisin</v>
      </c>
      <c r="B506" s="141" t="s">
        <v>26</v>
      </c>
      <c r="C506" s="137" t="s">
        <v>181</v>
      </c>
      <c r="D506" s="133" t="s">
        <v>40</v>
      </c>
      <c r="E506" s="134" t="s">
        <v>217</v>
      </c>
      <c r="F506" s="476" t="s">
        <v>238</v>
      </c>
      <c r="G506" s="135" t="str">
        <f>VLOOKUP(A506,Plano_V3!$A$26:$G$768,7,0)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2321</v>
      </c>
      <c r="V506" s="323"/>
    </row>
    <row r="507" spans="1:22" ht="16.399999999999999" hidden="1" customHeight="1">
      <c r="A507" s="29" t="str">
        <f t="shared" si="9"/>
        <v>modesg_inp_emss_scibclei</v>
      </c>
      <c r="B507" s="141" t="s">
        <v>26</v>
      </c>
      <c r="C507" s="137" t="s">
        <v>181</v>
      </c>
      <c r="D507" s="133" t="s">
        <v>40</v>
      </c>
      <c r="E507" s="134" t="s">
        <v>217</v>
      </c>
      <c r="F507" s="476" t="s">
        <v>239</v>
      </c>
      <c r="G507" s="135" t="str">
        <f>VLOOKUP(A507,Plano_V3!$A$26:$G$768,7,0)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2321</v>
      </c>
      <c r="V507" s="323"/>
    </row>
    <row r="508" spans="1:22" ht="16.399999999999999" hidden="1" customHeight="1">
      <c r="A508" s="29" t="str">
        <f t="shared" si="9"/>
        <v>modesg_inp_emss_scibscp1_emss</v>
      </c>
      <c r="B508" s="141" t="s">
        <v>26</v>
      </c>
      <c r="C508" s="137" t="s">
        <v>181</v>
      </c>
      <c r="D508" s="133" t="s">
        <v>40</v>
      </c>
      <c r="E508" s="134" t="s">
        <v>217</v>
      </c>
      <c r="F508" s="476" t="s">
        <v>285</v>
      </c>
      <c r="G508" s="135" t="str">
        <f>VLOOKUP(A508,Plano_V3!$A$26:$G$768,7,0)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2321</v>
      </c>
      <c r="V508" s="323"/>
    </row>
    <row r="509" spans="1:22" ht="16.399999999999999" hidden="1" customHeight="1">
      <c r="A509" s="29" t="str">
        <f t="shared" si="9"/>
        <v>modesg_inp_emss_scibscp2_emss</v>
      </c>
      <c r="B509" s="141" t="s">
        <v>26</v>
      </c>
      <c r="C509" s="137" t="s">
        <v>181</v>
      </c>
      <c r="D509" s="133" t="s">
        <v>40</v>
      </c>
      <c r="E509" s="134" t="s">
        <v>217</v>
      </c>
      <c r="F509" s="476" t="s">
        <v>286</v>
      </c>
      <c r="G509" s="135" t="str">
        <f>VLOOKUP(A509,Plano_V3!$A$26:$G$768,7,0)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2321</v>
      </c>
      <c r="V509" s="323"/>
    </row>
    <row r="510" spans="1:22" ht="16.399999999999999" hidden="1" customHeight="1">
      <c r="A510" s="29" t="str">
        <f t="shared" si="9"/>
        <v>modesg_inp_emss_scibscp3_emss</v>
      </c>
      <c r="B510" s="141" t="s">
        <v>26</v>
      </c>
      <c r="C510" s="137" t="s">
        <v>181</v>
      </c>
      <c r="D510" s="133" t="s">
        <v>40</v>
      </c>
      <c r="E510" s="134" t="s">
        <v>217</v>
      </c>
      <c r="F510" s="476" t="s">
        <v>287</v>
      </c>
      <c r="G510" s="135" t="str">
        <f>VLOOKUP(A510,Plano_V3!$A$26:$G$768,7,0)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2321</v>
      </c>
      <c r="V510" s="323"/>
    </row>
    <row r="511" spans="1:22" ht="16.399999999999999" hidden="1" customHeight="1">
      <c r="A511" s="29" t="str">
        <f t="shared" si="9"/>
        <v>modesg_inp_emss_scibscore_scp1</v>
      </c>
      <c r="B511" s="141" t="s">
        <v>26</v>
      </c>
      <c r="C511" s="137" t="s">
        <v>181</v>
      </c>
      <c r="D511" s="133" t="s">
        <v>40</v>
      </c>
      <c r="E511" s="134" t="s">
        <v>217</v>
      </c>
      <c r="F511" s="476" t="s">
        <v>288</v>
      </c>
      <c r="G511" s="135" t="str">
        <f>VLOOKUP(A511,Plano_V3!$A$26:$G$768,7,0)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2321</v>
      </c>
      <c r="V511" s="323"/>
    </row>
    <row r="512" spans="1:22" ht="16.399999999999999" hidden="1" customHeight="1">
      <c r="A512" s="29" t="str">
        <f t="shared" si="9"/>
        <v>modesg_inp_emss_scibscore_scp2</v>
      </c>
      <c r="B512" s="141" t="s">
        <v>26</v>
      </c>
      <c r="C512" s="137" t="s">
        <v>181</v>
      </c>
      <c r="D512" s="133" t="s">
        <v>40</v>
      </c>
      <c r="E512" s="134" t="s">
        <v>217</v>
      </c>
      <c r="F512" s="476" t="s">
        <v>289</v>
      </c>
      <c r="G512" s="135" t="str">
        <f>VLOOKUP(A512,Plano_V3!$A$26:$G$768,7,0)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2321</v>
      </c>
      <c r="V512" s="323"/>
    </row>
    <row r="513" spans="1:22" ht="16.399999999999999" hidden="1" customHeight="1">
      <c r="A513" s="29" t="str">
        <f t="shared" si="9"/>
        <v>modesg_inp_emss_scibscore_scp3</v>
      </c>
      <c r="B513" s="141" t="s">
        <v>26</v>
      </c>
      <c r="C513" s="137" t="s">
        <v>181</v>
      </c>
      <c r="D513" s="133" t="s">
        <v>40</v>
      </c>
      <c r="E513" s="134" t="s">
        <v>217</v>
      </c>
      <c r="F513" s="476" t="s">
        <v>290</v>
      </c>
      <c r="G513" s="135" t="str">
        <f>VLOOKUP(A513,Plano_V3!$A$26:$G$768,7,0)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2321</v>
      </c>
      <c r="V513" s="323"/>
    </row>
    <row r="514" spans="1:22" ht="16.399999999999999" hidden="1" customHeight="1">
      <c r="A514" s="29" t="str">
        <f t="shared" si="9"/>
        <v>modesg_inp_emss_sciborigem_scp1</v>
      </c>
      <c r="B514" s="141" t="s">
        <v>26</v>
      </c>
      <c r="C514" s="137" t="s">
        <v>181</v>
      </c>
      <c r="D514" s="133" t="s">
        <v>40</v>
      </c>
      <c r="E514" s="134" t="s">
        <v>217</v>
      </c>
      <c r="F514" s="476" t="s">
        <v>291</v>
      </c>
      <c r="G514" s="135" t="str">
        <f>VLOOKUP(A514,Plano_V3!$A$26:$G$768,7,0)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2321</v>
      </c>
      <c r="V514" s="323"/>
    </row>
    <row r="515" spans="1:22" ht="16.399999999999999" hidden="1" customHeight="1">
      <c r="A515" s="29" t="str">
        <f t="shared" si="9"/>
        <v>modesg_inp_emss_sciborigem_scp2</v>
      </c>
      <c r="B515" s="141" t="s">
        <v>26</v>
      </c>
      <c r="C515" s="137" t="s">
        <v>181</v>
      </c>
      <c r="D515" s="133" t="s">
        <v>40</v>
      </c>
      <c r="E515" s="134" t="s">
        <v>217</v>
      </c>
      <c r="F515" s="476" t="s">
        <v>292</v>
      </c>
      <c r="G515" s="135" t="str">
        <f>VLOOKUP(A515,Plano_V3!$A$26:$G$768,7,0)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2321</v>
      </c>
      <c r="V515" s="323"/>
    </row>
    <row r="516" spans="1:22" ht="16.399999999999999" hidden="1" customHeight="1">
      <c r="A516" s="29" t="str">
        <f t="shared" si="9"/>
        <v>modesg_inp_emss_sciborigem_scp3</v>
      </c>
      <c r="B516" s="141" t="s">
        <v>26</v>
      </c>
      <c r="C516" s="137" t="s">
        <v>181</v>
      </c>
      <c r="D516" s="133" t="s">
        <v>40</v>
      </c>
      <c r="E516" s="134" t="s">
        <v>217</v>
      </c>
      <c r="F516" s="476" t="s">
        <v>293</v>
      </c>
      <c r="G516" s="135" t="str">
        <f>VLOOKUP(A516,Plano_V3!$A$26:$G$768,7,0)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2321</v>
      </c>
      <c r="V516" s="323"/>
    </row>
    <row r="517" spans="1:22" ht="16.399999999999999" hidden="1" customHeight="1">
      <c r="A517" s="29" t="str">
        <f t="shared" si="9"/>
        <v>modesg_inp_emss_scibano_info</v>
      </c>
      <c r="B517" s="141" t="s">
        <v>26</v>
      </c>
      <c r="C517" s="137" t="s">
        <v>181</v>
      </c>
      <c r="D517" s="133" t="s">
        <v>40</v>
      </c>
      <c r="E517" s="134" t="s">
        <v>217</v>
      </c>
      <c r="F517" s="476" t="s">
        <v>294</v>
      </c>
      <c r="G517" s="135" t="str">
        <f>VLOOKUP(A517,Plano_V3!$A$26:$G$768,7,0)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2321</v>
      </c>
      <c r="V517" s="323"/>
    </row>
    <row r="518" spans="1:22" ht="16.399999999999999" hidden="1" customHeight="1">
      <c r="A518" s="29" t="str">
        <f t="shared" si="9"/>
        <v>modesg_inp_emss_scibdivida_total</v>
      </c>
      <c r="B518" s="141" t="s">
        <v>26</v>
      </c>
      <c r="C518" s="137" t="s">
        <v>181</v>
      </c>
      <c r="D518" s="133" t="s">
        <v>40</v>
      </c>
      <c r="E518" s="134" t="s">
        <v>217</v>
      </c>
      <c r="F518" s="476" t="s">
        <v>295</v>
      </c>
      <c r="G518" s="135" t="str">
        <f>VLOOKUP(A518,Plano_V3!$A$26:$G$768,7,0)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2321</v>
      </c>
      <c r="V518" s="323"/>
    </row>
    <row r="519" spans="1:22" ht="16.399999999999999" hidden="1" customHeight="1">
      <c r="A519" s="29" t="str">
        <f t="shared" si="9"/>
        <v>modesg_inp_emss_scibcapital_proprio</v>
      </c>
      <c r="B519" s="141" t="s">
        <v>26</v>
      </c>
      <c r="C519" s="137" t="s">
        <v>181</v>
      </c>
      <c r="D519" s="133" t="s">
        <v>40</v>
      </c>
      <c r="E519" s="134" t="s">
        <v>217</v>
      </c>
      <c r="F519" s="476" t="s">
        <v>296</v>
      </c>
      <c r="G519" s="135" t="str">
        <f>VLOOKUP(A519,Plano_V3!$A$26:$G$768,7,0)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2321</v>
      </c>
      <c r="V519" s="323"/>
    </row>
    <row r="520" spans="1:22" ht="16.399999999999999" hidden="1" customHeight="1">
      <c r="A520" s="29" t="str">
        <f t="shared" si="9"/>
        <v>modesg_inp_emss_naceref_date</v>
      </c>
      <c r="B520" s="141" t="s">
        <v>26</v>
      </c>
      <c r="C520" s="137" t="s">
        <v>181</v>
      </c>
      <c r="D520" s="133" t="s">
        <v>40</v>
      </c>
      <c r="E520" s="134" t="s">
        <v>218</v>
      </c>
      <c r="F520" s="476" t="s">
        <v>208</v>
      </c>
      <c r="G520" s="135" t="str">
        <f>VLOOKUP(A520,Plano_V3!$A$26:$G$768,7,0)</f>
        <v>1. Concluído</v>
      </c>
      <c r="H520" s="135" t="s">
        <v>612</v>
      </c>
      <c r="I520" s="473"/>
      <c r="J520" s="142"/>
      <c r="K520" s="142"/>
      <c r="L520" s="142" t="s">
        <v>2355</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2321</v>
      </c>
      <c r="V520" s="323"/>
    </row>
    <row r="521" spans="1:22" ht="16.399999999999999" hidden="1" customHeight="1">
      <c r="A521" s="29" t="str">
        <f t="shared" si="9"/>
        <v>modesg_inp_emss_naceano</v>
      </c>
      <c r="B521" s="141" t="s">
        <v>26</v>
      </c>
      <c r="C521" s="137" t="s">
        <v>181</v>
      </c>
      <c r="D521" s="133" t="s">
        <v>40</v>
      </c>
      <c r="E521" s="134" t="s">
        <v>218</v>
      </c>
      <c r="F521" s="476" t="s">
        <v>297</v>
      </c>
      <c r="G521" s="135" t="str">
        <f>VLOOKUP(A521,Plano_V3!$A$26:$G$768,7,0)</f>
        <v>1. Concluído</v>
      </c>
      <c r="H521" s="135" t="s">
        <v>612</v>
      </c>
      <c r="I521" s="473"/>
      <c r="J521" s="488"/>
      <c r="K521" s="488"/>
      <c r="L521" s="142" t="s">
        <v>2355</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2321</v>
      </c>
      <c r="V521" s="323"/>
    </row>
    <row r="522" spans="1:22" ht="16.399999999999999" hidden="1" customHeight="1">
      <c r="A522" s="29" t="str">
        <f t="shared" si="9"/>
        <v>modesg_inp_emss_nacenome_pais</v>
      </c>
      <c r="B522" s="141" t="s">
        <v>26</v>
      </c>
      <c r="C522" s="137" t="s">
        <v>181</v>
      </c>
      <c r="D522" s="133" t="s">
        <v>40</v>
      </c>
      <c r="E522" s="134" t="s">
        <v>218</v>
      </c>
      <c r="F522" s="476" t="s">
        <v>221</v>
      </c>
      <c r="G522" s="135" t="str">
        <f>VLOOKUP(A522,Plano_V3!$A$26:$G$768,7,0)</f>
        <v>1. Concluído</v>
      </c>
      <c r="H522" s="135" t="s">
        <v>612</v>
      </c>
      <c r="I522" s="473"/>
      <c r="J522" s="488"/>
      <c r="K522" s="488"/>
      <c r="L522" s="142" t="s">
        <v>2355</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2321</v>
      </c>
      <c r="V522" s="323"/>
    </row>
    <row r="523" spans="1:22" ht="16.399999999999999" hidden="1" customHeight="1">
      <c r="A523" s="29" t="str">
        <f t="shared" si="9"/>
        <v>modesg_inp_emss_nacecod_nace_esg</v>
      </c>
      <c r="B523" s="141" t="s">
        <v>26</v>
      </c>
      <c r="C523" s="137" t="s">
        <v>181</v>
      </c>
      <c r="D523" s="133" t="s">
        <v>40</v>
      </c>
      <c r="E523" s="134" t="s">
        <v>218</v>
      </c>
      <c r="F523" s="476" t="s">
        <v>281</v>
      </c>
      <c r="G523" s="135" t="str">
        <f>VLOOKUP(A523,Plano_V3!$A$26:$G$768,7,0)</f>
        <v>1. Concluído</v>
      </c>
      <c r="H523" s="135" t="s">
        <v>612</v>
      </c>
      <c r="I523" s="473"/>
      <c r="J523" s="488"/>
      <c r="K523" s="488"/>
      <c r="L523" s="142" t="s">
        <v>2355</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2321</v>
      </c>
      <c r="V523" s="323"/>
    </row>
    <row r="524" spans="1:22" ht="16.399999999999999" hidden="1" customHeight="1">
      <c r="A524" s="29" t="str">
        <f t="shared" si="9"/>
        <v>modesg_inp_emss_nacecod_class_indust</v>
      </c>
      <c r="B524" s="141" t="s">
        <v>26</v>
      </c>
      <c r="C524" s="137" t="s">
        <v>181</v>
      </c>
      <c r="D524" s="133" t="s">
        <v>40</v>
      </c>
      <c r="E524" s="134" t="s">
        <v>218</v>
      </c>
      <c r="F524" s="476" t="s">
        <v>298</v>
      </c>
      <c r="G524" s="135" t="str">
        <f>VLOOKUP(A524,Plano_V3!$A$26:$G$768,7,0)</f>
        <v>1. Concluído</v>
      </c>
      <c r="H524" s="135" t="s">
        <v>612</v>
      </c>
      <c r="I524" s="473"/>
      <c r="J524" s="488"/>
      <c r="K524" s="488"/>
      <c r="L524" s="142" t="s">
        <v>2355</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2321</v>
      </c>
      <c r="V524" s="323"/>
    </row>
    <row r="525" spans="1:22" ht="16.399999999999999" hidden="1" customHeight="1">
      <c r="A525" s="29" t="str">
        <f t="shared" ref="A525:A588" si="10">E525&amp;F525</f>
        <v>modesg_inp_emss_nacenivel_classificacao_1</v>
      </c>
      <c r="B525" s="141" t="s">
        <v>26</v>
      </c>
      <c r="C525" s="137" t="s">
        <v>181</v>
      </c>
      <c r="D525" s="133" t="s">
        <v>40</v>
      </c>
      <c r="E525" s="134" t="s">
        <v>218</v>
      </c>
      <c r="F525" s="476" t="s">
        <v>299</v>
      </c>
      <c r="G525" s="135" t="str">
        <f>VLOOKUP(A525,Plano_V3!$A$26:$G$768,7,0)</f>
        <v>1. Concluído</v>
      </c>
      <c r="H525" s="135" t="s">
        <v>612</v>
      </c>
      <c r="I525" s="473"/>
      <c r="J525" s="488"/>
      <c r="K525" s="488"/>
      <c r="L525" s="142" t="s">
        <v>2355</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2321</v>
      </c>
      <c r="V525" s="323"/>
    </row>
    <row r="526" spans="1:22" ht="16.399999999999999" hidden="1" customHeight="1">
      <c r="A526" s="29" t="str">
        <f t="shared" si="10"/>
        <v>modesg_inp_emss_naceclasse_ativo</v>
      </c>
      <c r="B526" s="141" t="s">
        <v>26</v>
      </c>
      <c r="C526" s="137" t="s">
        <v>181</v>
      </c>
      <c r="D526" s="133" t="s">
        <v>40</v>
      </c>
      <c r="E526" s="134" t="s">
        <v>218</v>
      </c>
      <c r="F526" s="476" t="s">
        <v>300</v>
      </c>
      <c r="G526" s="135" t="str">
        <f>VLOOKUP(A526,Plano_V3!$A$26:$G$768,7,0)</f>
        <v>1. Concluído</v>
      </c>
      <c r="H526" s="135" t="s">
        <v>612</v>
      </c>
      <c r="I526" s="473"/>
      <c r="J526" s="488"/>
      <c r="K526" s="488"/>
      <c r="L526" s="142" t="s">
        <v>2355</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2321</v>
      </c>
      <c r="V526" s="323"/>
    </row>
    <row r="527" spans="1:22" ht="16.399999999999999" hidden="1" customHeight="1">
      <c r="A527" s="29" t="str">
        <f t="shared" si="10"/>
        <v>modesg_inp_emss_naceopcao_metodologia</v>
      </c>
      <c r="B527" s="141" t="s">
        <v>26</v>
      </c>
      <c r="C527" s="137" t="s">
        <v>181</v>
      </c>
      <c r="D527" s="133" t="s">
        <v>40</v>
      </c>
      <c r="E527" s="134" t="s">
        <v>218</v>
      </c>
      <c r="F527" s="476" t="s">
        <v>301</v>
      </c>
      <c r="G527" s="135" t="str">
        <f>VLOOKUP(A527,Plano_V3!$A$26:$G$768,7,0)</f>
        <v>1. Concluído</v>
      </c>
      <c r="H527" s="135" t="s">
        <v>612</v>
      </c>
      <c r="I527" s="473"/>
      <c r="J527" s="488"/>
      <c r="K527" s="488"/>
      <c r="L527" s="142" t="s">
        <v>2355</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2321</v>
      </c>
      <c r="V527" s="323"/>
    </row>
    <row r="528" spans="1:22" ht="16.399999999999999" hidden="1" customHeight="1">
      <c r="A528" s="29" t="str">
        <f t="shared" si="10"/>
        <v>modesg_inp_emss_naceunidade_funcional</v>
      </c>
      <c r="B528" s="141" t="s">
        <v>26</v>
      </c>
      <c r="C528" s="137" t="s">
        <v>181</v>
      </c>
      <c r="D528" s="133" t="s">
        <v>40</v>
      </c>
      <c r="E528" s="134" t="s">
        <v>218</v>
      </c>
      <c r="F528" s="476" t="s">
        <v>229</v>
      </c>
      <c r="G528" s="135" t="str">
        <f>VLOOKUP(A528,Plano_V3!$A$26:$G$768,7,0)</f>
        <v>1. Concluído</v>
      </c>
      <c r="H528" s="135" t="s">
        <v>612</v>
      </c>
      <c r="I528" s="473"/>
      <c r="J528" s="488"/>
      <c r="K528" s="488"/>
      <c r="L528" s="142" t="s">
        <v>2355</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2321</v>
      </c>
      <c r="V528" s="323"/>
    </row>
    <row r="529" spans="1:22" ht="16.399999999999999" hidden="1" customHeight="1">
      <c r="A529" s="29" t="str">
        <f t="shared" si="10"/>
        <v>modesg_inp_emss_naceunidades_fator_de_emissao</v>
      </c>
      <c r="B529" s="141" t="s">
        <v>26</v>
      </c>
      <c r="C529" s="137" t="s">
        <v>181</v>
      </c>
      <c r="D529" s="133" t="s">
        <v>40</v>
      </c>
      <c r="E529" s="134" t="s">
        <v>218</v>
      </c>
      <c r="F529" s="476" t="s">
        <v>302</v>
      </c>
      <c r="G529" s="135" t="str">
        <f>VLOOKUP(A529,Plano_V3!$A$26:$G$768,7,0)</f>
        <v>1. Concluído</v>
      </c>
      <c r="H529" s="135" t="s">
        <v>612</v>
      </c>
      <c r="I529" s="473"/>
      <c r="J529" s="488"/>
      <c r="K529" s="488"/>
      <c r="L529" s="142" t="s">
        <v>2355</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2321</v>
      </c>
      <c r="V529" s="323"/>
    </row>
    <row r="530" spans="1:22" ht="16.399999999999999" hidden="1" customHeight="1">
      <c r="A530" s="29" t="str">
        <f t="shared" si="10"/>
        <v>modesg_inp_emss_nacescore_qualidade</v>
      </c>
      <c r="B530" s="141" t="s">
        <v>26</v>
      </c>
      <c r="C530" s="137" t="s">
        <v>181</v>
      </c>
      <c r="D530" s="133" t="s">
        <v>40</v>
      </c>
      <c r="E530" s="134" t="s">
        <v>218</v>
      </c>
      <c r="F530" s="476" t="s">
        <v>232</v>
      </c>
      <c r="G530" s="135" t="str">
        <f>VLOOKUP(A530,Plano_V3!$A$26:$G$768,7,0)</f>
        <v>1. Concluído</v>
      </c>
      <c r="H530" s="135" t="s">
        <v>612</v>
      </c>
      <c r="I530" s="473"/>
      <c r="J530" s="488"/>
      <c r="K530" s="488"/>
      <c r="L530" s="142" t="s">
        <v>2355</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2321</v>
      </c>
      <c r="V530" s="323"/>
    </row>
    <row r="531" spans="1:22" ht="16.399999999999999" hidden="1" customHeight="1">
      <c r="A531" s="29" t="str">
        <f t="shared" si="10"/>
        <v>modesg_inp_emss_nacescp1_ftr_emss</v>
      </c>
      <c r="B531" s="141" t="s">
        <v>26</v>
      </c>
      <c r="C531" s="137" t="s">
        <v>181</v>
      </c>
      <c r="D531" s="133" t="s">
        <v>40</v>
      </c>
      <c r="E531" s="134" t="s">
        <v>218</v>
      </c>
      <c r="F531" s="476" t="s">
        <v>233</v>
      </c>
      <c r="G531" s="135" t="str">
        <f>VLOOKUP(A531,Plano_V3!$A$26:$G$768,7,0)</f>
        <v>1. Concluído</v>
      </c>
      <c r="H531" s="135" t="s">
        <v>612</v>
      </c>
      <c r="I531" s="473"/>
      <c r="J531" s="488"/>
      <c r="K531" s="488"/>
      <c r="L531" s="142" t="s">
        <v>2355</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2321</v>
      </c>
      <c r="V531" s="323"/>
    </row>
    <row r="532" spans="1:22" ht="16.399999999999999" hidden="1" customHeight="1">
      <c r="A532" s="29" t="str">
        <f t="shared" si="10"/>
        <v>modesg_inp_emss_nacescp2_ftr_emss</v>
      </c>
      <c r="B532" s="141" t="s">
        <v>26</v>
      </c>
      <c r="C532" s="137" t="s">
        <v>181</v>
      </c>
      <c r="D532" s="133" t="s">
        <v>40</v>
      </c>
      <c r="E532" s="134" t="s">
        <v>218</v>
      </c>
      <c r="F532" s="476" t="s">
        <v>234</v>
      </c>
      <c r="G532" s="135" t="str">
        <f>VLOOKUP(A532,Plano_V3!$A$26:$G$768,7,0)</f>
        <v>1. Concluído</v>
      </c>
      <c r="H532" s="135" t="s">
        <v>612</v>
      </c>
      <c r="I532" s="473"/>
      <c r="J532" s="488"/>
      <c r="K532" s="488"/>
      <c r="L532" s="142" t="s">
        <v>2355</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2321</v>
      </c>
      <c r="V532" s="323"/>
    </row>
    <row r="533" spans="1:22" ht="16.399999999999999" hidden="1" customHeight="1">
      <c r="A533" s="29" t="str">
        <f t="shared" si="10"/>
        <v>modesg_inp_emss_nacescp3_ftr_emss</v>
      </c>
      <c r="B533" s="141" t="s">
        <v>26</v>
      </c>
      <c r="C533" s="137" t="s">
        <v>181</v>
      </c>
      <c r="D533" s="133" t="s">
        <v>40</v>
      </c>
      <c r="E533" s="134" t="s">
        <v>218</v>
      </c>
      <c r="F533" s="476" t="s">
        <v>235</v>
      </c>
      <c r="G533" s="135" t="str">
        <f>VLOOKUP(A533,Plano_V3!$A$26:$G$768,7,0)</f>
        <v>1. Concluído</v>
      </c>
      <c r="H533" s="135" t="s">
        <v>612</v>
      </c>
      <c r="I533" s="473"/>
      <c r="J533" s="142"/>
      <c r="K533" s="142"/>
      <c r="L533" s="142" t="s">
        <v>2355</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2321</v>
      </c>
      <c r="V533" s="323"/>
    </row>
    <row r="534" spans="1:22" ht="16.399999999999999" hidden="1" customHeight="1">
      <c r="A534" s="29" t="str">
        <f t="shared" si="10"/>
        <v>modesg_inp_emss_bens_imoveisref_date</v>
      </c>
      <c r="B534" s="141" t="s">
        <v>26</v>
      </c>
      <c r="C534" s="137" t="s">
        <v>181</v>
      </c>
      <c r="D534" s="133" t="s">
        <v>40</v>
      </c>
      <c r="E534" s="134" t="s">
        <v>219</v>
      </c>
      <c r="F534" s="476" t="s">
        <v>208</v>
      </c>
      <c r="G534" s="135" t="str">
        <f>VLOOKUP(A534,Plano_V3!$A$26:$G$768,7,0)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2321</v>
      </c>
      <c r="V534" s="323"/>
    </row>
    <row r="535" spans="1:22" ht="16.399999999999999" hidden="1" customHeight="1">
      <c r="A535" s="29" t="str">
        <f t="shared" si="10"/>
        <v>modesg_inp_emss_bens_imoveisnome_pais</v>
      </c>
      <c r="B535" s="141" t="s">
        <v>26</v>
      </c>
      <c r="C535" s="137" t="s">
        <v>181</v>
      </c>
      <c r="D535" s="133" t="s">
        <v>40</v>
      </c>
      <c r="E535" s="134" t="s">
        <v>219</v>
      </c>
      <c r="F535" s="476" t="s">
        <v>221</v>
      </c>
      <c r="G535" s="135" t="str">
        <f>VLOOKUP(A535,Plano_V3!$A$26:$G$768,7,0)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2321</v>
      </c>
      <c r="V535" s="323"/>
    </row>
    <row r="536" spans="1:22" ht="16.399999999999999" hidden="1" customHeight="1">
      <c r="A536" s="29" t="str">
        <f t="shared" si="10"/>
        <v>modesg_inp_emss_bens_imoveisnome_estado</v>
      </c>
      <c r="B536" s="141" t="s">
        <v>26</v>
      </c>
      <c r="C536" s="137" t="s">
        <v>181</v>
      </c>
      <c r="D536" s="133" t="s">
        <v>40</v>
      </c>
      <c r="E536" s="134" t="s">
        <v>219</v>
      </c>
      <c r="F536" s="476" t="s">
        <v>222</v>
      </c>
      <c r="G536" s="135" t="str">
        <f>VLOOKUP(A536,Plano_V3!$A$26:$G$768,7,0)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2321</v>
      </c>
      <c r="V536" s="323"/>
    </row>
    <row r="537" spans="1:22" ht="16.399999999999999" hidden="1" customHeight="1">
      <c r="A537" s="29" t="str">
        <f t="shared" si="10"/>
        <v>modesg_inp_emss_bens_imoveisclasse_ativo</v>
      </c>
      <c r="B537" s="141" t="s">
        <v>26</v>
      </c>
      <c r="C537" s="137" t="s">
        <v>181</v>
      </c>
      <c r="D537" s="133" t="s">
        <v>40</v>
      </c>
      <c r="E537" s="134" t="s">
        <v>219</v>
      </c>
      <c r="F537" s="476" t="s">
        <v>300</v>
      </c>
      <c r="G537" s="135" t="str">
        <f>VLOOKUP(A537,Plano_V3!$A$26:$G$768,7,0)</f>
        <v>1. Concluído</v>
      </c>
      <c r="H537" s="135" t="s">
        <v>612</v>
      </c>
      <c r="I537" s="473"/>
      <c r="J537" s="488"/>
      <c r="K537" s="488"/>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2321</v>
      </c>
      <c r="V537" s="323"/>
    </row>
    <row r="538" spans="1:22" ht="16.399999999999999" hidden="1" customHeight="1">
      <c r="A538" s="29" t="str">
        <f t="shared" si="10"/>
        <v>modesg_inp_emss_bens_imoveistipo_fator_emissao</v>
      </c>
      <c r="B538" s="141" t="s">
        <v>26</v>
      </c>
      <c r="C538" s="137" t="s">
        <v>181</v>
      </c>
      <c r="D538" s="133" t="s">
        <v>40</v>
      </c>
      <c r="E538" s="134" t="s">
        <v>219</v>
      </c>
      <c r="F538" s="476" t="s">
        <v>303</v>
      </c>
      <c r="G538" s="135" t="str">
        <f>VLOOKUP(A538,Plano_V3!$A$26:$G$768,7,0)</f>
        <v>1. Concluído</v>
      </c>
      <c r="H538" s="135" t="s">
        <v>612</v>
      </c>
      <c r="I538" s="473"/>
      <c r="J538" s="488"/>
      <c r="K538" s="488"/>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2321</v>
      </c>
      <c r="V538" s="323"/>
    </row>
    <row r="539" spans="1:22" ht="16.399999999999999" hidden="1" customHeight="1">
      <c r="A539" s="29" t="str">
        <f t="shared" si="10"/>
        <v>modesg_inp_emss_bens_imoveisregiao</v>
      </c>
      <c r="B539" s="141" t="s">
        <v>26</v>
      </c>
      <c r="C539" s="137" t="s">
        <v>181</v>
      </c>
      <c r="D539" s="133" t="s">
        <v>40</v>
      </c>
      <c r="E539" s="134" t="s">
        <v>219</v>
      </c>
      <c r="F539" s="476" t="s">
        <v>304</v>
      </c>
      <c r="G539" s="135" t="str">
        <f>VLOOKUP(A539,Plano_V3!$A$26:$G$768,7,0)</f>
        <v>1. Concluído</v>
      </c>
      <c r="H539" s="135" t="s">
        <v>612</v>
      </c>
      <c r="I539" s="473"/>
      <c r="J539" s="488"/>
      <c r="K539" s="488"/>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2321</v>
      </c>
      <c r="V539" s="323"/>
    </row>
    <row r="540" spans="1:22" ht="16.399999999999999" hidden="1" customHeight="1">
      <c r="A540" s="29" t="str">
        <f t="shared" si="10"/>
        <v>modesg_inp_emss_bens_imoveistipo_bem</v>
      </c>
      <c r="B540" s="141" t="s">
        <v>26</v>
      </c>
      <c r="C540" s="137" t="s">
        <v>181</v>
      </c>
      <c r="D540" s="133" t="s">
        <v>40</v>
      </c>
      <c r="E540" s="134" t="s">
        <v>219</v>
      </c>
      <c r="F540" s="476" t="s">
        <v>305</v>
      </c>
      <c r="G540" s="135" t="str">
        <f>VLOOKUP(A540,Plano_V3!$A$26:$G$768,7,0)</f>
        <v>1. Concluído</v>
      </c>
      <c r="H540" s="135" t="s">
        <v>612</v>
      </c>
      <c r="I540" s="473"/>
      <c r="J540" s="488"/>
      <c r="K540" s="488"/>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2321</v>
      </c>
      <c r="V540" s="323"/>
    </row>
    <row r="541" spans="1:22" ht="16.399999999999999" hidden="1" customHeight="1">
      <c r="A541" s="29" t="str">
        <f t="shared" si="10"/>
        <v>modesg_inp_emss_bens_imoveistipo_finalidade_bem</v>
      </c>
      <c r="B541" s="141" t="s">
        <v>26</v>
      </c>
      <c r="C541" s="137" t="s">
        <v>181</v>
      </c>
      <c r="D541" s="133" t="s">
        <v>40</v>
      </c>
      <c r="E541" s="134" t="s">
        <v>219</v>
      </c>
      <c r="F541" s="476" t="s">
        <v>306</v>
      </c>
      <c r="G541" s="135" t="str">
        <f>VLOOKUP(A541,Plano_V3!$A$26:$G$768,7,0)</f>
        <v>1. Concluído</v>
      </c>
      <c r="H541" s="135" t="s">
        <v>612</v>
      </c>
      <c r="I541" s="473"/>
      <c r="J541" s="488"/>
      <c r="K541" s="488"/>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2321</v>
      </c>
      <c r="V541" s="323"/>
    </row>
    <row r="542" spans="1:22" ht="16.399999999999999" hidden="1" customHeight="1">
      <c r="A542" s="29" t="str">
        <f t="shared" si="10"/>
        <v>modesg_inp_emss_bens_imoveisepc</v>
      </c>
      <c r="B542" s="141" t="s">
        <v>26</v>
      </c>
      <c r="C542" s="137" t="s">
        <v>181</v>
      </c>
      <c r="D542" s="133" t="s">
        <v>40</v>
      </c>
      <c r="E542" s="134" t="s">
        <v>219</v>
      </c>
      <c r="F542" s="476" t="s">
        <v>198</v>
      </c>
      <c r="G542" s="135" t="str">
        <f>VLOOKUP(A542,Plano_V3!$A$26:$G$768,7,0)</f>
        <v>1. Concluído</v>
      </c>
      <c r="H542" s="135" t="s">
        <v>612</v>
      </c>
      <c r="I542" s="473"/>
      <c r="J542" s="488"/>
      <c r="K542" s="488"/>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2321</v>
      </c>
      <c r="V542" s="323"/>
    </row>
    <row r="543" spans="1:22" ht="16.399999999999999" hidden="1" customHeight="1">
      <c r="A543" s="29" t="str">
        <f t="shared" si="10"/>
        <v>modesg_inp_emss_bens_imoveisflg_ftr_emss_area</v>
      </c>
      <c r="B543" s="141" t="s">
        <v>26</v>
      </c>
      <c r="C543" s="137" t="s">
        <v>181</v>
      </c>
      <c r="D543" s="133" t="s">
        <v>40</v>
      </c>
      <c r="E543" s="134" t="s">
        <v>219</v>
      </c>
      <c r="F543" s="476" t="s">
        <v>307</v>
      </c>
      <c r="G543" s="135" t="str">
        <f>VLOOKUP(A543,Plano_V3!$A$26:$G$768,7,0)</f>
        <v>0. Cancelado</v>
      </c>
      <c r="H543" s="135" t="s">
        <v>611</v>
      </c>
      <c r="I543" s="473"/>
      <c r="J543" s="488"/>
      <c r="K543" s="488"/>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2321</v>
      </c>
      <c r="V543" s="323"/>
    </row>
    <row r="544" spans="1:22" ht="16.399999999999999" hidden="1" customHeight="1">
      <c r="A544" s="29" t="str">
        <f t="shared" si="10"/>
        <v>modesg_inp_emss_bens_imoveisnome_unidade_funcional</v>
      </c>
      <c r="B544" s="141" t="s">
        <v>26</v>
      </c>
      <c r="C544" s="137" t="s">
        <v>181</v>
      </c>
      <c r="D544" s="133" t="s">
        <v>40</v>
      </c>
      <c r="E544" s="134" t="s">
        <v>219</v>
      </c>
      <c r="F544" s="476" t="s">
        <v>228</v>
      </c>
      <c r="G544" s="135" t="str">
        <f>VLOOKUP(A544,Plano_V3!$A$26:$G$768,7,0)</f>
        <v>1. Concluído</v>
      </c>
      <c r="H544" s="135" t="s">
        <v>612</v>
      </c>
      <c r="I544" s="473"/>
      <c r="J544" s="488"/>
      <c r="K544" s="488"/>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2321</v>
      </c>
      <c r="V544" s="323"/>
    </row>
    <row r="545" spans="1:22" ht="16.399999999999999" hidden="1" customHeight="1">
      <c r="A545" s="29" t="str">
        <f t="shared" si="10"/>
        <v>modesg_inp_emss_bens_imoveisunidade_funcional</v>
      </c>
      <c r="B545" s="141" t="s">
        <v>26</v>
      </c>
      <c r="C545" s="137" t="s">
        <v>181</v>
      </c>
      <c r="D545" s="133" t="s">
        <v>40</v>
      </c>
      <c r="E545" s="134" t="s">
        <v>219</v>
      </c>
      <c r="F545" s="476" t="s">
        <v>229</v>
      </c>
      <c r="G545" s="135" t="str">
        <f>VLOOKUP(A545,Plano_V3!$A$26:$G$768,7,0)</f>
        <v>1. Concluído</v>
      </c>
      <c r="H545" s="135" t="s">
        <v>612</v>
      </c>
      <c r="I545" s="473"/>
      <c r="J545" s="488"/>
      <c r="K545" s="488"/>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2321</v>
      </c>
      <c r="V545" s="323"/>
    </row>
    <row r="546" spans="1:22" ht="16.399999999999999" hidden="1" customHeight="1">
      <c r="A546" s="29" t="str">
        <f t="shared" si="10"/>
        <v>modesg_inp_emss_bens_imoveisnome_fator_emissao</v>
      </c>
      <c r="B546" s="141" t="s">
        <v>26</v>
      </c>
      <c r="C546" s="137" t="s">
        <v>181</v>
      </c>
      <c r="D546" s="133" t="s">
        <v>40</v>
      </c>
      <c r="E546" s="134" t="s">
        <v>219</v>
      </c>
      <c r="F546" s="476" t="s">
        <v>230</v>
      </c>
      <c r="G546" s="135" t="str">
        <f>VLOOKUP(A546,Plano_V3!$A$26:$G$768,7,0)</f>
        <v>1. Concluído</v>
      </c>
      <c r="H546" s="135" t="s">
        <v>612</v>
      </c>
      <c r="I546" s="473"/>
      <c r="J546" s="488"/>
      <c r="K546" s="488"/>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2321</v>
      </c>
      <c r="V546" s="323"/>
    </row>
    <row r="547" spans="1:22" ht="16.399999999999999" hidden="1" customHeight="1">
      <c r="A547" s="29" t="str">
        <f t="shared" si="10"/>
        <v>modesg_inp_emss_bens_imoveisunidade_fator_de_emissao</v>
      </c>
      <c r="B547" s="141" t="s">
        <v>26</v>
      </c>
      <c r="C547" s="137" t="s">
        <v>181</v>
      </c>
      <c r="D547" s="133" t="s">
        <v>40</v>
      </c>
      <c r="E547" s="134" t="s">
        <v>219</v>
      </c>
      <c r="F547" s="476" t="s">
        <v>231</v>
      </c>
      <c r="G547" s="135" t="str">
        <f>VLOOKUP(A547,Plano_V3!$A$26:$G$768,7,0)</f>
        <v>1. Concluído</v>
      </c>
      <c r="H547" s="135" t="s">
        <v>612</v>
      </c>
      <c r="I547" s="473"/>
      <c r="J547" s="488"/>
      <c r="K547" s="488"/>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2321</v>
      </c>
      <c r="V547" s="323"/>
    </row>
    <row r="548" spans="1:22" ht="16.399999999999999" hidden="1" customHeight="1">
      <c r="A548" s="29" t="str">
        <f t="shared" si="10"/>
        <v>modesg_inp_emss_bens_imoveisscore_qualidade</v>
      </c>
      <c r="B548" s="141" t="s">
        <v>26</v>
      </c>
      <c r="C548" s="137" t="s">
        <v>181</v>
      </c>
      <c r="D548" s="133" t="s">
        <v>40</v>
      </c>
      <c r="E548" s="134" t="s">
        <v>219</v>
      </c>
      <c r="F548" s="476" t="s">
        <v>232</v>
      </c>
      <c r="G548" s="135" t="str">
        <f>VLOOKUP(A548,Plano_V3!$A$26:$G$768,7,0)</f>
        <v>1. Concluído</v>
      </c>
      <c r="H548" s="135" t="s">
        <v>612</v>
      </c>
      <c r="I548" s="473"/>
      <c r="J548" s="488"/>
      <c r="K548" s="488"/>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2321</v>
      </c>
      <c r="V548" s="323"/>
    </row>
    <row r="549" spans="1:22" ht="16.399999999999999" hidden="1" customHeight="1">
      <c r="A549" s="29" t="str">
        <f t="shared" si="10"/>
        <v>modesg_inp_emss_bens_imoveisano_fator_emissao</v>
      </c>
      <c r="B549" s="141" t="s">
        <v>26</v>
      </c>
      <c r="C549" s="137" t="s">
        <v>181</v>
      </c>
      <c r="D549" s="133" t="s">
        <v>40</v>
      </c>
      <c r="E549" s="134" t="s">
        <v>219</v>
      </c>
      <c r="F549" s="476" t="s">
        <v>308</v>
      </c>
      <c r="G549" s="135" t="str">
        <f>VLOOKUP(A549,Plano_V3!$A$26:$G$768,7,0)</f>
        <v>1. Concluído</v>
      </c>
      <c r="H549" s="135" t="s">
        <v>612</v>
      </c>
      <c r="I549" s="473"/>
      <c r="J549" s="488"/>
      <c r="K549" s="488"/>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2321</v>
      </c>
      <c r="V549" s="323"/>
    </row>
    <row r="550" spans="1:22" ht="16.399999999999999" hidden="1" customHeight="1">
      <c r="A550" s="29" t="str">
        <f t="shared" si="10"/>
        <v>modesg_inp_emss_bens_imoveisscp1_ftr_emss</v>
      </c>
      <c r="B550" s="141" t="s">
        <v>26</v>
      </c>
      <c r="C550" s="137" t="s">
        <v>181</v>
      </c>
      <c r="D550" s="133" t="s">
        <v>40</v>
      </c>
      <c r="E550" s="134" t="s">
        <v>219</v>
      </c>
      <c r="F550" s="476" t="s">
        <v>233</v>
      </c>
      <c r="G550" s="135" t="str">
        <f>VLOOKUP(A550,Plano_V3!$A$26:$G$768,7,0)</f>
        <v>1. Concluído</v>
      </c>
      <c r="H550" s="135" t="s">
        <v>612</v>
      </c>
      <c r="I550" s="473"/>
      <c r="J550" s="488"/>
      <c r="K550" s="488"/>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2321</v>
      </c>
      <c r="V550" s="323"/>
    </row>
    <row r="551" spans="1:22" ht="16.399999999999999" hidden="1" customHeight="1">
      <c r="A551" s="29" t="str">
        <f t="shared" si="10"/>
        <v>modesg_inp_emss_bens_imoveisscp2_ftr_emss</v>
      </c>
      <c r="B551" s="141" t="s">
        <v>26</v>
      </c>
      <c r="C551" s="137" t="s">
        <v>181</v>
      </c>
      <c r="D551" s="133" t="s">
        <v>40</v>
      </c>
      <c r="E551" s="134" t="s">
        <v>219</v>
      </c>
      <c r="F551" s="476" t="s">
        <v>234</v>
      </c>
      <c r="G551" s="135" t="str">
        <f>VLOOKUP(A551,Plano_V3!$A$26:$G$768,7,0)</f>
        <v>1. Concluído</v>
      </c>
      <c r="H551" s="135" t="s">
        <v>612</v>
      </c>
      <c r="I551" s="473"/>
      <c r="J551" s="488"/>
      <c r="K551" s="488"/>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2321</v>
      </c>
      <c r="V551" s="323"/>
    </row>
    <row r="552" spans="1:22" ht="16.399999999999999" hidden="1" customHeight="1">
      <c r="A552" s="29" t="str">
        <f t="shared" si="10"/>
        <v>modesg_inp_project_financecodigo_unidade</v>
      </c>
      <c r="B552" s="141" t="s">
        <v>26</v>
      </c>
      <c r="C552" s="137" t="s">
        <v>181</v>
      </c>
      <c r="D552" s="133" t="s">
        <v>40</v>
      </c>
      <c r="E552" s="134" t="s">
        <v>2061</v>
      </c>
      <c r="F552" s="476" t="s">
        <v>2062</v>
      </c>
      <c r="G552" s="135" t="str">
        <f>VLOOKUP(A552,Plano_V3!$A$26:$G$768,7,0)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2323</v>
      </c>
      <c r="V552" s="152" t="s">
        <v>1857</v>
      </c>
    </row>
    <row r="553" spans="1:22" ht="16.399999999999999" hidden="1" customHeight="1">
      <c r="A553" s="29" t="str">
        <f t="shared" si="10"/>
        <v>modesg_inp_project_financenome_unidade</v>
      </c>
      <c r="B553" s="141" t="s">
        <v>26</v>
      </c>
      <c r="C553" s="137" t="s">
        <v>181</v>
      </c>
      <c r="D553" s="133" t="s">
        <v>40</v>
      </c>
      <c r="E553" s="134" t="s">
        <v>2061</v>
      </c>
      <c r="F553" s="476" t="s">
        <v>2063</v>
      </c>
      <c r="G553" s="135" t="str">
        <f>VLOOKUP(A553,Plano_V3!$A$26:$G$768,7,0)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2323</v>
      </c>
      <c r="V553" s="152" t="s">
        <v>1857</v>
      </c>
    </row>
    <row r="554" spans="1:22" ht="16.399999999999999" hidden="1" customHeight="1">
      <c r="A554" s="29" t="str">
        <f t="shared" si="10"/>
        <v>modesg_inp_project_financekgl</v>
      </c>
      <c r="B554" s="141" t="s">
        <v>26</v>
      </c>
      <c r="C554" s="137" t="s">
        <v>181</v>
      </c>
      <c r="D554" s="133" t="s">
        <v>40</v>
      </c>
      <c r="E554" s="134" t="s">
        <v>2061</v>
      </c>
      <c r="F554" s="476" t="s">
        <v>2064</v>
      </c>
      <c r="G554" s="135" t="str">
        <f>VLOOKUP(A554,Plano_V3!$A$26:$G$768,7,0)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2323</v>
      </c>
      <c r="V554" s="152" t="s">
        <v>1857</v>
      </c>
    </row>
    <row r="555" spans="1:22" ht="16.399999999999999" hidden="1" customHeight="1">
      <c r="A555" s="29" t="str">
        <f t="shared" si="10"/>
        <v>modesg_inp_project_financenome_legal_kgl</v>
      </c>
      <c r="B555" s="141" t="s">
        <v>26</v>
      </c>
      <c r="C555" s="137" t="s">
        <v>181</v>
      </c>
      <c r="D555" s="133" t="s">
        <v>40</v>
      </c>
      <c r="E555" s="134" t="s">
        <v>2061</v>
      </c>
      <c r="F555" s="476" t="s">
        <v>2065</v>
      </c>
      <c r="G555" s="135" t="str">
        <f>VLOOKUP(A555,Plano_V3!$A$26:$G$768,7,0)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2323</v>
      </c>
      <c r="V555" s="152" t="s">
        <v>1857</v>
      </c>
    </row>
    <row r="556" spans="1:22" ht="16.399999999999999" hidden="1" customHeight="1">
      <c r="A556" s="29" t="str">
        <f t="shared" si="10"/>
        <v>modesg_inp_project_financekgl_top_entidade_principal</v>
      </c>
      <c r="B556" s="141" t="s">
        <v>26</v>
      </c>
      <c r="C556" s="137" t="s">
        <v>181</v>
      </c>
      <c r="D556" s="133" t="s">
        <v>40</v>
      </c>
      <c r="E556" s="134" t="s">
        <v>2061</v>
      </c>
      <c r="F556" s="476" t="s">
        <v>2066</v>
      </c>
      <c r="G556" s="135" t="str">
        <f>VLOOKUP(A556,Plano_V3!$A$26:$G$768,7,0)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2323</v>
      </c>
      <c r="V556" s="152" t="s">
        <v>1857</v>
      </c>
    </row>
    <row r="557" spans="1:22" ht="16.399999999999999" hidden="1" customHeight="1">
      <c r="A557" s="29" t="str">
        <f t="shared" si="10"/>
        <v>modesg_inp_project_financekgl_entidade_principal</v>
      </c>
      <c r="B557" s="141" t="s">
        <v>26</v>
      </c>
      <c r="C557" s="137" t="s">
        <v>181</v>
      </c>
      <c r="D557" s="133" t="s">
        <v>40</v>
      </c>
      <c r="E557" s="134" t="s">
        <v>2061</v>
      </c>
      <c r="F557" s="476" t="s">
        <v>2067</v>
      </c>
      <c r="G557" s="135" t="str">
        <f>VLOOKUP(A557,Plano_V3!$A$26:$G$768,7,0)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2323</v>
      </c>
      <c r="V557" s="152" t="s">
        <v>1857</v>
      </c>
    </row>
    <row r="558" spans="1:22" ht="16.399999999999999" hidden="1" customHeight="1">
      <c r="A558" s="29" t="str">
        <f t="shared" si="10"/>
        <v>modesg_inp_project_financenome_top_entidade_principal</v>
      </c>
      <c r="B558" s="141" t="s">
        <v>26</v>
      </c>
      <c r="C558" s="137" t="s">
        <v>181</v>
      </c>
      <c r="D558" s="133" t="s">
        <v>40</v>
      </c>
      <c r="E558" s="134" t="s">
        <v>2061</v>
      </c>
      <c r="F558" s="476" t="s">
        <v>2068</v>
      </c>
      <c r="G558" s="135" t="str">
        <f>VLOOKUP(A558,Plano_V3!$A$26:$G$768,7,0)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2323</v>
      </c>
      <c r="V558" s="152" t="s">
        <v>1857</v>
      </c>
    </row>
    <row r="559" spans="1:22" ht="16.399999999999999" hidden="1" customHeight="1">
      <c r="A559" s="29" t="str">
        <f t="shared" si="10"/>
        <v>modesg_inp_project_financecodigo_unidade_operativa</v>
      </c>
      <c r="B559" s="141" t="s">
        <v>26</v>
      </c>
      <c r="C559" s="137" t="s">
        <v>181</v>
      </c>
      <c r="D559" s="133" t="s">
        <v>40</v>
      </c>
      <c r="E559" s="134" t="s">
        <v>2061</v>
      </c>
      <c r="F559" s="476" t="s">
        <v>2069</v>
      </c>
      <c r="G559" s="135" t="str">
        <f>VLOOKUP(A559,Plano_V3!$A$26:$G$768,7,0)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2323</v>
      </c>
      <c r="V559" s="152" t="s">
        <v>1857</v>
      </c>
    </row>
    <row r="560" spans="1:22" ht="16.399999999999999" hidden="1" customHeight="1">
      <c r="A560" s="29" t="str">
        <f t="shared" si="10"/>
        <v>modesg_inp_project_financenome_entidade_operativa</v>
      </c>
      <c r="B560" s="141" t="s">
        <v>26</v>
      </c>
      <c r="C560" s="137" t="s">
        <v>181</v>
      </c>
      <c r="D560" s="133" t="s">
        <v>40</v>
      </c>
      <c r="E560" s="134" t="s">
        <v>2061</v>
      </c>
      <c r="F560" s="476" t="s">
        <v>2070</v>
      </c>
      <c r="G560" s="135" t="str">
        <f>VLOOKUP(A560,Plano_V3!$A$26:$G$768,7,0)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2323</v>
      </c>
      <c r="V560" s="152" t="s">
        <v>1857</v>
      </c>
    </row>
    <row r="561" spans="1:22" ht="16.399999999999999" hidden="1" customHeight="1">
      <c r="A561" s="29" t="str">
        <f t="shared" si="10"/>
        <v>modesg_out_bens_imoveisn.a.</v>
      </c>
      <c r="B561" s="141" t="s">
        <v>26</v>
      </c>
      <c r="C561" s="137" t="s">
        <v>310</v>
      </c>
      <c r="D561" s="133" t="s">
        <v>36</v>
      </c>
      <c r="E561" s="134" t="s">
        <v>311</v>
      </c>
      <c r="F561" s="476" t="s">
        <v>38</v>
      </c>
      <c r="G561" s="135" t="str">
        <f>VLOOKUP(A561,Plano_V3!$A$26:$G$768,7,0)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2321</v>
      </c>
      <c r="V561" s="323"/>
    </row>
    <row r="562" spans="1:22" ht="16.399999999999999" hidden="1" customHeight="1">
      <c r="A562" s="29" t="str">
        <f t="shared" si="10"/>
        <v>modesg_out_bens_imoveiscempbem</v>
      </c>
      <c r="B562" s="141" t="s">
        <v>26</v>
      </c>
      <c r="C562" s="137" t="s">
        <v>310</v>
      </c>
      <c r="D562" s="133" t="s">
        <v>40</v>
      </c>
      <c r="E562" s="134" t="s">
        <v>311</v>
      </c>
      <c r="F562" s="476" t="s">
        <v>313</v>
      </c>
      <c r="G562" s="135" t="str">
        <f>VLOOKUP(A562,Plano_V3!$A$26:$G$768,7,0)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2321</v>
      </c>
      <c r="V562" s="323"/>
    </row>
    <row r="563" spans="1:22" ht="16.399999999999999" hidden="1" customHeight="1">
      <c r="A563" s="29" t="str">
        <f t="shared" si="10"/>
        <v>modesg_out_bens_imoveisckbalbem</v>
      </c>
      <c r="B563" s="141" t="s">
        <v>26</v>
      </c>
      <c r="C563" s="137" t="s">
        <v>310</v>
      </c>
      <c r="D563" s="133" t="s">
        <v>40</v>
      </c>
      <c r="E563" s="134" t="s">
        <v>311</v>
      </c>
      <c r="F563" s="476" t="s">
        <v>314</v>
      </c>
      <c r="G563" s="135" t="str">
        <f>VLOOKUP(A563,Plano_V3!$A$26:$G$768,7,0)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2321</v>
      </c>
      <c r="V563" s="323"/>
    </row>
    <row r="564" spans="1:22" ht="16.399999999999999" hidden="1" customHeight="1">
      <c r="A564" s="29" t="str">
        <f t="shared" si="10"/>
        <v>modesg_out_bens_imoveisckctabem</v>
      </c>
      <c r="B564" s="141" t="s">
        <v>26</v>
      </c>
      <c r="C564" s="137" t="s">
        <v>310</v>
      </c>
      <c r="D564" s="133" t="s">
        <v>40</v>
      </c>
      <c r="E564" s="134" t="s">
        <v>311</v>
      </c>
      <c r="F564" s="476" t="s">
        <v>315</v>
      </c>
      <c r="G564" s="135" t="str">
        <f>VLOOKUP(A564,Plano_V3!$A$26:$G$768,7,0)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2321</v>
      </c>
      <c r="V564" s="323"/>
    </row>
    <row r="565" spans="1:22" ht="16.399999999999999" hidden="1" customHeight="1">
      <c r="A565" s="29" t="str">
        <f t="shared" si="10"/>
        <v>modesg_out_bens_imoveisckrefbem</v>
      </c>
      <c r="B565" s="141" t="s">
        <v>26</v>
      </c>
      <c r="C565" s="137" t="s">
        <v>310</v>
      </c>
      <c r="D565" s="133" t="s">
        <v>40</v>
      </c>
      <c r="E565" s="134" t="s">
        <v>311</v>
      </c>
      <c r="F565" s="476" t="s">
        <v>316</v>
      </c>
      <c r="G565" s="135" t="str">
        <f>VLOOKUP(A565,Plano_V3!$A$26:$G$768,7,0)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2321</v>
      </c>
      <c r="V565" s="323"/>
    </row>
    <row r="566" spans="1:22" ht="16.5" hidden="1" customHeight="1">
      <c r="A566" s="29" t="str">
        <f t="shared" si="10"/>
        <v>modesg_out_bens_imoveisorigem_scp1_emss</v>
      </c>
      <c r="B566" s="141" t="s">
        <v>26</v>
      </c>
      <c r="C566" s="137" t="s">
        <v>310</v>
      </c>
      <c r="D566" s="133" t="s">
        <v>40</v>
      </c>
      <c r="E566" s="134" t="s">
        <v>311</v>
      </c>
      <c r="F566" s="476" t="s">
        <v>319</v>
      </c>
      <c r="G566" s="135" t="str">
        <f>VLOOKUP(A566,Plano_V3!$A$26:$G$768,7,0)</f>
        <v>1. Concluído</v>
      </c>
      <c r="H566" s="135" t="s">
        <v>612</v>
      </c>
      <c r="I566" s="473"/>
      <c r="J566" s="142"/>
      <c r="K566" s="142"/>
      <c r="L566" s="142" t="s">
        <v>2355</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2321</v>
      </c>
      <c r="V566" s="323"/>
    </row>
    <row r="567" spans="1:22" ht="16.5" hidden="1" customHeight="1">
      <c r="A567" s="29" t="str">
        <f t="shared" si="10"/>
        <v>modesg_out_bens_imoveisorigem_scp2_emss</v>
      </c>
      <c r="B567" s="141" t="s">
        <v>26</v>
      </c>
      <c r="C567" s="137" t="s">
        <v>310</v>
      </c>
      <c r="D567" s="133" t="s">
        <v>40</v>
      </c>
      <c r="E567" s="134" t="s">
        <v>311</v>
      </c>
      <c r="F567" s="476" t="s">
        <v>320</v>
      </c>
      <c r="G567" s="135" t="str">
        <f>VLOOKUP(A567,Plano_V3!$A$26:$G$768,7,0)</f>
        <v>1. Concluído</v>
      </c>
      <c r="H567" s="135" t="s">
        <v>612</v>
      </c>
      <c r="I567" s="473"/>
      <c r="J567" s="142"/>
      <c r="K567" s="142"/>
      <c r="L567" s="142" t="s">
        <v>2355</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2321</v>
      </c>
      <c r="V567" s="323"/>
    </row>
    <row r="568" spans="1:22" ht="16.5" hidden="1" customHeight="1">
      <c r="A568" s="29" t="str">
        <f t="shared" si="10"/>
        <v>modesg_out_bens_imoveisorigem_scp3_emss</v>
      </c>
      <c r="B568" s="141" t="s">
        <v>26</v>
      </c>
      <c r="C568" s="137" t="s">
        <v>310</v>
      </c>
      <c r="D568" s="133" t="s">
        <v>40</v>
      </c>
      <c r="E568" s="134" t="s">
        <v>311</v>
      </c>
      <c r="F568" s="476" t="s">
        <v>321</v>
      </c>
      <c r="G568" s="135" t="str">
        <f>VLOOKUP(A568,Plano_V3!$A$26:$G$768,7,0)</f>
        <v>1. Concluído</v>
      </c>
      <c r="H568" s="135" t="s">
        <v>612</v>
      </c>
      <c r="I568" s="473"/>
      <c r="J568" s="142"/>
      <c r="K568" s="142"/>
      <c r="L568" s="142" t="s">
        <v>2355</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2321</v>
      </c>
      <c r="V568" s="323"/>
    </row>
    <row r="569" spans="1:22" ht="16.399999999999999" hidden="1" customHeight="1">
      <c r="A569" s="29" t="str">
        <f t="shared" si="10"/>
        <v>modesg_out_bens_imoveisref_date</v>
      </c>
      <c r="B569" s="141" t="s">
        <v>26</v>
      </c>
      <c r="C569" s="137" t="s">
        <v>310</v>
      </c>
      <c r="D569" s="133" t="s">
        <v>40</v>
      </c>
      <c r="E569" s="134" t="s">
        <v>311</v>
      </c>
      <c r="F569" s="476" t="s">
        <v>208</v>
      </c>
      <c r="G569" s="135" t="str">
        <f>VLOOKUP(A569,Plano_V3!$A$26:$G$768,7,0)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2321</v>
      </c>
      <c r="V569" s="323"/>
    </row>
    <row r="570" spans="1:22" ht="16.399999999999999" hidden="1" customHeight="1">
      <c r="A570" s="29" t="str">
        <f t="shared" si="10"/>
        <v>modesg_out_bens_imoveisscp1_emss</v>
      </c>
      <c r="B570" s="141" t="s">
        <v>26</v>
      </c>
      <c r="C570" s="137" t="s">
        <v>310</v>
      </c>
      <c r="D570" s="133" t="s">
        <v>40</v>
      </c>
      <c r="E570" s="134" t="s">
        <v>311</v>
      </c>
      <c r="F570" s="476" t="s">
        <v>285</v>
      </c>
      <c r="G570" s="135" t="str">
        <f>VLOOKUP(A570,Plano_V3!$A$26:$G$768,7,0)</f>
        <v>1. Concluído</v>
      </c>
      <c r="H570" s="135" t="s">
        <v>612</v>
      </c>
      <c r="I570" s="473"/>
      <c r="J570" s="142"/>
      <c r="K570" s="142"/>
      <c r="L570" s="142" t="s">
        <v>2355</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2321</v>
      </c>
      <c r="V570" s="323"/>
    </row>
    <row r="571" spans="1:22" ht="16.399999999999999" hidden="1" customHeight="1">
      <c r="A571" s="29" t="str">
        <f t="shared" si="10"/>
        <v>modesg_out_bens_imoveisscp2_emss</v>
      </c>
      <c r="B571" s="141" t="s">
        <v>26</v>
      </c>
      <c r="C571" s="137" t="s">
        <v>310</v>
      </c>
      <c r="D571" s="133" t="s">
        <v>40</v>
      </c>
      <c r="E571" s="134" t="s">
        <v>311</v>
      </c>
      <c r="F571" s="476" t="s">
        <v>286</v>
      </c>
      <c r="G571" s="135" t="str">
        <f>VLOOKUP(A571,Plano_V3!$A$26:$G$768,7,0)</f>
        <v>1. Concluído</v>
      </c>
      <c r="H571" s="135" t="s">
        <v>612</v>
      </c>
      <c r="I571" s="473"/>
      <c r="J571" s="142"/>
      <c r="K571" s="142"/>
      <c r="L571" s="142" t="s">
        <v>2355</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2321</v>
      </c>
      <c r="V571" s="323"/>
    </row>
    <row r="572" spans="1:22" ht="16.399999999999999" hidden="1" customHeight="1">
      <c r="A572" s="29" t="str">
        <f t="shared" si="10"/>
        <v>modesg_out_bens_imoveisscp3_emss</v>
      </c>
      <c r="B572" s="141" t="s">
        <v>26</v>
      </c>
      <c r="C572" s="137" t="s">
        <v>310</v>
      </c>
      <c r="D572" s="133" t="s">
        <v>40</v>
      </c>
      <c r="E572" s="134" t="s">
        <v>311</v>
      </c>
      <c r="F572" s="476" t="s">
        <v>287</v>
      </c>
      <c r="G572" s="135" t="str">
        <f>VLOOKUP(A572,Plano_V3!$A$26:$G$768,7,0)</f>
        <v>1. Concluído</v>
      </c>
      <c r="H572" s="135" t="s">
        <v>612</v>
      </c>
      <c r="I572" s="473"/>
      <c r="J572" s="153"/>
      <c r="K572" s="153"/>
      <c r="L572" s="142" t="s">
        <v>2355</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2321</v>
      </c>
      <c r="V572" s="323"/>
    </row>
    <row r="573" spans="1:22" ht="16.399999999999999" hidden="1" customHeight="1">
      <c r="A573" s="29" t="str">
        <f t="shared" si="10"/>
        <v>modesg_out_bens_imoveisunidade_funcional_scp1_emss</v>
      </c>
      <c r="B573" s="141" t="s">
        <v>26</v>
      </c>
      <c r="C573" s="137" t="s">
        <v>310</v>
      </c>
      <c r="D573" s="133" t="s">
        <v>40</v>
      </c>
      <c r="E573" s="134" t="s">
        <v>311</v>
      </c>
      <c r="F573" s="476" t="s">
        <v>322</v>
      </c>
      <c r="G573" s="135" t="str">
        <f>VLOOKUP(A573,Plano_V3!$A$26:$G$768,7,0)</f>
        <v>1. Concluído</v>
      </c>
      <c r="H573" s="135" t="s">
        <v>612</v>
      </c>
      <c r="I573" s="473"/>
      <c r="J573" s="142"/>
      <c r="K573" s="142"/>
      <c r="L573" s="142" t="s">
        <v>2355</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2321</v>
      </c>
      <c r="V573" s="323"/>
    </row>
    <row r="574" spans="1:22" ht="16.5" hidden="1" customHeight="1">
      <c r="A574" s="29" t="str">
        <f t="shared" si="10"/>
        <v>modesg_out_bens_imoveisunidade_funcional_scp2_emss</v>
      </c>
      <c r="B574" s="141" t="s">
        <v>26</v>
      </c>
      <c r="C574" s="137" t="s">
        <v>310</v>
      </c>
      <c r="D574" s="133" t="s">
        <v>40</v>
      </c>
      <c r="E574" s="134" t="s">
        <v>311</v>
      </c>
      <c r="F574" s="476" t="s">
        <v>323</v>
      </c>
      <c r="G574" s="135" t="str">
        <f>VLOOKUP(A574,Plano_V3!$A$26:$G$768,7,0)</f>
        <v>1. Concluído</v>
      </c>
      <c r="H574" s="135" t="s">
        <v>612</v>
      </c>
      <c r="I574" s="473"/>
      <c r="J574" s="142"/>
      <c r="K574" s="142"/>
      <c r="L574" s="142" t="s">
        <v>2355</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2321</v>
      </c>
      <c r="V574" s="323"/>
    </row>
    <row r="575" spans="1:22" ht="16.5" hidden="1" customHeight="1">
      <c r="A575" s="29" t="str">
        <f t="shared" si="10"/>
        <v>modesg_out_bens_imoveisunidade_funcional_scp3_emss</v>
      </c>
      <c r="B575" s="141" t="s">
        <v>26</v>
      </c>
      <c r="C575" s="137" t="s">
        <v>310</v>
      </c>
      <c r="D575" s="133" t="s">
        <v>40</v>
      </c>
      <c r="E575" s="134" t="s">
        <v>311</v>
      </c>
      <c r="F575" s="476" t="s">
        <v>324</v>
      </c>
      <c r="G575" s="135" t="str">
        <f>VLOOKUP(A575,Plano_V3!$A$26:$G$768,7,0)</f>
        <v>1. Concluído</v>
      </c>
      <c r="H575" s="135" t="s">
        <v>612</v>
      </c>
      <c r="I575" s="473"/>
      <c r="J575" s="142"/>
      <c r="K575" s="142"/>
      <c r="L575" s="142" t="s">
        <v>2355</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2321</v>
      </c>
      <c r="V575" s="323"/>
    </row>
    <row r="576" spans="1:22" ht="16.5" hidden="1" customHeight="1">
      <c r="A576" s="29" t="str">
        <f t="shared" si="10"/>
        <v>modesg_out_empr_info_nfinn.a.</v>
      </c>
      <c r="B576" s="141" t="s">
        <v>26</v>
      </c>
      <c r="C576" s="137" t="s">
        <v>310</v>
      </c>
      <c r="D576" s="133" t="s">
        <v>36</v>
      </c>
      <c r="E576" s="134" t="s">
        <v>325</v>
      </c>
      <c r="F576" s="476" t="s">
        <v>38</v>
      </c>
      <c r="G576" s="135" t="str">
        <f>VLOOKUP(A576,Plano_V3!$A$26:$G$768,7,0)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2321</v>
      </c>
      <c r="V576" s="323"/>
    </row>
    <row r="577" spans="1:22" ht="16.5" hidden="1" customHeight="1">
      <c r="A577" s="29" t="str">
        <f t="shared" si="10"/>
        <v>modesg_out_empr_info_nfincca_capex_enblng_algnd</v>
      </c>
      <c r="B577" s="141" t="s">
        <v>26</v>
      </c>
      <c r="C577" s="137" t="s">
        <v>310</v>
      </c>
      <c r="D577" s="133" t="s">
        <v>40</v>
      </c>
      <c r="E577" s="134" t="s">
        <v>325</v>
      </c>
      <c r="F577" s="476" t="s">
        <v>249</v>
      </c>
      <c r="G577" s="135" t="str">
        <f>VLOOKUP(A577,Plano_V3!$A$26:$G$768,7,0)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2321</v>
      </c>
      <c r="V577" s="323"/>
    </row>
    <row r="578" spans="1:22" ht="16.5" hidden="1" customHeight="1">
      <c r="A578" s="29" t="str">
        <f t="shared" si="10"/>
        <v>modesg_out_empr_info_nfincca_capex_own_prfrmnce_algnd</v>
      </c>
      <c r="B578" s="141" t="s">
        <v>26</v>
      </c>
      <c r="C578" s="137" t="s">
        <v>310</v>
      </c>
      <c r="D578" s="133" t="s">
        <v>40</v>
      </c>
      <c r="E578" s="134" t="s">
        <v>325</v>
      </c>
      <c r="F578" s="476" t="s">
        <v>250</v>
      </c>
      <c r="G578" s="135" t="str">
        <f>VLOOKUP(A578,Plano_V3!$A$26:$G$768,7,0)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2321</v>
      </c>
      <c r="V578" s="323"/>
    </row>
    <row r="579" spans="1:22" ht="16.5" hidden="1" customHeight="1">
      <c r="A579" s="29" t="str">
        <f t="shared" si="10"/>
        <v>modesg_out_empr_info_nfincca_capex_ttl_elgbl</v>
      </c>
      <c r="B579" s="141" t="s">
        <v>26</v>
      </c>
      <c r="C579" s="137" t="s">
        <v>310</v>
      </c>
      <c r="D579" s="133" t="s">
        <v>40</v>
      </c>
      <c r="E579" s="134" t="s">
        <v>325</v>
      </c>
      <c r="F579" s="476" t="s">
        <v>248</v>
      </c>
      <c r="G579" s="135" t="str">
        <f>VLOOKUP(A579,Plano_V3!$A$26:$G$768,7,0)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2321</v>
      </c>
      <c r="V579" s="323"/>
    </row>
    <row r="580" spans="1:22" ht="16.5" hidden="1" customHeight="1">
      <c r="A580" s="29" t="str">
        <f t="shared" si="10"/>
        <v>modesg_out_empr_info_nfincca_trnvr_enblng_alignd</v>
      </c>
      <c r="B580" s="141" t="s">
        <v>26</v>
      </c>
      <c r="C580" s="137" t="s">
        <v>310</v>
      </c>
      <c r="D580" s="133" t="s">
        <v>40</v>
      </c>
      <c r="E580" s="134" t="s">
        <v>325</v>
      </c>
      <c r="F580" s="476" t="s">
        <v>246</v>
      </c>
      <c r="G580" s="135" t="str">
        <f>VLOOKUP(A580,Plano_V3!$A$26:$G$768,7,0)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2321</v>
      </c>
      <c r="V580" s="323"/>
    </row>
    <row r="581" spans="1:22" ht="16.5" hidden="1" customHeight="1">
      <c r="A581" s="29" t="str">
        <f t="shared" si="10"/>
        <v>modesg_out_empr_info_nfincca_trnvr_ttl_elgbl</v>
      </c>
      <c r="B581" s="141" t="s">
        <v>26</v>
      </c>
      <c r="C581" s="137" t="s">
        <v>310</v>
      </c>
      <c r="D581" s="133" t="s">
        <v>40</v>
      </c>
      <c r="E581" s="134" t="s">
        <v>325</v>
      </c>
      <c r="F581" s="476" t="s">
        <v>245</v>
      </c>
      <c r="G581" s="135" t="str">
        <f>VLOOKUP(A581,Plano_V3!$A$26:$G$768,7,0)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2321</v>
      </c>
      <c r="V581" s="323"/>
    </row>
    <row r="582" spans="1:22" ht="16.5" hidden="1" customHeight="1">
      <c r="A582" s="29" t="str">
        <f t="shared" si="10"/>
        <v>modesg_out_empr_info_nfincca_turnover_own_prfrmnce_algnd</v>
      </c>
      <c r="B582" s="141" t="s">
        <v>26</v>
      </c>
      <c r="C582" s="137" t="s">
        <v>310</v>
      </c>
      <c r="D582" s="133" t="s">
        <v>40</v>
      </c>
      <c r="E582" s="134" t="s">
        <v>325</v>
      </c>
      <c r="F582" s="476" t="s">
        <v>247</v>
      </c>
      <c r="G582" s="135" t="str">
        <f>VLOOKUP(A582,Plano_V3!$A$26:$G$768,7,0)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2321</v>
      </c>
      <c r="V582" s="323"/>
    </row>
    <row r="583" spans="1:22" ht="16.5" hidden="1" customHeight="1">
      <c r="A583" s="29" t="str">
        <f t="shared" si="10"/>
        <v>modesg_out_empr_info_nfinccm_capex_enblng_algnd</v>
      </c>
      <c r="B583" s="141" t="s">
        <v>26</v>
      </c>
      <c r="C583" s="137" t="s">
        <v>310</v>
      </c>
      <c r="D583" s="133" t="s">
        <v>40</v>
      </c>
      <c r="E583" s="134" t="s">
        <v>325</v>
      </c>
      <c r="F583" s="476" t="s">
        <v>256</v>
      </c>
      <c r="G583" s="135" t="str">
        <f>VLOOKUP(A583,Plano_V3!$A$26:$G$768,7,0)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2321</v>
      </c>
      <c r="V583" s="323"/>
    </row>
    <row r="584" spans="1:22" ht="16.5" hidden="1" customHeight="1">
      <c r="A584" s="29" t="str">
        <f t="shared" si="10"/>
        <v>modesg_out_empr_info_nfinccm_capex_own_prfrmnce_algnd</v>
      </c>
      <c r="B584" s="141" t="s">
        <v>26</v>
      </c>
      <c r="C584" s="137" t="s">
        <v>310</v>
      </c>
      <c r="D584" s="133" t="s">
        <v>40</v>
      </c>
      <c r="E584" s="134" t="s">
        <v>325</v>
      </c>
      <c r="F584" s="476" t="s">
        <v>258</v>
      </c>
      <c r="G584" s="135" t="str">
        <f>VLOOKUP(A584,Plano_V3!$A$26:$G$768,7,0)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2321</v>
      </c>
      <c r="V584" s="323"/>
    </row>
    <row r="585" spans="1:22" ht="16.399999999999999" hidden="1" customHeight="1">
      <c r="A585" s="29" t="str">
        <f t="shared" si="10"/>
        <v>modesg_out_empr_info_nfinccm_capex_trnstn_algnd</v>
      </c>
      <c r="B585" s="141" t="s">
        <v>26</v>
      </c>
      <c r="C585" s="137" t="s">
        <v>310</v>
      </c>
      <c r="D585" s="133" t="s">
        <v>40</v>
      </c>
      <c r="E585" s="134" t="s">
        <v>325</v>
      </c>
      <c r="F585" s="476" t="s">
        <v>257</v>
      </c>
      <c r="G585" s="135" t="str">
        <f>VLOOKUP(A585,Plano_V3!$A$26:$G$768,7,0)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2321</v>
      </c>
      <c r="V585" s="323"/>
    </row>
    <row r="586" spans="1:22" ht="16.399999999999999" hidden="1" customHeight="1">
      <c r="A586" s="29" t="str">
        <f t="shared" si="10"/>
        <v>modesg_out_empr_info_nfinccm_capex_ttl_elgbl</v>
      </c>
      <c r="B586" s="141" t="s">
        <v>26</v>
      </c>
      <c r="C586" s="137" t="s">
        <v>310</v>
      </c>
      <c r="D586" s="133" t="s">
        <v>40</v>
      </c>
      <c r="E586" s="134" t="s">
        <v>325</v>
      </c>
      <c r="F586" s="476" t="s">
        <v>255</v>
      </c>
      <c r="G586" s="135" t="str">
        <f>VLOOKUP(A586,Plano_V3!$A$26:$G$768,7,0)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2321</v>
      </c>
      <c r="V586" s="323"/>
    </row>
    <row r="587" spans="1:22" ht="16.399999999999999" hidden="1" customHeight="1">
      <c r="A587" s="29" t="str">
        <f t="shared" si="10"/>
        <v>modesg_out_empr_info_nfinccm_trnvr_enblng_algnd</v>
      </c>
      <c r="B587" s="141" t="s">
        <v>26</v>
      </c>
      <c r="C587" s="137" t="s">
        <v>310</v>
      </c>
      <c r="D587" s="133" t="s">
        <v>40</v>
      </c>
      <c r="E587" s="134" t="s">
        <v>325</v>
      </c>
      <c r="F587" s="476" t="s">
        <v>252</v>
      </c>
      <c r="G587" s="135" t="str">
        <f>VLOOKUP(A587,Plano_V3!$A$26:$G$768,7,0)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2321</v>
      </c>
      <c r="V587" s="323"/>
    </row>
    <row r="588" spans="1:22" ht="16.399999999999999" hidden="1" customHeight="1">
      <c r="A588" s="29" t="str">
        <f t="shared" si="10"/>
        <v>modesg_out_empr_info_nfinccm_trnvr_own_prfrmnce_algnd</v>
      </c>
      <c r="B588" s="141" t="s">
        <v>26</v>
      </c>
      <c r="C588" s="137" t="s">
        <v>310</v>
      </c>
      <c r="D588" s="133" t="s">
        <v>40</v>
      </c>
      <c r="E588" s="134" t="s">
        <v>325</v>
      </c>
      <c r="F588" s="476" t="s">
        <v>254</v>
      </c>
      <c r="G588" s="135" t="str">
        <f>VLOOKUP(A588,Plano_V3!$A$26:$G$768,7,0)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2321</v>
      </c>
      <c r="V588" s="323"/>
    </row>
    <row r="589" spans="1:22" ht="16.399999999999999" hidden="1"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VLOOKUP(A589,Plano_V3!$A$26:$G$768,7,0)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2321</v>
      </c>
      <c r="V589" s="323"/>
    </row>
    <row r="590" spans="1:22" ht="16.399999999999999" hidden="1" customHeight="1">
      <c r="A590" s="29" t="str">
        <f t="shared" si="11"/>
        <v>modesg_out_empr_info_nfinccm_trnvr_ttl_elgbl</v>
      </c>
      <c r="B590" s="141" t="s">
        <v>26</v>
      </c>
      <c r="C590" s="137" t="s">
        <v>310</v>
      </c>
      <c r="D590" s="133" t="s">
        <v>40</v>
      </c>
      <c r="E590" s="134" t="s">
        <v>325</v>
      </c>
      <c r="F590" s="476" t="s">
        <v>251</v>
      </c>
      <c r="G590" s="135" t="str">
        <f>VLOOKUP(A590,Plano_V3!$A$26:$G$768,7,0)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2321</v>
      </c>
      <c r="V590" s="323"/>
    </row>
    <row r="591" spans="1:22" ht="16.399999999999999" hidden="1" customHeight="1">
      <c r="A591" s="29" t="str">
        <f t="shared" si="11"/>
        <v>modesg_out_empr_info_nfinflg_emprs_excl_paris</v>
      </c>
      <c r="B591" s="141" t="s">
        <v>26</v>
      </c>
      <c r="C591" s="137" t="s">
        <v>310</v>
      </c>
      <c r="D591" s="133" t="s">
        <v>40</v>
      </c>
      <c r="E591" s="134" t="s">
        <v>325</v>
      </c>
      <c r="F591" s="476" t="s">
        <v>327</v>
      </c>
      <c r="G591" s="135" t="str">
        <f>VLOOKUP(A591,Plano_V3!$A$26:$G$768,7,0)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2321</v>
      </c>
      <c r="V591" s="323"/>
    </row>
    <row r="592" spans="1:22" ht="16.399999999999999" hidden="1" customHeight="1">
      <c r="A592" s="29" t="str">
        <f t="shared" si="11"/>
        <v>modesg_out_empr_info_nfinflg_nfrd</v>
      </c>
      <c r="B592" s="141" t="s">
        <v>26</v>
      </c>
      <c r="C592" s="137" t="s">
        <v>310</v>
      </c>
      <c r="D592" s="133" t="s">
        <v>40</v>
      </c>
      <c r="E592" s="134" t="s">
        <v>325</v>
      </c>
      <c r="F592" s="476" t="s">
        <v>244</v>
      </c>
      <c r="G592" s="135" t="str">
        <f>VLOOKUP(A592,Plano_V3!$A$26:$G$768,7,0)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2321</v>
      </c>
      <c r="V592" s="323"/>
    </row>
    <row r="593" spans="1:22" ht="16.399999999999999" hidden="1" customHeight="1">
      <c r="A593" s="29" t="str">
        <f t="shared" si="11"/>
        <v>modesg_out_empr_info_nfinorigem_alinhamentos</v>
      </c>
      <c r="B593" s="141" t="s">
        <v>26</v>
      </c>
      <c r="C593" s="137" t="s">
        <v>310</v>
      </c>
      <c r="D593" s="133" t="s">
        <v>40</v>
      </c>
      <c r="E593" s="134" t="s">
        <v>325</v>
      </c>
      <c r="F593" s="476" t="s">
        <v>328</v>
      </c>
      <c r="G593" s="135" t="str">
        <f>VLOOKUP(A593,Plano_V3!$A$26:$G$768,7,0)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2321</v>
      </c>
      <c r="V593" s="323"/>
    </row>
    <row r="594" spans="1:22" ht="16.399999999999999" hidden="1" customHeight="1">
      <c r="A594" s="29" t="str">
        <f t="shared" si="11"/>
        <v>modesg_out_empr_info_nfinorigem_flg_emprs_excl_paris</v>
      </c>
      <c r="B594" s="141" t="s">
        <v>26</v>
      </c>
      <c r="C594" s="137" t="s">
        <v>310</v>
      </c>
      <c r="D594" s="133" t="s">
        <v>40</v>
      </c>
      <c r="E594" s="134" t="s">
        <v>325</v>
      </c>
      <c r="F594" s="476" t="s">
        <v>329</v>
      </c>
      <c r="G594" s="135" t="str">
        <f>VLOOKUP(A594,Plano_V3!$A$26:$G$768,7,0)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2321</v>
      </c>
      <c r="V594" s="323"/>
    </row>
    <row r="595" spans="1:22" ht="16.399999999999999" hidden="1" customHeight="1">
      <c r="A595" s="29" t="str">
        <f t="shared" si="11"/>
        <v>modesg_out_empr_info_nfinorigem_flg_nfrd</v>
      </c>
      <c r="B595" s="141" t="s">
        <v>26</v>
      </c>
      <c r="C595" s="137" t="s">
        <v>310</v>
      </c>
      <c r="D595" s="133" t="s">
        <v>40</v>
      </c>
      <c r="E595" s="134" t="s">
        <v>325</v>
      </c>
      <c r="F595" s="476" t="s">
        <v>330</v>
      </c>
      <c r="G595" s="135" t="str">
        <f>VLOOKUP(A595,Plano_V3!$A$26:$G$768,7,0)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2321</v>
      </c>
      <c r="V595" s="323"/>
    </row>
    <row r="596" spans="1:22" ht="16.399999999999999" hidden="1" customHeight="1">
      <c r="A596" s="29" t="str">
        <f t="shared" si="11"/>
        <v>modesg_out_empr_info_nfinref_date</v>
      </c>
      <c r="B596" s="141" t="s">
        <v>26</v>
      </c>
      <c r="C596" s="137" t="s">
        <v>310</v>
      </c>
      <c r="D596" s="133" t="s">
        <v>40</v>
      </c>
      <c r="E596" s="134" t="s">
        <v>325</v>
      </c>
      <c r="F596" s="476" t="s">
        <v>208</v>
      </c>
      <c r="G596" s="135" t="str">
        <f>VLOOKUP(A596,Plano_V3!$A$26:$G$768,7,0)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2321</v>
      </c>
      <c r="V596" s="323"/>
    </row>
    <row r="597" spans="1:22" ht="16.399999999999999" hidden="1" customHeight="1">
      <c r="A597" s="29" t="str">
        <f t="shared" si="11"/>
        <v>modesg_out_empr_info_nfinzcliente</v>
      </c>
      <c r="B597" s="141" t="s">
        <v>26</v>
      </c>
      <c r="C597" s="137" t="s">
        <v>310</v>
      </c>
      <c r="D597" s="133" t="s">
        <v>40</v>
      </c>
      <c r="E597" s="134" t="s">
        <v>325</v>
      </c>
      <c r="F597" s="476" t="s">
        <v>209</v>
      </c>
      <c r="G597" s="135" t="str">
        <f>VLOOKUP(A597,Plano_V3!$A$26:$G$768,7,0)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2321</v>
      </c>
      <c r="V597" s="323"/>
    </row>
    <row r="598" spans="1:22" ht="16.399999999999999" hidden="1" customHeight="1">
      <c r="A598" s="29" t="str">
        <f t="shared" si="11"/>
        <v>modesg_out_emss_vclsn.a.</v>
      </c>
      <c r="B598" s="141" t="s">
        <v>26</v>
      </c>
      <c r="C598" s="137" t="s">
        <v>310</v>
      </c>
      <c r="D598" s="133" t="s">
        <v>36</v>
      </c>
      <c r="E598" s="134" t="s">
        <v>331</v>
      </c>
      <c r="F598" s="476" t="s">
        <v>38</v>
      </c>
      <c r="G598" s="135" t="str">
        <f>VLOOKUP(A598,Plano_V3!$A$26:$G$768,7,0)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2321</v>
      </c>
      <c r="V598" s="323"/>
    </row>
    <row r="599" spans="1:22" ht="16.399999999999999" hidden="1" customHeight="1">
      <c r="A599" s="29" t="str">
        <f t="shared" si="11"/>
        <v>modesg_out_emss_vclscempbem</v>
      </c>
      <c r="B599" s="141" t="s">
        <v>26</v>
      </c>
      <c r="C599" s="137" t="s">
        <v>310</v>
      </c>
      <c r="D599" s="133" t="s">
        <v>40</v>
      </c>
      <c r="E599" s="134" t="s">
        <v>331</v>
      </c>
      <c r="F599" s="476" t="s">
        <v>313</v>
      </c>
      <c r="G599" s="135" t="str">
        <f>VLOOKUP(A599,Plano_V3!$A$26:$G$768,7,0)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2321</v>
      </c>
      <c r="V599" s="323"/>
    </row>
    <row r="600" spans="1:22" ht="16.399999999999999" hidden="1" customHeight="1">
      <c r="A600" s="29" t="str">
        <f t="shared" si="11"/>
        <v>modesg_out_emss_vclsckbalbem</v>
      </c>
      <c r="B600" s="141" t="s">
        <v>26</v>
      </c>
      <c r="C600" s="137" t="s">
        <v>310</v>
      </c>
      <c r="D600" s="133" t="s">
        <v>40</v>
      </c>
      <c r="E600" s="134" t="s">
        <v>331</v>
      </c>
      <c r="F600" s="476" t="s">
        <v>314</v>
      </c>
      <c r="G600" s="135" t="str">
        <f>VLOOKUP(A600,Plano_V3!$A$26:$G$768,7,0)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2321</v>
      </c>
      <c r="V600" s="323"/>
    </row>
    <row r="601" spans="1:22" ht="16.399999999999999" hidden="1" customHeight="1">
      <c r="A601" s="29" t="str">
        <f t="shared" si="11"/>
        <v>modesg_out_emss_vclsckctabem</v>
      </c>
      <c r="B601" s="141" t="s">
        <v>26</v>
      </c>
      <c r="C601" s="137" t="s">
        <v>310</v>
      </c>
      <c r="D601" s="133" t="s">
        <v>40</v>
      </c>
      <c r="E601" s="134" t="s">
        <v>331</v>
      </c>
      <c r="F601" s="476" t="s">
        <v>315</v>
      </c>
      <c r="G601" s="135" t="str">
        <f>VLOOKUP(A601,Plano_V3!$A$26:$G$768,7,0)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2321</v>
      </c>
      <c r="V601" s="323"/>
    </row>
    <row r="602" spans="1:22" ht="16.399999999999999" hidden="1" customHeight="1">
      <c r="A602" s="29" t="str">
        <f t="shared" si="11"/>
        <v>modesg_out_emss_vclsckrefbem</v>
      </c>
      <c r="B602" s="141" t="s">
        <v>26</v>
      </c>
      <c r="C602" s="137" t="s">
        <v>310</v>
      </c>
      <c r="D602" s="133" t="s">
        <v>40</v>
      </c>
      <c r="E602" s="134" t="s">
        <v>331</v>
      </c>
      <c r="F602" s="476" t="s">
        <v>316</v>
      </c>
      <c r="G602" s="135" t="str">
        <f>VLOOKUP(A602,Plano_V3!$A$26:$G$768,7,0)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2321</v>
      </c>
      <c r="V602" s="323"/>
    </row>
    <row r="603" spans="1:22" ht="16.399999999999999" hidden="1" customHeight="1">
      <c r="A603" s="29" t="str">
        <f t="shared" si="11"/>
        <v>modesg_out_emss_vclscnsm_co2</v>
      </c>
      <c r="B603" s="141" t="s">
        <v>26</v>
      </c>
      <c r="C603" s="137" t="s">
        <v>310</v>
      </c>
      <c r="D603" s="133" t="s">
        <v>40</v>
      </c>
      <c r="E603" s="134" t="s">
        <v>331</v>
      </c>
      <c r="F603" s="476" t="s">
        <v>188</v>
      </c>
      <c r="G603" s="135" t="str">
        <f>VLOOKUP(A603,Plano_V3!$A$26:$G$768,7,0)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2321</v>
      </c>
      <c r="V603" s="323"/>
    </row>
    <row r="604" spans="1:22" ht="16.399999999999999" hidden="1" customHeight="1">
      <c r="A604" s="29" t="str">
        <f t="shared" si="11"/>
        <v>modesg_out_emss_vclsorigem_scp1_emss</v>
      </c>
      <c r="B604" s="141" t="s">
        <v>26</v>
      </c>
      <c r="C604" s="137" t="s">
        <v>310</v>
      </c>
      <c r="D604" s="133" t="s">
        <v>40</v>
      </c>
      <c r="E604" s="134" t="s">
        <v>331</v>
      </c>
      <c r="F604" s="476" t="s">
        <v>319</v>
      </c>
      <c r="G604" s="135" t="str">
        <f>VLOOKUP(A604,Plano_V3!$A$26:$G$768,7,0)</f>
        <v>1. Concluído</v>
      </c>
      <c r="H604" s="135" t="s">
        <v>612</v>
      </c>
      <c r="I604" s="473"/>
      <c r="J604" s="142"/>
      <c r="K604" s="142"/>
      <c r="L604" s="142" t="s">
        <v>2355</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2321</v>
      </c>
      <c r="V604" s="323"/>
    </row>
    <row r="605" spans="1:22" ht="16.399999999999999" hidden="1" customHeight="1">
      <c r="A605" s="29" t="str">
        <f t="shared" si="11"/>
        <v>modesg_out_emss_vclsorigem_scp2_emss</v>
      </c>
      <c r="B605" s="141" t="s">
        <v>26</v>
      </c>
      <c r="C605" s="137" t="s">
        <v>310</v>
      </c>
      <c r="D605" s="133" t="s">
        <v>40</v>
      </c>
      <c r="E605" s="134" t="s">
        <v>331</v>
      </c>
      <c r="F605" s="476" t="s">
        <v>320</v>
      </c>
      <c r="G605" s="135" t="str">
        <f>VLOOKUP(A605,Plano_V3!$A$26:$G$768,7,0)</f>
        <v>1. Concluído</v>
      </c>
      <c r="H605" s="135" t="s">
        <v>612</v>
      </c>
      <c r="I605" s="473"/>
      <c r="J605" s="142"/>
      <c r="K605" s="142"/>
      <c r="L605" s="142" t="s">
        <v>2355</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2321</v>
      </c>
      <c r="V605" s="323"/>
    </row>
    <row r="606" spans="1:22" ht="16.399999999999999" hidden="1" customHeight="1">
      <c r="A606" s="29" t="str">
        <f t="shared" si="11"/>
        <v>modesg_out_emss_vclsorigem_scp3_emss</v>
      </c>
      <c r="B606" s="141" t="s">
        <v>26</v>
      </c>
      <c r="C606" s="137" t="s">
        <v>310</v>
      </c>
      <c r="D606" s="133" t="s">
        <v>40</v>
      </c>
      <c r="E606" s="134" t="s">
        <v>331</v>
      </c>
      <c r="F606" s="476" t="s">
        <v>321</v>
      </c>
      <c r="G606" s="135" t="str">
        <f>VLOOKUP(A606,Plano_V3!$A$26:$G$768,7,0)</f>
        <v>1. Concluído</v>
      </c>
      <c r="H606" s="135" t="s">
        <v>612</v>
      </c>
      <c r="I606" s="473"/>
      <c r="J606" s="142"/>
      <c r="K606" s="142"/>
      <c r="L606" s="142" t="s">
        <v>2355</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2321</v>
      </c>
      <c r="V606" s="323"/>
    </row>
    <row r="607" spans="1:22" ht="16.399999999999999" hidden="1" customHeight="1">
      <c r="A607" s="29" t="str">
        <f t="shared" si="11"/>
        <v>modesg_out_emss_vclsref_date</v>
      </c>
      <c r="B607" s="141" t="s">
        <v>26</v>
      </c>
      <c r="C607" s="137" t="s">
        <v>310</v>
      </c>
      <c r="D607" s="133" t="s">
        <v>40</v>
      </c>
      <c r="E607" s="134" t="s">
        <v>331</v>
      </c>
      <c r="F607" s="476" t="s">
        <v>208</v>
      </c>
      <c r="G607" s="135" t="str">
        <f>VLOOKUP(A607,Plano_V3!$A$26:$G$768,7,0)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2321</v>
      </c>
      <c r="V607" s="323"/>
    </row>
    <row r="608" spans="1:22" ht="16.399999999999999" hidden="1" customHeight="1">
      <c r="A608" s="29" t="str">
        <f t="shared" si="11"/>
        <v>modesg_out_emss_vclsscp1_emss</v>
      </c>
      <c r="B608" s="141" t="s">
        <v>26</v>
      </c>
      <c r="C608" s="137" t="s">
        <v>310</v>
      </c>
      <c r="D608" s="133" t="s">
        <v>40</v>
      </c>
      <c r="E608" s="134" t="s">
        <v>331</v>
      </c>
      <c r="F608" s="476" t="s">
        <v>285</v>
      </c>
      <c r="G608" s="135" t="str">
        <f>VLOOKUP(A608,Plano_V3!$A$26:$G$768,7,0)</f>
        <v>1. Concluído</v>
      </c>
      <c r="H608" s="135" t="s">
        <v>612</v>
      </c>
      <c r="I608" s="473"/>
      <c r="J608" s="142"/>
      <c r="K608" s="142"/>
      <c r="L608" s="142" t="s">
        <v>2355</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2321</v>
      </c>
      <c r="V608" s="323"/>
    </row>
    <row r="609" spans="1:22" ht="16.399999999999999" hidden="1" customHeight="1">
      <c r="A609" s="29" t="str">
        <f t="shared" si="11"/>
        <v>modesg_out_emss_vclsscp2_emss</v>
      </c>
      <c r="B609" s="141" t="s">
        <v>26</v>
      </c>
      <c r="C609" s="137" t="s">
        <v>310</v>
      </c>
      <c r="D609" s="133" t="s">
        <v>40</v>
      </c>
      <c r="E609" s="134" t="s">
        <v>331</v>
      </c>
      <c r="F609" s="476" t="s">
        <v>286</v>
      </c>
      <c r="G609" s="135" t="str">
        <f>VLOOKUP(A609,Plano_V3!$A$26:$G$768,7,0)</f>
        <v>1. Concluído</v>
      </c>
      <c r="H609" s="135" t="s">
        <v>612</v>
      </c>
      <c r="I609" s="473"/>
      <c r="J609" s="142"/>
      <c r="K609" s="142"/>
      <c r="L609" s="142" t="s">
        <v>2355</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2321</v>
      </c>
      <c r="V609" s="323"/>
    </row>
    <row r="610" spans="1:22" ht="16.399999999999999" hidden="1" customHeight="1">
      <c r="A610" s="29" t="str">
        <f t="shared" si="11"/>
        <v>modesg_out_emss_vclsscp3_emss</v>
      </c>
      <c r="B610" s="141" t="s">
        <v>26</v>
      </c>
      <c r="C610" s="137" t="s">
        <v>310</v>
      </c>
      <c r="D610" s="133" t="s">
        <v>40</v>
      </c>
      <c r="E610" s="134" t="s">
        <v>331</v>
      </c>
      <c r="F610" s="476" t="s">
        <v>287</v>
      </c>
      <c r="G610" s="135" t="str">
        <f>VLOOKUP(A610,Plano_V3!$A$26:$G$768,7,0)</f>
        <v>1. Concluído</v>
      </c>
      <c r="H610" s="135" t="s">
        <v>612</v>
      </c>
      <c r="I610" s="473"/>
      <c r="J610" s="142"/>
      <c r="K610" s="142"/>
      <c r="L610" s="142" t="s">
        <v>2355</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2321</v>
      </c>
      <c r="V610" s="323"/>
    </row>
    <row r="611" spans="1:22" ht="16.399999999999999" hidden="1" customHeight="1">
      <c r="A611" s="29" t="str">
        <f t="shared" si="11"/>
        <v>modesg_out_emss_vclsunidade_funcional_scp1_emss</v>
      </c>
      <c r="B611" s="141" t="s">
        <v>26</v>
      </c>
      <c r="C611" s="137" t="s">
        <v>310</v>
      </c>
      <c r="D611" s="133" t="s">
        <v>40</v>
      </c>
      <c r="E611" s="134" t="s">
        <v>331</v>
      </c>
      <c r="F611" s="476" t="s">
        <v>322</v>
      </c>
      <c r="G611" s="135" t="str">
        <f>VLOOKUP(A611,Plano_V3!$A$26:$G$768,7,0)</f>
        <v>1. Concluído</v>
      </c>
      <c r="H611" s="135" t="s">
        <v>612</v>
      </c>
      <c r="I611" s="473"/>
      <c r="J611" s="153"/>
      <c r="K611" s="153"/>
      <c r="L611" s="142" t="s">
        <v>2355</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2321</v>
      </c>
      <c r="V611" s="323"/>
    </row>
    <row r="612" spans="1:22" ht="16.399999999999999" hidden="1" customHeight="1">
      <c r="A612" s="29" t="str">
        <f t="shared" si="11"/>
        <v>modesg_out_emss_vclsunidade_funcional_scp2_emss</v>
      </c>
      <c r="B612" s="141" t="s">
        <v>26</v>
      </c>
      <c r="C612" s="137" t="s">
        <v>310</v>
      </c>
      <c r="D612" s="133" t="s">
        <v>40</v>
      </c>
      <c r="E612" s="134" t="s">
        <v>331</v>
      </c>
      <c r="F612" s="476" t="s">
        <v>323</v>
      </c>
      <c r="G612" s="135" t="str">
        <f>VLOOKUP(A612,Plano_V3!$A$26:$G$768,7,0)</f>
        <v>1. Concluído</v>
      </c>
      <c r="H612" s="135" t="s">
        <v>612</v>
      </c>
      <c r="I612" s="473"/>
      <c r="J612" s="153"/>
      <c r="K612" s="153"/>
      <c r="L612" s="142" t="s">
        <v>2355</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2321</v>
      </c>
      <c r="V612" s="323"/>
    </row>
    <row r="613" spans="1:22" ht="16.399999999999999" hidden="1" customHeight="1">
      <c r="A613" s="29" t="str">
        <f t="shared" si="11"/>
        <v>modesg_out_emss_vclsunidade_funcional_scp3_emss</v>
      </c>
      <c r="B613" s="141" t="s">
        <v>26</v>
      </c>
      <c r="C613" s="137" t="s">
        <v>310</v>
      </c>
      <c r="D613" s="133" t="s">
        <v>40</v>
      </c>
      <c r="E613" s="134" t="s">
        <v>331</v>
      </c>
      <c r="F613" s="476" t="s">
        <v>324</v>
      </c>
      <c r="G613" s="135" t="str">
        <f>VLOOKUP(A613,Plano_V3!$A$26:$G$768,7,0)</f>
        <v>1. Concluído</v>
      </c>
      <c r="H613" s="135" t="s">
        <v>612</v>
      </c>
      <c r="I613" s="473"/>
      <c r="J613" s="153"/>
      <c r="K613" s="153"/>
      <c r="L613" s="142" t="s">
        <v>2355</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2321</v>
      </c>
      <c r="V613" s="323"/>
    </row>
    <row r="614" spans="1:22" ht="16.399999999999999" hidden="1" customHeight="1">
      <c r="A614" s="29" t="str">
        <f t="shared" si="11"/>
        <v>modesg_out_sfics_taxon_europeiaordem</v>
      </c>
      <c r="B614" s="141" t="s">
        <v>26</v>
      </c>
      <c r="C614" s="137" t="s">
        <v>310</v>
      </c>
      <c r="D614" s="133" t="s">
        <v>40</v>
      </c>
      <c r="E614" s="134" t="s">
        <v>2080</v>
      </c>
      <c r="F614" s="476" t="s">
        <v>211</v>
      </c>
      <c r="G614" s="135" t="str">
        <f>VLOOKUP(A614,Plano_V3!$A$26:$G$768,7,0)</f>
        <v xml:space="preserve">6. Em implementação </v>
      </c>
      <c r="H614" s="135" t="s">
        <v>2320</v>
      </c>
      <c r="I614" s="473"/>
      <c r="J614" s="488"/>
      <c r="K614" s="488"/>
      <c r="L614" s="488"/>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2321</v>
      </c>
      <c r="V614" s="323"/>
    </row>
    <row r="615" spans="1:22" ht="16.399999999999999" hidden="1" customHeight="1">
      <c r="A615" s="29" t="str">
        <f t="shared" si="11"/>
        <v>lt003_entitytxnmy_elgbl_capex_ccm</v>
      </c>
      <c r="B615" s="141" t="s">
        <v>26</v>
      </c>
      <c r="C615" s="137" t="s">
        <v>26</v>
      </c>
      <c r="D615" s="133" t="s">
        <v>40</v>
      </c>
      <c r="E615" s="136" t="s">
        <v>335</v>
      </c>
      <c r="F615" s="480" t="s">
        <v>338</v>
      </c>
      <c r="G615" s="135" t="str">
        <f>VLOOKUP(A615,Plano_V3!$A$26:$G$768,7,0)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2321</v>
      </c>
      <c r="V615" s="323"/>
    </row>
    <row r="616" spans="1:22" ht="16.399999999999999" hidden="1" customHeight="1">
      <c r="A616" s="29" t="str">
        <f t="shared" si="11"/>
        <v>lt003_entitytxnmy_elgbl_trnvr_ccm</v>
      </c>
      <c r="B616" s="141" t="s">
        <v>26</v>
      </c>
      <c r="C616" s="137" t="s">
        <v>26</v>
      </c>
      <c r="D616" s="133" t="s">
        <v>40</v>
      </c>
      <c r="E616" s="136" t="s">
        <v>335</v>
      </c>
      <c r="F616" s="480" t="s">
        <v>339</v>
      </c>
      <c r="G616" s="135" t="str">
        <f>VLOOKUP(A616,Plano_V3!$A$26:$G$768,7,0)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2321</v>
      </c>
      <c r="V616" s="323"/>
    </row>
    <row r="617" spans="1:22" ht="16.399999999999999" hidden="1" customHeight="1">
      <c r="A617" s="29" t="str">
        <f t="shared" si="11"/>
        <v>lt003_entitytxnmy_elgbl_capex_cca</v>
      </c>
      <c r="B617" s="141" t="s">
        <v>26</v>
      </c>
      <c r="C617" s="137" t="s">
        <v>26</v>
      </c>
      <c r="D617" s="133" t="s">
        <v>40</v>
      </c>
      <c r="E617" s="136" t="s">
        <v>335</v>
      </c>
      <c r="F617" s="480" t="s">
        <v>340</v>
      </c>
      <c r="G617" s="135" t="str">
        <f>VLOOKUP(A617,Plano_V3!$A$26:$G$768,7,0)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2321</v>
      </c>
      <c r="V617" s="323"/>
    </row>
    <row r="618" spans="1:22" ht="16.399999999999999" hidden="1" customHeight="1">
      <c r="A618" s="29" t="str">
        <f t="shared" si="11"/>
        <v>lt003_entitytxnmy_elgbl_trnvr_cca</v>
      </c>
      <c r="B618" s="141" t="s">
        <v>26</v>
      </c>
      <c r="C618" s="137" t="s">
        <v>26</v>
      </c>
      <c r="D618" s="133" t="s">
        <v>40</v>
      </c>
      <c r="E618" s="136" t="s">
        <v>335</v>
      </c>
      <c r="F618" s="480" t="s">
        <v>341</v>
      </c>
      <c r="G618" s="135" t="str">
        <f>VLOOKUP(A618,Plano_V3!$A$26:$G$768,7,0)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2321</v>
      </c>
      <c r="V618" s="323"/>
    </row>
    <row r="619" spans="1:22" ht="16.399999999999999" hidden="1" customHeight="1">
      <c r="A619" s="29" t="str">
        <f t="shared" si="11"/>
        <v>lt003_entityenblng_capex_ccm</v>
      </c>
      <c r="B619" s="141" t="s">
        <v>26</v>
      </c>
      <c r="C619" s="137" t="s">
        <v>26</v>
      </c>
      <c r="D619" s="133" t="s">
        <v>40</v>
      </c>
      <c r="E619" s="136" t="s">
        <v>335</v>
      </c>
      <c r="F619" s="480" t="s">
        <v>342</v>
      </c>
      <c r="G619" s="135" t="str">
        <f>VLOOKUP(A619,Plano_V3!$A$26:$G$768,7,0)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2321</v>
      </c>
      <c r="V619" s="323"/>
    </row>
    <row r="620" spans="1:22" ht="16.399999999999999" hidden="1" customHeight="1">
      <c r="A620" s="29" t="str">
        <f t="shared" si="11"/>
        <v>lt003_entityenblng_capex_cca</v>
      </c>
      <c r="B620" s="141" t="s">
        <v>26</v>
      </c>
      <c r="C620" s="137" t="s">
        <v>26</v>
      </c>
      <c r="D620" s="133" t="s">
        <v>40</v>
      </c>
      <c r="E620" s="136" t="s">
        <v>335</v>
      </c>
      <c r="F620" s="480" t="s">
        <v>343</v>
      </c>
      <c r="G620" s="135" t="str">
        <f>VLOOKUP(A620,Plano_V3!$A$26:$G$768,7,0)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2321</v>
      </c>
      <c r="V620" s="323"/>
    </row>
    <row r="621" spans="1:22" ht="16.399999999999999" hidden="1" customHeight="1">
      <c r="A621" s="29" t="str">
        <f t="shared" si="11"/>
        <v>lt003_entitytrnstnl_capex</v>
      </c>
      <c r="B621" s="141" t="s">
        <v>26</v>
      </c>
      <c r="C621" s="137" t="s">
        <v>26</v>
      </c>
      <c r="D621" s="133" t="s">
        <v>40</v>
      </c>
      <c r="E621" s="136" t="s">
        <v>335</v>
      </c>
      <c r="F621" s="480" t="s">
        <v>344</v>
      </c>
      <c r="G621" s="135" t="str">
        <f>VLOOKUP(A621,Plano_V3!$A$26:$G$768,7,0)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2321</v>
      </c>
      <c r="V621" s="323"/>
    </row>
    <row r="622" spans="1:22" ht="16.399999999999999" hidden="1" customHeight="1">
      <c r="A622" s="29" t="str">
        <f t="shared" si="11"/>
        <v>lt003_entitypure_capex_ccm</v>
      </c>
      <c r="B622" s="141" t="s">
        <v>26</v>
      </c>
      <c r="C622" s="137" t="s">
        <v>26</v>
      </c>
      <c r="D622" s="133" t="s">
        <v>40</v>
      </c>
      <c r="E622" s="136" t="s">
        <v>335</v>
      </c>
      <c r="F622" s="480" t="s">
        <v>345</v>
      </c>
      <c r="G622" s="135" t="str">
        <f>VLOOKUP(A622,Plano_V3!$A$26:$G$768,7,0)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2321</v>
      </c>
      <c r="V622" s="323"/>
    </row>
    <row r="623" spans="1:22" ht="16.399999999999999" hidden="1" customHeight="1">
      <c r="A623" s="29" t="str">
        <f t="shared" si="11"/>
        <v>lt003_entitypure_capex_cca</v>
      </c>
      <c r="B623" s="141" t="s">
        <v>26</v>
      </c>
      <c r="C623" s="137" t="s">
        <v>26</v>
      </c>
      <c r="D623" s="133" t="s">
        <v>40</v>
      </c>
      <c r="E623" s="136" t="s">
        <v>335</v>
      </c>
      <c r="F623" s="480" t="s">
        <v>346</v>
      </c>
      <c r="G623" s="135" t="str">
        <f>VLOOKUP(A623,Plano_V3!$A$26:$G$768,7,0)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2321</v>
      </c>
      <c r="V623" s="323"/>
    </row>
    <row r="624" spans="1:22" ht="16.399999999999999" hidden="1" customHeight="1">
      <c r="A624" s="29" t="str">
        <f t="shared" si="11"/>
        <v>lt003_entityenblng_trnvr_ccm</v>
      </c>
      <c r="B624" s="141" t="s">
        <v>26</v>
      </c>
      <c r="C624" s="137" t="s">
        <v>26</v>
      </c>
      <c r="D624" s="133" t="s">
        <v>40</v>
      </c>
      <c r="E624" s="136" t="s">
        <v>335</v>
      </c>
      <c r="F624" s="480" t="s">
        <v>347</v>
      </c>
      <c r="G624" s="135" t="str">
        <f>VLOOKUP(A624,Plano_V3!$A$26:$G$768,7,0)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2321</v>
      </c>
      <c r="V624" s="323"/>
    </row>
    <row r="625" spans="1:22" ht="16.399999999999999" hidden="1" customHeight="1">
      <c r="A625" s="29" t="str">
        <f t="shared" si="11"/>
        <v>lt003_entityenblng_trnvr_cca</v>
      </c>
      <c r="B625" s="141" t="s">
        <v>26</v>
      </c>
      <c r="C625" s="137" t="s">
        <v>26</v>
      </c>
      <c r="D625" s="133" t="s">
        <v>40</v>
      </c>
      <c r="E625" s="136" t="s">
        <v>335</v>
      </c>
      <c r="F625" s="480" t="s">
        <v>348</v>
      </c>
      <c r="G625" s="135" t="str">
        <f>VLOOKUP(A625,Plano_V3!$A$26:$G$768,7,0)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2321</v>
      </c>
      <c r="V625" s="323"/>
    </row>
    <row r="626" spans="1:22" ht="16.399999999999999" hidden="1" customHeight="1">
      <c r="A626" s="29" t="str">
        <f t="shared" si="11"/>
        <v>lt003_entitytrnstnl_trnvr</v>
      </c>
      <c r="B626" s="141" t="s">
        <v>26</v>
      </c>
      <c r="C626" s="137" t="s">
        <v>26</v>
      </c>
      <c r="D626" s="133" t="s">
        <v>40</v>
      </c>
      <c r="E626" s="136" t="s">
        <v>335</v>
      </c>
      <c r="F626" s="480" t="s">
        <v>349</v>
      </c>
      <c r="G626" s="135" t="str">
        <f>VLOOKUP(A626,Plano_V3!$A$26:$G$768,7,0)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2321</v>
      </c>
      <c r="V626" s="323"/>
    </row>
    <row r="627" spans="1:22" ht="16.399999999999999" hidden="1" customHeight="1">
      <c r="A627" s="29" t="str">
        <f t="shared" si="11"/>
        <v>lt003_entitypure_trnvr_ccm</v>
      </c>
      <c r="B627" s="141" t="s">
        <v>26</v>
      </c>
      <c r="C627" s="137" t="s">
        <v>26</v>
      </c>
      <c r="D627" s="133" t="s">
        <v>40</v>
      </c>
      <c r="E627" s="136" t="s">
        <v>335</v>
      </c>
      <c r="F627" s="480" t="s">
        <v>350</v>
      </c>
      <c r="G627" s="135" t="str">
        <f>VLOOKUP(A627,Plano_V3!$A$26:$G$768,7,0)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2321</v>
      </c>
      <c r="V627" s="323"/>
    </row>
    <row r="628" spans="1:22" ht="16.399999999999999" hidden="1" customHeight="1">
      <c r="A628" s="29" t="str">
        <f t="shared" si="11"/>
        <v>lt003_entitypure_trnvr_cca</v>
      </c>
      <c r="B628" s="141" t="s">
        <v>26</v>
      </c>
      <c r="C628" s="137" t="s">
        <v>26</v>
      </c>
      <c r="D628" s="133" t="s">
        <v>40</v>
      </c>
      <c r="E628" s="136" t="s">
        <v>335</v>
      </c>
      <c r="F628" s="480" t="s">
        <v>351</v>
      </c>
      <c r="G628" s="135" t="str">
        <f>VLOOKUP(A628,Plano_V3!$A$26:$G$768,7,0)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2321</v>
      </c>
      <c r="V628" s="323"/>
    </row>
    <row r="629" spans="1:22" ht="16.399999999999999" hidden="1" customHeight="1">
      <c r="A629" s="29" t="str">
        <f t="shared" si="11"/>
        <v>lt003_entityflg_nfrd_applcblty</v>
      </c>
      <c r="B629" s="141" t="s">
        <v>26</v>
      </c>
      <c r="C629" s="137" t="s">
        <v>26</v>
      </c>
      <c r="D629" s="133" t="s">
        <v>40</v>
      </c>
      <c r="E629" s="136" t="s">
        <v>335</v>
      </c>
      <c r="F629" s="480" t="s">
        <v>352</v>
      </c>
      <c r="G629" s="135" t="str">
        <f>VLOOKUP(A629,Plano_V3!$A$26:$G$768,7,0)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2321</v>
      </c>
      <c r="V629" s="323"/>
    </row>
    <row r="630" spans="1:22" ht="16.399999999999999" hidden="1" customHeight="1">
      <c r="A630" s="29" t="str">
        <f t="shared" si="11"/>
        <v>lt003_entitycntrprty_emssns_scp1</v>
      </c>
      <c r="B630" s="141" t="s">
        <v>26</v>
      </c>
      <c r="C630" s="137" t="s">
        <v>26</v>
      </c>
      <c r="D630" s="133" t="s">
        <v>40</v>
      </c>
      <c r="E630" s="136" t="s">
        <v>335</v>
      </c>
      <c r="F630" s="480" t="s">
        <v>353</v>
      </c>
      <c r="G630" s="135" t="str">
        <f>VLOOKUP(A630,Plano_V3!$A$26:$G$768,7,0)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2321</v>
      </c>
      <c r="V630" s="323"/>
    </row>
    <row r="631" spans="1:22" ht="16.399999999999999" hidden="1" customHeight="1">
      <c r="A631" s="29" t="str">
        <f t="shared" si="11"/>
        <v>lt003_entitycntrprty_emssns_scp2</v>
      </c>
      <c r="B631" s="141" t="s">
        <v>26</v>
      </c>
      <c r="C631" s="137" t="s">
        <v>26</v>
      </c>
      <c r="D631" s="133" t="s">
        <v>40</v>
      </c>
      <c r="E631" s="136" t="s">
        <v>335</v>
      </c>
      <c r="F631" s="480" t="s">
        <v>354</v>
      </c>
      <c r="G631" s="135" t="str">
        <f>VLOOKUP(A631,Plano_V3!$A$26:$G$768,7,0)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2321</v>
      </c>
      <c r="V631" s="323"/>
    </row>
    <row r="632" spans="1:22" ht="16.399999999999999" hidden="1" customHeight="1">
      <c r="A632" s="29" t="str">
        <f t="shared" si="11"/>
        <v>lt003_entitycntrprty_emssns_scp3</v>
      </c>
      <c r="B632" s="141" t="s">
        <v>26</v>
      </c>
      <c r="C632" s="137" t="s">
        <v>26</v>
      </c>
      <c r="D632" s="133" t="s">
        <v>40</v>
      </c>
      <c r="E632" s="136" t="s">
        <v>335</v>
      </c>
      <c r="F632" s="480" t="s">
        <v>355</v>
      </c>
      <c r="G632" s="135" t="str">
        <f>VLOOKUP(A632,Plano_V3!$A$26:$G$768,7,0)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2321</v>
      </c>
      <c r="V632" s="323"/>
    </row>
    <row r="633" spans="1:22" ht="16.399999999999999" hidden="1" customHeight="1">
      <c r="A633" s="29" t="str">
        <f t="shared" si="11"/>
        <v>lt003_entityflg_excldd_eu_prs_algnd_bnchmrk</v>
      </c>
      <c r="B633" s="141" t="s">
        <v>26</v>
      </c>
      <c r="C633" s="137" t="s">
        <v>26</v>
      </c>
      <c r="D633" s="133" t="s">
        <v>40</v>
      </c>
      <c r="E633" s="136" t="s">
        <v>335</v>
      </c>
      <c r="F633" s="480" t="s">
        <v>356</v>
      </c>
      <c r="G633" s="135" t="str">
        <f>VLOOKUP(A633,Plano_V3!$A$26:$G$768,7,0)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2321</v>
      </c>
      <c r="V633" s="323"/>
    </row>
    <row r="634" spans="1:22" ht="16.399999999999999" hidden="1" customHeight="1">
      <c r="A634" s="29" t="str">
        <f t="shared" si="11"/>
        <v>lt003_entitypst_cd</v>
      </c>
      <c r="B634" s="141" t="s">
        <v>26</v>
      </c>
      <c r="C634" s="137" t="s">
        <v>26</v>
      </c>
      <c r="D634" s="133" t="s">
        <v>40</v>
      </c>
      <c r="E634" s="136" t="s">
        <v>335</v>
      </c>
      <c r="F634" s="480" t="s">
        <v>359</v>
      </c>
      <c r="G634" s="487" t="str">
        <f>VLOOKUP(A634,Plano_V3!$A$26:$G$768,7,0)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2321</v>
      </c>
      <c r="V634" s="323"/>
    </row>
    <row r="635" spans="1:22" ht="16.399999999999999" hidden="1" customHeight="1">
      <c r="A635" s="29" t="str">
        <f t="shared" si="11"/>
        <v>lt003_entityttl_lblty</v>
      </c>
      <c r="B635" s="141" t="s">
        <v>26</v>
      </c>
      <c r="C635" s="137" t="s">
        <v>26</v>
      </c>
      <c r="D635" s="133" t="s">
        <v>40</v>
      </c>
      <c r="E635" s="136" t="s">
        <v>335</v>
      </c>
      <c r="F635" s="480" t="s">
        <v>361</v>
      </c>
      <c r="G635" s="135" t="str">
        <f>VLOOKUP(A635,Plano_V3!$A$26:$G$768,7,0)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2321</v>
      </c>
      <c r="V635" s="323"/>
    </row>
    <row r="636" spans="1:22" ht="16.399999999999999" hidden="1" customHeight="1">
      <c r="A636" s="29" t="str">
        <f t="shared" si="11"/>
        <v>lt003_entityisin</v>
      </c>
      <c r="B636" s="141" t="s">
        <v>26</v>
      </c>
      <c r="C636" s="137" t="s">
        <v>26</v>
      </c>
      <c r="D636" s="133" t="s">
        <v>40</v>
      </c>
      <c r="E636" s="136" t="s">
        <v>335</v>
      </c>
      <c r="F636" s="480" t="s">
        <v>238</v>
      </c>
      <c r="G636" s="135" t="str">
        <f>VLOOKUP(A636,Plano_V3!$A$26:$G$768,7,0)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2321</v>
      </c>
      <c r="V636" s="323"/>
    </row>
    <row r="637" spans="1:22" ht="16.399999999999999" hidden="1" customHeight="1">
      <c r="A637" s="29" t="str">
        <f t="shared" si="11"/>
        <v>lt003_entitygrp_annl_trnvr_le</v>
      </c>
      <c r="B637" s="141" t="s">
        <v>26</v>
      </c>
      <c r="C637" s="137" t="s">
        <v>26</v>
      </c>
      <c r="D637" s="133" t="s">
        <v>40</v>
      </c>
      <c r="E637" s="136" t="s">
        <v>335</v>
      </c>
      <c r="F637" s="480" t="s">
        <v>362</v>
      </c>
      <c r="G637" s="135" t="str">
        <f>VLOOKUP(A637,Plano_V3!$A$26:$G$768,7,0)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2321</v>
      </c>
      <c r="V637" s="323"/>
    </row>
    <row r="638" spans="1:22" ht="16.399999999999999" hidden="1" customHeight="1">
      <c r="A638" s="29" t="str">
        <f t="shared" si="11"/>
        <v>lt003_entitygrp_ttl_lblty</v>
      </c>
      <c r="B638" s="141" t="s">
        <v>26</v>
      </c>
      <c r="C638" s="137" t="s">
        <v>26</v>
      </c>
      <c r="D638" s="133" t="s">
        <v>40</v>
      </c>
      <c r="E638" s="136" t="s">
        <v>335</v>
      </c>
      <c r="F638" s="480" t="s">
        <v>363</v>
      </c>
      <c r="G638" s="135" t="str">
        <f>VLOOKUP(A638,Plano_V3!$A$26:$G$768,7,0)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2321</v>
      </c>
      <c r="V638" s="323"/>
    </row>
    <row r="639" spans="1:22" ht="16.399999999999999" hidden="1" customHeight="1">
      <c r="A639" s="29" t="str">
        <f t="shared" si="11"/>
        <v>lt003_entityflg_grp_nfrd_applcblty</v>
      </c>
      <c r="B639" s="141" t="s">
        <v>26</v>
      </c>
      <c r="C639" s="137" t="s">
        <v>26</v>
      </c>
      <c r="D639" s="133" t="s">
        <v>40</v>
      </c>
      <c r="E639" s="136" t="s">
        <v>335</v>
      </c>
      <c r="F639" s="480" t="s">
        <v>364</v>
      </c>
      <c r="G639" s="135" t="str">
        <f>VLOOKUP(A639,Plano_V3!$A$26:$G$768,7,0)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2321</v>
      </c>
      <c r="V639" s="323"/>
    </row>
    <row r="640" spans="1:22" ht="16.399999999999999" hidden="1" customHeight="1">
      <c r="A640" s="29" t="str">
        <f t="shared" si="11"/>
        <v>lt003_entitygrp_emssns_scp1</v>
      </c>
      <c r="B640" s="141" t="s">
        <v>26</v>
      </c>
      <c r="C640" s="137" t="s">
        <v>26</v>
      </c>
      <c r="D640" s="133" t="s">
        <v>40</v>
      </c>
      <c r="E640" s="136" t="s">
        <v>335</v>
      </c>
      <c r="F640" s="480" t="s">
        <v>365</v>
      </c>
      <c r="G640" s="135" t="str">
        <f>VLOOKUP(A640,Plano_V3!$A$26:$G$768,7,0)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2321</v>
      </c>
      <c r="V640" s="323"/>
    </row>
    <row r="641" spans="1:22" ht="16.399999999999999" hidden="1" customHeight="1">
      <c r="A641" s="29" t="str">
        <f t="shared" si="11"/>
        <v>lt003_entitygrp_emssns_scp2</v>
      </c>
      <c r="B641" s="141" t="s">
        <v>26</v>
      </c>
      <c r="C641" s="137" t="s">
        <v>26</v>
      </c>
      <c r="D641" s="133" t="s">
        <v>40</v>
      </c>
      <c r="E641" s="136" t="s">
        <v>335</v>
      </c>
      <c r="F641" s="480" t="s">
        <v>366</v>
      </c>
      <c r="G641" s="135" t="str">
        <f>VLOOKUP(A641,Plano_V3!$A$26:$G$768,7,0)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2321</v>
      </c>
      <c r="V641" s="323"/>
    </row>
    <row r="642" spans="1:22" ht="16.399999999999999" hidden="1" customHeight="1">
      <c r="A642" s="29" t="str">
        <f t="shared" si="11"/>
        <v>lt003_entitygrp_emssns_scp3</v>
      </c>
      <c r="B642" s="141" t="s">
        <v>26</v>
      </c>
      <c r="C642" s="137" t="s">
        <v>26</v>
      </c>
      <c r="D642" s="133" t="s">
        <v>40</v>
      </c>
      <c r="E642" s="136" t="s">
        <v>335</v>
      </c>
      <c r="F642" s="480" t="s">
        <v>367</v>
      </c>
      <c r="G642" s="135" t="str">
        <f>VLOOKUP(A642,Plano_V3!$A$26:$G$768,7,0)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2321</v>
      </c>
      <c r="V642" s="323"/>
    </row>
    <row r="643" spans="1:22" ht="16.399999999999999" hidden="1" customHeight="1">
      <c r="A643" s="29" t="str">
        <f t="shared" si="11"/>
        <v>lt004_protectiontyp_epc_lbl</v>
      </c>
      <c r="B643" s="141" t="s">
        <v>26</v>
      </c>
      <c r="C643" s="137" t="s">
        <v>26</v>
      </c>
      <c r="D643" s="133" t="s">
        <v>40</v>
      </c>
      <c r="E643" s="136" t="s">
        <v>368</v>
      </c>
      <c r="F643" s="480" t="s">
        <v>371</v>
      </c>
      <c r="G643" s="135" t="str">
        <f>VLOOKUP(A643,Plano_V3!$A$26:$G$768,7,0)</f>
        <v>1. Concluído</v>
      </c>
      <c r="H643" s="135" t="s">
        <v>612</v>
      </c>
      <c r="I643" s="473"/>
      <c r="J643" s="142"/>
      <c r="K643" s="142"/>
      <c r="L643" s="142" t="s">
        <v>2355</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2321</v>
      </c>
      <c r="V643" s="323"/>
    </row>
    <row r="644" spans="1:22" ht="16.399999999999999" hidden="1" customHeight="1">
      <c r="A644" s="29" t="str">
        <f t="shared" si="11"/>
        <v>lt004_protectionepc_lbl</v>
      </c>
      <c r="B644" s="141" t="s">
        <v>26</v>
      </c>
      <c r="C644" s="137" t="s">
        <v>26</v>
      </c>
      <c r="D644" s="133" t="s">
        <v>40</v>
      </c>
      <c r="E644" s="136" t="s">
        <v>368</v>
      </c>
      <c r="F644" s="480" t="s">
        <v>372</v>
      </c>
      <c r="G644" s="135" t="str">
        <f>VLOOKUP(A644,Plano_V3!$A$26:$G$768,7,0)</f>
        <v>1. Concluído</v>
      </c>
      <c r="H644" s="135" t="s">
        <v>612</v>
      </c>
      <c r="I644" s="473"/>
      <c r="J644" s="142"/>
      <c r="K644" s="142"/>
      <c r="L644" s="142" t="s">
        <v>2355</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2321</v>
      </c>
      <c r="V644" s="323"/>
    </row>
    <row r="645" spans="1:22" ht="16.399999999999999" hidden="1" customHeight="1">
      <c r="A645" s="29" t="str">
        <f t="shared" si="11"/>
        <v>lt004_protectionemssns_scp1_prtctn</v>
      </c>
      <c r="B645" s="141" t="s">
        <v>26</v>
      </c>
      <c r="C645" s="137" t="s">
        <v>26</v>
      </c>
      <c r="D645" s="133" t="s">
        <v>40</v>
      </c>
      <c r="E645" s="136" t="s">
        <v>368</v>
      </c>
      <c r="F645" s="480" t="s">
        <v>373</v>
      </c>
      <c r="G645" s="307" t="str">
        <f>VLOOKUP(A645,Plano_V3!$A$26:$G$768,7,0)</f>
        <v>1. Concluído</v>
      </c>
      <c r="H645" s="135" t="s">
        <v>612</v>
      </c>
      <c r="I645" s="473"/>
      <c r="J645" s="142"/>
      <c r="K645" s="142"/>
      <c r="L645" s="142" t="s">
        <v>2355</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2321</v>
      </c>
      <c r="V645" s="323"/>
    </row>
    <row r="646" spans="1:22" ht="16.399999999999999" hidden="1" customHeight="1">
      <c r="A646" s="29" t="str">
        <f t="shared" si="11"/>
        <v>lt004_protectionemssns_scp2_prtctn</v>
      </c>
      <c r="B646" s="141" t="s">
        <v>26</v>
      </c>
      <c r="C646" s="137" t="s">
        <v>26</v>
      </c>
      <c r="D646" s="133" t="s">
        <v>40</v>
      </c>
      <c r="E646" s="136" t="s">
        <v>368</v>
      </c>
      <c r="F646" s="480" t="s">
        <v>374</v>
      </c>
      <c r="G646" s="307" t="str">
        <f>VLOOKUP(A646,Plano_V3!$A$26:$G$768,7,0)</f>
        <v>1. Concluído</v>
      </c>
      <c r="H646" s="135" t="s">
        <v>612</v>
      </c>
      <c r="I646" s="473"/>
      <c r="J646" s="142"/>
      <c r="K646" s="142"/>
      <c r="L646" s="142" t="s">
        <v>2355</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2321</v>
      </c>
      <c r="V646" s="323"/>
    </row>
    <row r="647" spans="1:22" ht="16.399999999999999" hidden="1" customHeight="1">
      <c r="A647" s="29" t="str">
        <f t="shared" si="11"/>
        <v>lt004_protectionemssns_scp3_prtctn</v>
      </c>
      <c r="B647" s="141" t="s">
        <v>26</v>
      </c>
      <c r="C647" s="137" t="s">
        <v>26</v>
      </c>
      <c r="D647" s="133" t="s">
        <v>40</v>
      </c>
      <c r="E647" s="136" t="s">
        <v>368</v>
      </c>
      <c r="F647" s="480" t="s">
        <v>375</v>
      </c>
      <c r="G647" s="307" t="str">
        <f>VLOOKUP(A647,Plano_V3!$A$26:$G$768,7,0)</f>
        <v>1. Concluído</v>
      </c>
      <c r="H647" s="135" t="s">
        <v>612</v>
      </c>
      <c r="I647" s="473"/>
      <c r="J647" s="142"/>
      <c r="K647" s="142"/>
      <c r="L647" s="142" t="s">
        <v>2355</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2321</v>
      </c>
      <c r="V647" s="323"/>
    </row>
    <row r="648" spans="1:22" ht="16.399999999999999" hidden="1" customHeight="1">
      <c r="A648" s="29" t="str">
        <f t="shared" si="11"/>
        <v>lt004_protectionmthd_usd_prtctn_scp_1</v>
      </c>
      <c r="B648" s="141" t="s">
        <v>26</v>
      </c>
      <c r="C648" s="137" t="s">
        <v>26</v>
      </c>
      <c r="D648" s="133" t="s">
        <v>40</v>
      </c>
      <c r="E648" s="136" t="s">
        <v>368</v>
      </c>
      <c r="F648" s="480" t="s">
        <v>376</v>
      </c>
      <c r="G648" s="307" t="str">
        <f>VLOOKUP(A648,Plano_V3!$A$26:$G$768,7,0)</f>
        <v>1. Concluído</v>
      </c>
      <c r="H648" s="135" t="s">
        <v>612</v>
      </c>
      <c r="I648" s="473"/>
      <c r="J648" s="142"/>
      <c r="K648" s="142"/>
      <c r="L648" s="142" t="s">
        <v>2355</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2321</v>
      </c>
      <c r="V648" s="323"/>
    </row>
    <row r="649" spans="1:22" ht="16.399999999999999" hidden="1" customHeight="1">
      <c r="A649" s="29" t="str">
        <f t="shared" si="11"/>
        <v>lt004_protectionmthd_usd_prtctn_scp_2</v>
      </c>
      <c r="B649" s="141" t="s">
        <v>26</v>
      </c>
      <c r="C649" s="137" t="s">
        <v>26</v>
      </c>
      <c r="D649" s="133" t="s">
        <v>40</v>
      </c>
      <c r="E649" s="136" t="s">
        <v>368</v>
      </c>
      <c r="F649" s="480" t="s">
        <v>377</v>
      </c>
      <c r="G649" s="307" t="str">
        <f>VLOOKUP(A649,Plano_V3!$A$26:$G$768,7,0)</f>
        <v>1. Concluído</v>
      </c>
      <c r="H649" s="135" t="s">
        <v>612</v>
      </c>
      <c r="I649" s="473"/>
      <c r="J649" s="142"/>
      <c r="K649" s="142"/>
      <c r="L649" s="142" t="s">
        <v>2355</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2321</v>
      </c>
      <c r="V649" s="323"/>
    </row>
    <row r="650" spans="1:22" ht="16.399999999999999" hidden="1" customHeight="1">
      <c r="A650" s="29" t="str">
        <f t="shared" si="11"/>
        <v>lt004_protectionmthd_usd_prtctn_scp_3</v>
      </c>
      <c r="B650" s="141" t="s">
        <v>26</v>
      </c>
      <c r="C650" s="137" t="s">
        <v>26</v>
      </c>
      <c r="D650" s="133" t="s">
        <v>40</v>
      </c>
      <c r="E650" s="136" t="s">
        <v>368</v>
      </c>
      <c r="F650" s="480" t="s">
        <v>378</v>
      </c>
      <c r="G650" s="307" t="str">
        <f>VLOOKUP(A650,Plano_V3!$A$26:$G$768,7,0)</f>
        <v>1. Concluído</v>
      </c>
      <c r="H650" s="135" t="s">
        <v>612</v>
      </c>
      <c r="I650" s="473"/>
      <c r="J650" s="142"/>
      <c r="K650" s="142"/>
      <c r="L650" s="142" t="s">
        <v>2355</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2321</v>
      </c>
      <c r="V650" s="323"/>
    </row>
    <row r="651" spans="1:22" ht="16.399999999999999" hidden="1" customHeight="1">
      <c r="A651" s="29" t="str">
        <f t="shared" si="11"/>
        <v>lt002_instrumentrsk_mtgtd_cct</v>
      </c>
      <c r="B651" s="141" t="s">
        <v>26</v>
      </c>
      <c r="C651" s="137" t="s">
        <v>26</v>
      </c>
      <c r="D651" s="133" t="s">
        <v>40</v>
      </c>
      <c r="E651" s="136" t="s">
        <v>379</v>
      </c>
      <c r="F651" s="480" t="s">
        <v>380</v>
      </c>
      <c r="G651" s="487" t="str">
        <f>VLOOKUP(A651,Plano_V3!$A$26:$G$768,7,0)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2321</v>
      </c>
      <c r="V651" s="323"/>
    </row>
    <row r="652" spans="1:22" ht="16.399999999999999" hidden="1" customHeight="1">
      <c r="A652" s="29" t="str">
        <f t="shared" si="11"/>
        <v>lt007_instr_activityenvrnmntl_objctv</v>
      </c>
      <c r="B652" s="141" t="s">
        <v>26</v>
      </c>
      <c r="C652" s="137" t="s">
        <v>26</v>
      </c>
      <c r="D652" s="133" t="s">
        <v>40</v>
      </c>
      <c r="E652" s="136" t="s">
        <v>1860</v>
      </c>
      <c r="F652" s="480" t="s">
        <v>382</v>
      </c>
      <c r="G652" s="487" t="str">
        <f>VLOOKUP(A652,Plano_V3!$A$26:$G$768,7,0)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2321</v>
      </c>
      <c r="V652" s="323" t="s">
        <v>2313</v>
      </c>
    </row>
    <row r="653" spans="1:22" ht="16.399999999999999" hidden="1" customHeight="1">
      <c r="A653" s="29" t="str">
        <f t="shared" ref="A653:A715" si="12">E653&amp;F653</f>
        <v>lt007_instr_activitytyp_actvty</v>
      </c>
      <c r="B653" s="141" t="s">
        <v>26</v>
      </c>
      <c r="C653" s="137" t="s">
        <v>26</v>
      </c>
      <c r="D653" s="133" t="s">
        <v>40</v>
      </c>
      <c r="E653" s="136" t="s">
        <v>1860</v>
      </c>
      <c r="F653" s="480" t="s">
        <v>383</v>
      </c>
      <c r="G653" s="487" t="str">
        <f>VLOOKUP(A653,Plano_V3!$A$26:$G$768,7,0)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2321</v>
      </c>
      <c r="V653" s="323" t="s">
        <v>2313</v>
      </c>
    </row>
    <row r="654" spans="1:22" ht="16.399999999999999" hidden="1" customHeight="1">
      <c r="A654" s="29" t="str">
        <f t="shared" si="12"/>
        <v>lt002_instrumentlns_clltrlzd_clssfctn</v>
      </c>
      <c r="B654" s="141" t="s">
        <v>26</v>
      </c>
      <c r="C654" s="137" t="s">
        <v>26</v>
      </c>
      <c r="D654" s="133" t="s">
        <v>40</v>
      </c>
      <c r="E654" s="136" t="s">
        <v>379</v>
      </c>
      <c r="F654" s="480" t="s">
        <v>384</v>
      </c>
      <c r="G654" s="487" t="str">
        <f>VLOOKUP(A654,Plano_V3!$A$26:$G$768,7,0)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2321</v>
      </c>
      <c r="V654" s="323"/>
    </row>
    <row r="655" spans="1:22" ht="16.399999999999999" hidden="1" customHeight="1">
      <c r="A655" s="29" t="str">
        <f t="shared" si="12"/>
        <v>lt827_mthd_usd_instrmntambito</v>
      </c>
      <c r="B655" s="141" t="s">
        <v>26</v>
      </c>
      <c r="C655" s="137" t="s">
        <v>26</v>
      </c>
      <c r="D655" s="133" t="s">
        <v>40</v>
      </c>
      <c r="E655" s="136" t="s">
        <v>1861</v>
      </c>
      <c r="F655" s="480" t="s">
        <v>390</v>
      </c>
      <c r="G655" s="487" t="str">
        <f>VLOOKUP(A655,Plano_V3!$A$26:$G$768,7,0)</f>
        <v>1. Concluído</v>
      </c>
      <c r="H655" s="135" t="s">
        <v>612</v>
      </c>
      <c r="I655" s="473"/>
      <c r="J655" s="142"/>
      <c r="K655" s="142"/>
      <c r="L655" s="142"/>
      <c r="M655" s="152" t="str">
        <f>IF(VLOOKUP(A647,'Aux - pivots1'!$A:$E,3,0)=0, "",VLOOKUP(A647,'Aux - pivots1'!$A:$E,3,0))</f>
        <v/>
      </c>
      <c r="N655" s="152" t="str">
        <f>IF(VLOOKUP(A647,'Aux - pivots1'!$A:$E,4,0)=0, "",VLOOKUP(A647,'Aux - pivots1'!$A:$E,4,0))</f>
        <v/>
      </c>
      <c r="O655" s="152" t="str">
        <f>IF(VLOOKUP(A647,'Aux - pivots1'!$A:$E,5,0)=0, "",VLOOKUP(A647,'Aux - pivots1'!$A:$E,5,0))</f>
        <v/>
      </c>
      <c r="P655" s="202">
        <v>45593</v>
      </c>
      <c r="Q655" s="202"/>
      <c r="R655" s="202"/>
      <c r="S655" s="324"/>
      <c r="T655" s="324"/>
      <c r="U655" s="372" t="s">
        <v>2321</v>
      </c>
      <c r="V655" s="323"/>
    </row>
    <row r="656" spans="1:22" ht="16.5" hidden="1" customHeight="1">
      <c r="A656" s="29" t="str">
        <f t="shared" si="12"/>
        <v>lt827_mthd_usd_instrmntref_date</v>
      </c>
      <c r="B656" s="141" t="s">
        <v>26</v>
      </c>
      <c r="C656" s="137" t="s">
        <v>26</v>
      </c>
      <c r="D656" s="133" t="s">
        <v>40</v>
      </c>
      <c r="E656" s="136" t="s">
        <v>1861</v>
      </c>
      <c r="F656" s="480" t="s">
        <v>208</v>
      </c>
      <c r="G656" s="487" t="str">
        <f>VLOOKUP(A656,Plano_V3!$A$26:$G$768,7,0)</f>
        <v>1. Concluído</v>
      </c>
      <c r="H656" s="135" t="s">
        <v>612</v>
      </c>
      <c r="I656" s="473"/>
      <c r="J656" s="142"/>
      <c r="K656" s="142"/>
      <c r="L656" s="142"/>
      <c r="M656" s="152" t="str">
        <f>IF(VLOOKUP(A648,'Aux - pivots1'!$A:$E,3,0)=0, "",VLOOKUP(A648,'Aux - pivots1'!$A:$E,3,0))</f>
        <v/>
      </c>
      <c r="N656" s="152" t="str">
        <f>IF(VLOOKUP(A648,'Aux - pivots1'!$A:$E,4,0)=0, "",VLOOKUP(A648,'Aux - pivots1'!$A:$E,4,0))</f>
        <v/>
      </c>
      <c r="O656" s="152" t="str">
        <f>IF(VLOOKUP(A648,'Aux - pivots1'!$A:$E,5,0)=0, "",VLOOKUP(A648,'Aux - pivots1'!$A:$E,5,0))</f>
        <v/>
      </c>
      <c r="P656" s="202">
        <v>45593</v>
      </c>
      <c r="Q656" s="202"/>
      <c r="R656" s="202"/>
      <c r="S656" s="324"/>
      <c r="T656" s="324"/>
      <c r="U656" s="372" t="s">
        <v>2321</v>
      </c>
      <c r="V656" s="323"/>
    </row>
    <row r="657" spans="1:22" ht="16.5" hidden="1" customHeight="1">
      <c r="A657" s="29" t="str">
        <f t="shared" si="12"/>
        <v>lt827_mthd_usd_instrmntordem</v>
      </c>
      <c r="B657" s="141" t="s">
        <v>26</v>
      </c>
      <c r="C657" s="137" t="s">
        <v>26</v>
      </c>
      <c r="D657" s="133" t="s">
        <v>40</v>
      </c>
      <c r="E657" s="136" t="s">
        <v>1861</v>
      </c>
      <c r="F657" s="480" t="s">
        <v>211</v>
      </c>
      <c r="G657" s="135" t="str">
        <f>VLOOKUP(A657,Plano_V3!$A$26:$G$768,7,0)</f>
        <v>1. Concluído</v>
      </c>
      <c r="H657" s="135" t="s">
        <v>612</v>
      </c>
      <c r="I657" s="473"/>
      <c r="J657" s="142"/>
      <c r="K657" s="142"/>
      <c r="L657" s="142"/>
      <c r="M657" s="152" t="str">
        <f>IF(VLOOKUP(A649,'Aux - pivots1'!$A:$E,3,0)=0, "",VLOOKUP(A649,'Aux - pivots1'!$A:$E,3,0))</f>
        <v/>
      </c>
      <c r="N657" s="152" t="str">
        <f>IF(VLOOKUP(A649,'Aux - pivots1'!$A:$E,4,0)=0, "",VLOOKUP(A649,'Aux - pivots1'!$A:$E,4,0))</f>
        <v/>
      </c>
      <c r="O657" s="152" t="str">
        <f>IF(VLOOKUP(A649,'Aux - pivots1'!$A:$E,5,0)=0, "",VLOOKUP(A649,'Aux - pivots1'!$A:$E,5,0))</f>
        <v/>
      </c>
      <c r="P657" s="202">
        <v>45593</v>
      </c>
      <c r="Q657" s="202"/>
      <c r="R657" s="202"/>
      <c r="S657" s="324"/>
      <c r="T657" s="324"/>
      <c r="U657" s="372" t="s">
        <v>2321</v>
      </c>
      <c r="V657" s="323"/>
    </row>
    <row r="658" spans="1:22" ht="16.399999999999999" hidden="1" customHeight="1">
      <c r="A658" s="29" t="str">
        <f t="shared" si="12"/>
        <v>lt827_mthd_usd_instrmnttabela</v>
      </c>
      <c r="B658" s="141" t="s">
        <v>26</v>
      </c>
      <c r="C658" s="137" t="s">
        <v>26</v>
      </c>
      <c r="D658" s="133" t="s">
        <v>40</v>
      </c>
      <c r="E658" s="136" t="s">
        <v>1861</v>
      </c>
      <c r="F658" s="480" t="s">
        <v>391</v>
      </c>
      <c r="G658" s="135" t="str">
        <f>VLOOKUP(A658,Plano_V3!$A$26:$G$768,7,0)</f>
        <v>1. Concluído</v>
      </c>
      <c r="H658" s="135" t="s">
        <v>612</v>
      </c>
      <c r="I658" s="473"/>
      <c r="J658" s="142"/>
      <c r="K658" s="142"/>
      <c r="L658" s="142"/>
      <c r="M658" s="152" t="str">
        <f>IF(VLOOKUP(A650,'Aux - pivots1'!$A:$E,3,0)=0, "",VLOOKUP(A650,'Aux - pivots1'!$A:$E,3,0))</f>
        <v/>
      </c>
      <c r="N658" s="152" t="str">
        <f>IF(VLOOKUP(A650,'Aux - pivots1'!$A:$E,4,0)=0, "",VLOOKUP(A650,'Aux - pivots1'!$A:$E,4,0))</f>
        <v/>
      </c>
      <c r="O658" s="152" t="str">
        <f>IF(VLOOKUP(A650,'Aux - pivots1'!$A:$E,5,0)=0, "",VLOOKUP(A650,'Aux - pivots1'!$A:$E,5,0))</f>
        <v/>
      </c>
      <c r="P658" s="202">
        <v>45593</v>
      </c>
      <c r="Q658" s="202"/>
      <c r="R658" s="202"/>
      <c r="S658" s="324"/>
      <c r="T658" s="324"/>
      <c r="U658" s="372" t="s">
        <v>2321</v>
      </c>
      <c r="V658" s="323"/>
    </row>
    <row r="659" spans="1:22" ht="16.399999999999999" hidden="1" customHeight="1">
      <c r="A659" s="29" t="str">
        <f t="shared" si="12"/>
        <v>lt827_mthd_usd_instrmntorigem_scp1_emss</v>
      </c>
      <c r="B659" s="141" t="s">
        <v>26</v>
      </c>
      <c r="C659" s="137" t="s">
        <v>26</v>
      </c>
      <c r="D659" s="133" t="s">
        <v>40</v>
      </c>
      <c r="E659" s="136" t="s">
        <v>1861</v>
      </c>
      <c r="F659" s="480" t="s">
        <v>319</v>
      </c>
      <c r="G659" s="135" t="str">
        <f>VLOOKUP(A659,Plano_V3!$A$26:$G$768,7,0)</f>
        <v>1. Concluído</v>
      </c>
      <c r="H659" s="135" t="s">
        <v>612</v>
      </c>
      <c r="I659" s="473"/>
      <c r="J659" s="142"/>
      <c r="K659" s="142"/>
      <c r="L659" s="142"/>
      <c r="M659" s="152" t="str">
        <f>IF(VLOOKUP(A651,'Aux - pivots1'!$A:$E,3,0)=0, "",VLOOKUP(A651,'Aux - pivots1'!$A:$E,3,0))</f>
        <v/>
      </c>
      <c r="N659" s="152" t="str">
        <f>IF(VLOOKUP(A651,'Aux - pivots1'!$A:$E,4,0)=0, "",VLOOKUP(A651,'Aux - pivots1'!$A:$E,4,0))</f>
        <v/>
      </c>
      <c r="O659" s="152" t="str">
        <f>IF(VLOOKUP(A651,'Aux - pivots1'!$A:$E,5,0)=0, "",VLOOKUP(A651,'Aux - pivots1'!$A:$E,5,0))</f>
        <v/>
      </c>
      <c r="P659" s="202">
        <v>45593</v>
      </c>
      <c r="Q659" s="202"/>
      <c r="R659" s="202"/>
      <c r="S659" s="324"/>
      <c r="T659" s="324"/>
      <c r="U659" s="372" t="s">
        <v>2321</v>
      </c>
      <c r="V659" s="323"/>
    </row>
    <row r="660" spans="1:22" ht="16.399999999999999" hidden="1" customHeight="1">
      <c r="A660" s="29" t="str">
        <f t="shared" si="12"/>
        <v>lt827_mthd_usd_instrmntorigem_scp2_emss</v>
      </c>
      <c r="B660" s="141" t="s">
        <v>26</v>
      </c>
      <c r="C660" s="137" t="s">
        <v>26</v>
      </c>
      <c r="D660" s="133" t="s">
        <v>40</v>
      </c>
      <c r="E660" s="136" t="s">
        <v>1861</v>
      </c>
      <c r="F660" s="480" t="s">
        <v>320</v>
      </c>
      <c r="G660" s="135" t="str">
        <f>VLOOKUP(A660,Plano_V3!$A$26:$G$768,7,0)</f>
        <v>1. Concluído</v>
      </c>
      <c r="H660" s="135" t="s">
        <v>612</v>
      </c>
      <c r="I660" s="473"/>
      <c r="J660" s="142"/>
      <c r="K660" s="142"/>
      <c r="L660" s="142"/>
      <c r="M660" s="152" t="str">
        <f>IF(VLOOKUP(A652,'Aux - pivots1'!$A:$E,3,0)=0, "",VLOOKUP(A652,'Aux - pivots1'!$A:$E,3,0))</f>
        <v/>
      </c>
      <c r="N660" s="152" t="str">
        <f>IF(VLOOKUP(A652,'Aux - pivots1'!$A:$E,4,0)=0, "",VLOOKUP(A652,'Aux - pivots1'!$A:$E,4,0))</f>
        <v/>
      </c>
      <c r="O660" s="152" t="str">
        <f>IF(VLOOKUP(A652,'Aux - pivots1'!$A:$E,5,0)=0, "",VLOOKUP(A652,'Aux - pivots1'!$A:$E,5,0))</f>
        <v/>
      </c>
      <c r="P660" s="202">
        <v>45593</v>
      </c>
      <c r="Q660" s="202"/>
      <c r="R660" s="202"/>
      <c r="S660" s="324"/>
      <c r="T660" s="324"/>
      <c r="U660" s="372" t="s">
        <v>2321</v>
      </c>
      <c r="V660" s="323"/>
    </row>
    <row r="661" spans="1:22" ht="16.399999999999999" hidden="1" customHeight="1">
      <c r="A661" s="29" t="str">
        <f t="shared" si="12"/>
        <v>lt827_mthd_usd_instrmntorigem_scp3_emss</v>
      </c>
      <c r="B661" s="141" t="s">
        <v>26</v>
      </c>
      <c r="C661" s="137" t="s">
        <v>26</v>
      </c>
      <c r="D661" s="133" t="s">
        <v>40</v>
      </c>
      <c r="E661" s="136" t="s">
        <v>1861</v>
      </c>
      <c r="F661" s="480" t="s">
        <v>321</v>
      </c>
      <c r="G661" s="135" t="str">
        <f>VLOOKUP(A661,Plano_V3!$A$26:$G$768,7,0)</f>
        <v>1. Concluído</v>
      </c>
      <c r="H661" s="135" t="s">
        <v>612</v>
      </c>
      <c r="I661" s="473"/>
      <c r="J661" s="142"/>
      <c r="K661" s="142"/>
      <c r="L661" s="142"/>
      <c r="M661" s="152" t="str">
        <f>IF(VLOOKUP(A653,'Aux - pivots1'!$A:$E,3,0)=0, "",VLOOKUP(A653,'Aux - pivots1'!$A:$E,3,0))</f>
        <v/>
      </c>
      <c r="N661" s="152" t="str">
        <f>IF(VLOOKUP(A653,'Aux - pivots1'!$A:$E,4,0)=0, "",VLOOKUP(A653,'Aux - pivots1'!$A:$E,4,0))</f>
        <v/>
      </c>
      <c r="O661" s="152" t="str">
        <f>IF(VLOOKUP(A653,'Aux - pivots1'!$A:$E,5,0)=0, "",VLOOKUP(A653,'Aux - pivots1'!$A:$E,5,0))</f>
        <v/>
      </c>
      <c r="P661" s="202">
        <v>45593</v>
      </c>
      <c r="Q661" s="202"/>
      <c r="R661" s="202"/>
      <c r="S661" s="324"/>
      <c r="T661" s="324"/>
      <c r="U661" s="372" t="s">
        <v>2321</v>
      </c>
      <c r="V661" s="323"/>
    </row>
    <row r="662" spans="1:22" ht="16.399999999999999" hidden="1" customHeight="1">
      <c r="A662" s="29" t="str">
        <f t="shared" si="12"/>
        <v>lt827_mthd_usd_instrmntmthd_usd_instrmnt_scp_1</v>
      </c>
      <c r="B662" s="141" t="s">
        <v>26</v>
      </c>
      <c r="C662" s="137" t="s">
        <v>26</v>
      </c>
      <c r="D662" s="133" t="s">
        <v>40</v>
      </c>
      <c r="E662" s="136" t="s">
        <v>1861</v>
      </c>
      <c r="F662" s="480" t="s">
        <v>385</v>
      </c>
      <c r="G662" s="135" t="str">
        <f>VLOOKUP(A662,Plano_V3!$A$26:$G$768,7,0)</f>
        <v>1. Concluído</v>
      </c>
      <c r="H662" s="135" t="s">
        <v>612</v>
      </c>
      <c r="I662" s="473"/>
      <c r="J662" s="142"/>
      <c r="K662" s="142"/>
      <c r="L662" s="142"/>
      <c r="M662" s="152" t="str">
        <f>IF(VLOOKUP(A654,'Aux - pivots1'!$A:$E,3,0)=0, "",VLOOKUP(A654,'Aux - pivots1'!$A:$E,3,0))</f>
        <v/>
      </c>
      <c r="N662" s="152" t="str">
        <f>IF(VLOOKUP(A654,'Aux - pivots1'!$A:$E,4,0)=0, "",VLOOKUP(A654,'Aux - pivots1'!$A:$E,4,0))</f>
        <v/>
      </c>
      <c r="O662" s="152" t="str">
        <f>IF(VLOOKUP(A654,'Aux - pivots1'!$A:$E,5,0)=0, "",VLOOKUP(A654,'Aux - pivots1'!$A:$E,5,0))</f>
        <v/>
      </c>
      <c r="P662" s="202">
        <v>45593</v>
      </c>
      <c r="Q662" s="202"/>
      <c r="R662" s="202"/>
      <c r="S662" s="324"/>
      <c r="T662" s="324"/>
      <c r="U662" s="372" t="s">
        <v>2321</v>
      </c>
      <c r="V662" s="323"/>
    </row>
    <row r="663" spans="1:22" ht="16.399999999999999" hidden="1" customHeight="1">
      <c r="A663" s="29" t="str">
        <f t="shared" si="12"/>
        <v>lt827_mthd_usd_instrmntmthd_usd_instrmnt_scp_2</v>
      </c>
      <c r="B663" s="141" t="s">
        <v>26</v>
      </c>
      <c r="C663" s="137" t="s">
        <v>26</v>
      </c>
      <c r="D663" s="133" t="s">
        <v>40</v>
      </c>
      <c r="E663" s="136" t="s">
        <v>1861</v>
      </c>
      <c r="F663" s="480" t="s">
        <v>386</v>
      </c>
      <c r="G663" s="135" t="str">
        <f>VLOOKUP(A663,Plano_V3!$A$26:$G$768,7,0)</f>
        <v>1. Concluído</v>
      </c>
      <c r="H663" s="135" t="s">
        <v>612</v>
      </c>
      <c r="I663" s="473"/>
      <c r="J663" s="142"/>
      <c r="K663" s="142"/>
      <c r="L663" s="142"/>
      <c r="M663" s="152" t="e">
        <f>IF(VLOOKUP(#REF!,'Aux - pivots1'!$A:$E,3,0)=0, "",VLOOKUP(#REF!,'Aux - pivots1'!$A:$E,3,0))</f>
        <v>#REF!</v>
      </c>
      <c r="N663" s="152" t="e">
        <f>IF(VLOOKUP(#REF!,'Aux - pivots1'!$A:$E,4,0)=0, "",VLOOKUP(#REF!,'Aux - pivots1'!$A:$E,4,0))</f>
        <v>#REF!</v>
      </c>
      <c r="O663" s="152" t="e">
        <f>IF(VLOOKUP(#REF!,'Aux - pivots1'!$A:$E,5,0)=0, "",VLOOKUP(#REF!,'Aux - pivots1'!$A:$E,5,0))</f>
        <v>#REF!</v>
      </c>
      <c r="P663" s="202">
        <v>45593</v>
      </c>
      <c r="Q663" s="202"/>
      <c r="R663" s="202"/>
      <c r="S663" s="324"/>
      <c r="T663" s="324"/>
      <c r="U663" s="372" t="s">
        <v>2321</v>
      </c>
      <c r="V663" s="323"/>
    </row>
    <row r="664" spans="1:22" ht="16.399999999999999" hidden="1" customHeight="1">
      <c r="A664" s="29" t="str">
        <f t="shared" si="12"/>
        <v>lt827_mthd_usd_instrmntmthd_usd_instrmnt_scp_3</v>
      </c>
      <c r="B664" s="141" t="s">
        <v>26</v>
      </c>
      <c r="C664" s="137" t="s">
        <v>26</v>
      </c>
      <c r="D664" s="133" t="s">
        <v>40</v>
      </c>
      <c r="E664" s="136" t="s">
        <v>1861</v>
      </c>
      <c r="F664" s="480" t="s">
        <v>387</v>
      </c>
      <c r="G664" s="135" t="str">
        <f>VLOOKUP(A664,Plano_V3!$A$26:$G$768,7,0)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2321</v>
      </c>
      <c r="V664" s="323"/>
    </row>
    <row r="665" spans="1:22" ht="16.399999999999999" hidden="1" customHeight="1">
      <c r="A665" s="29" t="str">
        <f t="shared" si="12"/>
        <v>lt827_mthd_usd_instrmntpurpose_code</v>
      </c>
      <c r="B665" s="141" t="s">
        <v>26</v>
      </c>
      <c r="C665" s="137" t="s">
        <v>26</v>
      </c>
      <c r="D665" s="133" t="s">
        <v>40</v>
      </c>
      <c r="E665" s="136" t="s">
        <v>1861</v>
      </c>
      <c r="F665" s="480" t="s">
        <v>1847</v>
      </c>
      <c r="G665" s="135" t="str">
        <f>VLOOKUP(A665,Plano_V3!$A$26:$G$768,7,0)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c r="Q665" s="202"/>
      <c r="R665" s="202"/>
      <c r="S665" s="324"/>
      <c r="T665" s="324"/>
      <c r="U665" s="372" t="s">
        <v>2321</v>
      </c>
      <c r="V665" s="323"/>
    </row>
    <row r="666" spans="1:22" ht="16.399999999999999" hidden="1" customHeight="1">
      <c r="A666" s="29" t="str">
        <f t="shared" si="12"/>
        <v>lt827_mthd_usd_instrmntflg_fin</v>
      </c>
      <c r="B666" s="141" t="s">
        <v>26</v>
      </c>
      <c r="C666" s="137" t="s">
        <v>26</v>
      </c>
      <c r="D666" s="133" t="s">
        <v>40</v>
      </c>
      <c r="E666" s="136" t="s">
        <v>1861</v>
      </c>
      <c r="F666" s="480" t="s">
        <v>480</v>
      </c>
      <c r="G666" s="135" t="str">
        <f>VLOOKUP(A666,Plano_V3!$A$26:$G$768,7,0)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2321</v>
      </c>
      <c r="V666" s="323"/>
    </row>
    <row r="667" spans="1:22" ht="16.399999999999999" hidden="1" customHeight="1">
      <c r="A667" s="29" t="str">
        <f t="shared" si="12"/>
        <v>lt827_mthd_usd_instrmntflg_exec</v>
      </c>
      <c r="B667" s="141" t="s">
        <v>26</v>
      </c>
      <c r="C667" s="137" t="s">
        <v>26</v>
      </c>
      <c r="D667" s="133" t="s">
        <v>40</v>
      </c>
      <c r="E667" s="136" t="s">
        <v>1861</v>
      </c>
      <c r="F667" s="480" t="s">
        <v>1276</v>
      </c>
      <c r="G667" s="135" t="str">
        <f>VLOOKUP(A667,Plano_V3!$A$26:$G$768,7,0)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2321</v>
      </c>
      <c r="V667" s="323"/>
    </row>
    <row r="668" spans="1:22" ht="16.399999999999999" hidden="1" customHeight="1">
      <c r="A668" s="29" t="str">
        <f t="shared" si="12"/>
        <v>lt827_mthd_usd_instrmntflg_col</v>
      </c>
      <c r="B668" s="141" t="s">
        <v>26</v>
      </c>
      <c r="C668" s="137" t="s">
        <v>26</v>
      </c>
      <c r="D668" s="133" t="s">
        <v>40</v>
      </c>
      <c r="E668" s="136" t="s">
        <v>1861</v>
      </c>
      <c r="F668" s="480" t="s">
        <v>479</v>
      </c>
      <c r="G668" s="135" t="str">
        <f>VLOOKUP(A668,Plano_V3!$A$26:$G$768,7,0)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2321</v>
      </c>
      <c r="V668" s="323"/>
    </row>
    <row r="669" spans="1:22" ht="16.399999999999999" hidden="1" customHeight="1">
      <c r="A669" s="29" t="str">
        <f t="shared" si="12"/>
        <v>lt827_mthd_usd_instrmntflg_pro</v>
      </c>
      <c r="B669" s="141" t="s">
        <v>26</v>
      </c>
      <c r="C669" s="137" t="s">
        <v>26</v>
      </c>
      <c r="D669" s="133" t="s">
        <v>40</v>
      </c>
      <c r="E669" s="136" t="s">
        <v>1861</v>
      </c>
      <c r="F669" s="480" t="s">
        <v>481</v>
      </c>
      <c r="G669" s="135" t="str">
        <f>VLOOKUP(A669,Plano_V3!$A$26:$G$768,7,0)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2321</v>
      </c>
      <c r="V669" s="323"/>
    </row>
    <row r="670" spans="1:22" ht="16.399999999999999" hidden="1" customHeight="1">
      <c r="A670" s="29" t="str">
        <f t="shared" si="12"/>
        <v>lt826_esg_sbsctrambito</v>
      </c>
      <c r="B670" s="141" t="s">
        <v>26</v>
      </c>
      <c r="C670" s="137" t="s">
        <v>26</v>
      </c>
      <c r="D670" s="133" t="s">
        <v>40</v>
      </c>
      <c r="E670" s="136" t="s">
        <v>392</v>
      </c>
      <c r="F670" s="480" t="s">
        <v>390</v>
      </c>
      <c r="G670" s="135" t="str">
        <f>VLOOKUP(A670,Plano_V3!$A$26:$G$768,7,0)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2321</v>
      </c>
      <c r="V670" s="323"/>
    </row>
    <row r="671" spans="1:22" ht="16.399999999999999" hidden="1" customHeight="1">
      <c r="A671" s="29" t="str">
        <f t="shared" si="12"/>
        <v>lt826_esg_sbsctrref_date</v>
      </c>
      <c r="B671" s="141" t="s">
        <v>26</v>
      </c>
      <c r="C671" s="137" t="s">
        <v>26</v>
      </c>
      <c r="D671" s="133" t="s">
        <v>40</v>
      </c>
      <c r="E671" s="136" t="s">
        <v>392</v>
      </c>
      <c r="F671" s="480" t="s">
        <v>208</v>
      </c>
      <c r="G671" s="135" t="str">
        <f>VLOOKUP(A671,Plano_V3!$A$26:$G$768,7,0)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2321</v>
      </c>
      <c r="V671" s="323"/>
    </row>
    <row r="672" spans="1:22" ht="16.399999999999999" hidden="1" customHeight="1">
      <c r="A672" s="29" t="str">
        <f t="shared" si="12"/>
        <v>lt826_esg_sbsctrordem</v>
      </c>
      <c r="B672" s="141" t="s">
        <v>26</v>
      </c>
      <c r="C672" s="137" t="s">
        <v>26</v>
      </c>
      <c r="D672" s="133" t="s">
        <v>40</v>
      </c>
      <c r="E672" s="136" t="s">
        <v>392</v>
      </c>
      <c r="F672" s="480" t="s">
        <v>211</v>
      </c>
      <c r="G672" s="135" t="str">
        <f>VLOOKUP(A672,Plano_V3!$A$26:$G$768,7,0)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2321</v>
      </c>
      <c r="V672" s="323"/>
    </row>
    <row r="673" spans="1:22" ht="16.399999999999999" hidden="1" customHeight="1">
      <c r="A673" s="29" t="str">
        <f t="shared" si="12"/>
        <v>lt826_esg_sbsctrnace_code</v>
      </c>
      <c r="B673" s="141" t="s">
        <v>26</v>
      </c>
      <c r="C673" s="137" t="s">
        <v>26</v>
      </c>
      <c r="D673" s="133" t="s">
        <v>40</v>
      </c>
      <c r="E673" s="136" t="s">
        <v>392</v>
      </c>
      <c r="F673" s="480" t="s">
        <v>393</v>
      </c>
      <c r="G673" s="135" t="str">
        <f>VLOOKUP(A673,Plano_V3!$A$26:$G$768,7,0)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2321</v>
      </c>
      <c r="V673" s="323"/>
    </row>
    <row r="674" spans="1:22" ht="16.399999999999999" hidden="1" customHeight="1">
      <c r="A674" s="29" t="str">
        <f t="shared" si="12"/>
        <v>lt826_esg_sbsctrcontraparte</v>
      </c>
      <c r="B674" s="141" t="s">
        <v>26</v>
      </c>
      <c r="C674" s="137" t="s">
        <v>26</v>
      </c>
      <c r="D674" s="133" t="s">
        <v>40</v>
      </c>
      <c r="E674" s="136" t="s">
        <v>392</v>
      </c>
      <c r="F674" s="480" t="s">
        <v>394</v>
      </c>
      <c r="G674" s="135" t="str">
        <f>VLOOKUP(A674,Plano_V3!$A$26:$G$768,7,0)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2321</v>
      </c>
      <c r="V674" s="323"/>
    </row>
    <row r="675" spans="1:22" ht="16.399999999999999" hidden="1" customHeight="1">
      <c r="A675" s="29" t="str">
        <f t="shared" si="12"/>
        <v>lt826_esg_sbsctrcnatureza_juri</v>
      </c>
      <c r="B675" s="141" t="s">
        <v>26</v>
      </c>
      <c r="C675" s="137" t="s">
        <v>26</v>
      </c>
      <c r="D675" s="133" t="s">
        <v>40</v>
      </c>
      <c r="E675" s="136" t="s">
        <v>392</v>
      </c>
      <c r="F675" s="480" t="s">
        <v>395</v>
      </c>
      <c r="G675" s="135" t="str">
        <f>VLOOKUP(A675,Plano_V3!$A$26:$G$768,7,0)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2321</v>
      </c>
      <c r="V675" s="323"/>
    </row>
    <row r="676" spans="1:22" ht="16.399999999999999" hidden="1" customHeight="1">
      <c r="A676" s="29" t="str">
        <f t="shared" si="12"/>
        <v>lt826_esg_sbsctridcomb</v>
      </c>
      <c r="B676" s="141" t="s">
        <v>26</v>
      </c>
      <c r="C676" s="137" t="s">
        <v>26</v>
      </c>
      <c r="D676" s="133" t="s">
        <v>40</v>
      </c>
      <c r="E676" s="136" t="s">
        <v>392</v>
      </c>
      <c r="F676" s="480" t="s">
        <v>396</v>
      </c>
      <c r="G676" s="135" t="str">
        <f>VLOOKUP(A676,Plano_V3!$A$26:$G$768,7,0)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2321</v>
      </c>
      <c r="V676" s="323"/>
    </row>
    <row r="677" spans="1:22" ht="16.399999999999999" hidden="1" customHeight="1">
      <c r="A677" s="29" t="str">
        <f t="shared" si="12"/>
        <v>lt826_esg_sbsctresg_sbsctr</v>
      </c>
      <c r="B677" s="141" t="s">
        <v>26</v>
      </c>
      <c r="C677" s="137" t="s">
        <v>26</v>
      </c>
      <c r="D677" s="133" t="s">
        <v>40</v>
      </c>
      <c r="E677" s="136" t="s">
        <v>392</v>
      </c>
      <c r="F677" s="480" t="s">
        <v>360</v>
      </c>
      <c r="G677" s="135" t="str">
        <f>VLOOKUP(A677,Plano_V3!$A$26:$G$768,7,0)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2321</v>
      </c>
      <c r="V677" s="323"/>
    </row>
    <row r="678" spans="1:22" ht="16.399999999999999" hidden="1" customHeight="1">
      <c r="A678" s="29" t="str">
        <f t="shared" si="12"/>
        <v>lt826_esg_sbsctrdescrição</v>
      </c>
      <c r="B678" s="141" t="s">
        <v>26</v>
      </c>
      <c r="C678" s="137" t="s">
        <v>26</v>
      </c>
      <c r="D678" s="133" t="s">
        <v>40</v>
      </c>
      <c r="E678" s="136" t="s">
        <v>392</v>
      </c>
      <c r="F678" s="480" t="s">
        <v>397</v>
      </c>
      <c r="G678" s="135" t="str">
        <f>VLOOKUP(A678,Plano_V3!$A$26:$G$768,7,0)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2321</v>
      </c>
      <c r="V678" s="323"/>
    </row>
    <row r="679" spans="1:22" ht="16.399999999999999" hidden="1" customHeight="1">
      <c r="A679" s="29" t="str">
        <f t="shared" si="12"/>
        <v>lt002_instrumentdt_rfrnc</v>
      </c>
      <c r="B679" s="141" t="s">
        <v>26</v>
      </c>
      <c r="C679" s="137" t="s">
        <v>26</v>
      </c>
      <c r="D679" s="133" t="s">
        <v>40</v>
      </c>
      <c r="E679" s="136" t="s">
        <v>379</v>
      </c>
      <c r="F679" s="480" t="s">
        <v>398</v>
      </c>
      <c r="G679" s="135" t="str">
        <f>VLOOKUP(A679,Plano_V3!$A$26:$G$768,7,0)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2321</v>
      </c>
      <c r="V679" s="323"/>
    </row>
    <row r="680" spans="1:22" ht="16.399999999999999" hidden="1" customHeight="1">
      <c r="A680" s="29" t="str">
        <f t="shared" si="12"/>
        <v>lt002_instrumentinstrmnt_id</v>
      </c>
      <c r="B680" s="141" t="s">
        <v>26</v>
      </c>
      <c r="C680" s="137" t="s">
        <v>26</v>
      </c>
      <c r="D680" s="133" t="s">
        <v>40</v>
      </c>
      <c r="E680" s="136" t="s">
        <v>379</v>
      </c>
      <c r="F680" s="480" t="s">
        <v>400</v>
      </c>
      <c r="G680" s="135" t="str">
        <f>VLOOKUP(A680,Plano_V3!$A$26:$G$768,7,0)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2321</v>
      </c>
      <c r="V680" s="323"/>
    </row>
    <row r="681" spans="1:22" ht="16.399999999999999" hidden="1" customHeight="1">
      <c r="A681" s="29" t="str">
        <f t="shared" si="12"/>
        <v>lt002_instrumentdt_incptn</v>
      </c>
      <c r="B681" s="141" t="s">
        <v>26</v>
      </c>
      <c r="C681" s="137" t="s">
        <v>26</v>
      </c>
      <c r="D681" s="133" t="s">
        <v>40</v>
      </c>
      <c r="E681" s="136" t="s">
        <v>379</v>
      </c>
      <c r="F681" s="480" t="s">
        <v>401</v>
      </c>
      <c r="G681" s="135" t="str">
        <f>VLOOKUP(A681,Plano_V3!$A$26:$G$768,7,0)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2321</v>
      </c>
      <c r="V681" s="323"/>
    </row>
    <row r="682" spans="1:22" ht="16.399999999999999" hidden="1" customHeight="1">
      <c r="A682" s="29" t="str">
        <f t="shared" si="12"/>
        <v>lt002_instrumentdflt_stts_instrmnt</v>
      </c>
      <c r="B682" s="141" t="s">
        <v>26</v>
      </c>
      <c r="C682" s="137" t="s">
        <v>26</v>
      </c>
      <c r="D682" s="133" t="s">
        <v>40</v>
      </c>
      <c r="E682" s="136" t="s">
        <v>379</v>
      </c>
      <c r="F682" s="480" t="s">
        <v>402</v>
      </c>
      <c r="G682" s="135" t="str">
        <f>VLOOKUP(A682,Plano_V3!$A$26:$G$768,7,0)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2321</v>
      </c>
      <c r="V682" s="323"/>
    </row>
    <row r="683" spans="1:22" ht="16.399999999999999" hidden="1" customHeight="1">
      <c r="A683" s="29" t="str">
        <f t="shared" si="12"/>
        <v>lt002_instrumentimprmnt_stts</v>
      </c>
      <c r="B683" s="141" t="s">
        <v>26</v>
      </c>
      <c r="C683" s="137" t="s">
        <v>26</v>
      </c>
      <c r="D683" s="133" t="s">
        <v>40</v>
      </c>
      <c r="E683" s="136" t="s">
        <v>379</v>
      </c>
      <c r="F683" s="480" t="s">
        <v>403</v>
      </c>
      <c r="G683" s="135" t="str">
        <f>VLOOKUP(A683,Plano_V3!$A$26:$G$768,7,0)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2321</v>
      </c>
      <c r="V683" s="323"/>
    </row>
    <row r="684" spans="1:22" ht="16.399999999999999" hidden="1" customHeight="1">
      <c r="A684" s="29" t="str">
        <f t="shared" si="12"/>
        <v>lt002_instrumentprfrmng_stts</v>
      </c>
      <c r="B684" s="141" t="s">
        <v>26</v>
      </c>
      <c r="C684" s="137" t="s">
        <v>26</v>
      </c>
      <c r="D684" s="133" t="s">
        <v>40</v>
      </c>
      <c r="E684" s="136" t="s">
        <v>379</v>
      </c>
      <c r="F684" s="480" t="s">
        <v>404</v>
      </c>
      <c r="G684" s="135" t="str">
        <f>VLOOKUP(A684,Plano_V3!$A$26:$G$768,7,0)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2321</v>
      </c>
      <c r="V684" s="323"/>
    </row>
    <row r="685" spans="1:22" ht="16.399999999999999" hidden="1" customHeight="1">
      <c r="A685" s="29" t="str">
        <f t="shared" si="12"/>
        <v>lt002_instrumentprjct_fnnc_ln</v>
      </c>
      <c r="B685" s="141" t="s">
        <v>26</v>
      </c>
      <c r="C685" s="137" t="s">
        <v>26</v>
      </c>
      <c r="D685" s="133" t="s">
        <v>40</v>
      </c>
      <c r="E685" s="136" t="s">
        <v>379</v>
      </c>
      <c r="F685" s="480" t="s">
        <v>405</v>
      </c>
      <c r="G685" s="135" t="str">
        <f>VLOOKUP(A685,Plano_V3!$A$26:$G$768,7,0)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2321</v>
      </c>
      <c r="V685" s="323"/>
    </row>
    <row r="686" spans="1:22" ht="16.399999999999999" hidden="1" customHeight="1">
      <c r="A686" s="29" t="str">
        <f t="shared" si="12"/>
        <v>lt002_instrumenttyp_instrmnt</v>
      </c>
      <c r="B686" s="141" t="s">
        <v>26</v>
      </c>
      <c r="C686" s="137" t="s">
        <v>26</v>
      </c>
      <c r="D686" s="133" t="s">
        <v>40</v>
      </c>
      <c r="E686" s="136" t="s">
        <v>379</v>
      </c>
      <c r="F686" s="480" t="s">
        <v>406</v>
      </c>
      <c r="G686" s="135" t="str">
        <f>VLOOKUP(A686,Plano_V3!$A$26:$G$768,7,0)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2321</v>
      </c>
      <c r="V686" s="323"/>
    </row>
    <row r="687" spans="1:22" ht="16.399999999999999" hidden="1" customHeight="1">
      <c r="A687" s="29" t="str">
        <f t="shared" si="12"/>
        <v>lt002_instrumentgrss_crryng_amnt_instrmnt</v>
      </c>
      <c r="B687" s="141" t="s">
        <v>26</v>
      </c>
      <c r="C687" s="137" t="s">
        <v>26</v>
      </c>
      <c r="D687" s="133" t="s">
        <v>40</v>
      </c>
      <c r="E687" s="136" t="s">
        <v>379</v>
      </c>
      <c r="F687" s="480" t="s">
        <v>407</v>
      </c>
      <c r="G687" s="135" t="str">
        <f>VLOOKUP(A687,Plano_V3!$A$26:$G$768,7,0)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2321</v>
      </c>
      <c r="V687" s="323"/>
    </row>
    <row r="688" spans="1:22" ht="16.399999999999999" hidden="1" customHeight="1">
      <c r="A688" s="29" t="str">
        <f t="shared" si="12"/>
        <v>lt002_instrumentaccmltd_chngs_fv_cr_instrmnt</v>
      </c>
      <c r="B688" s="141" t="s">
        <v>26</v>
      </c>
      <c r="C688" s="137" t="s">
        <v>26</v>
      </c>
      <c r="D688" s="133" t="s">
        <v>40</v>
      </c>
      <c r="E688" s="136" t="s">
        <v>379</v>
      </c>
      <c r="F688" s="480" t="s">
        <v>408</v>
      </c>
      <c r="G688" s="135" t="str">
        <f>VLOOKUP(A688,Plano_V3!$A$26:$G$768,7,0)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2321</v>
      </c>
      <c r="V688" s="323"/>
    </row>
    <row r="689" spans="1:22" ht="16.399999999999999" hidden="1" customHeight="1">
      <c r="A689" s="29" t="str">
        <f t="shared" si="12"/>
        <v>lt002_instrumentaccntng_clssfctn</v>
      </c>
      <c r="B689" s="141" t="s">
        <v>26</v>
      </c>
      <c r="C689" s="137" t="s">
        <v>26</v>
      </c>
      <c r="D689" s="133" t="s">
        <v>40</v>
      </c>
      <c r="E689" s="136" t="s">
        <v>379</v>
      </c>
      <c r="F689" s="480" t="s">
        <v>409</v>
      </c>
      <c r="G689" s="135" t="str">
        <f>VLOOKUP(A689,Plano_V3!$A$26:$G$768,7,0)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2321</v>
      </c>
      <c r="V689" s="323"/>
    </row>
    <row r="690" spans="1:22" ht="16.399999999999999" hidden="1" customHeight="1">
      <c r="A690" s="29" t="str">
        <f t="shared" si="12"/>
        <v>lt002_instrumentdt_lgl_fnl_mtrty</v>
      </c>
      <c r="B690" s="141" t="s">
        <v>26</v>
      </c>
      <c r="C690" s="137" t="s">
        <v>26</v>
      </c>
      <c r="D690" s="133" t="s">
        <v>40</v>
      </c>
      <c r="E690" s="136" t="s">
        <v>379</v>
      </c>
      <c r="F690" s="480" t="s">
        <v>410</v>
      </c>
      <c r="G690" s="135" t="str">
        <f>VLOOKUP(A690,Plano_V3!$A$26:$G$768,7,0)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2321</v>
      </c>
      <c r="V690" s="323"/>
    </row>
    <row r="691" spans="1:22" ht="16.399999999999999" hidden="1" customHeight="1">
      <c r="A691" s="29" t="str">
        <f t="shared" si="12"/>
        <v>lt002_instrumentaccmltd_imprmnt_instrmnt</v>
      </c>
      <c r="B691" s="141" t="s">
        <v>26</v>
      </c>
      <c r="C691" s="137" t="s">
        <v>26</v>
      </c>
      <c r="D691" s="133" t="s">
        <v>40</v>
      </c>
      <c r="E691" s="136" t="s">
        <v>379</v>
      </c>
      <c r="F691" s="480" t="s">
        <v>411</v>
      </c>
      <c r="G691" s="135" t="str">
        <f>VLOOKUP(A691,Plano_V3!$A$26:$G$768,7,0)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2321</v>
      </c>
      <c r="V691" s="323"/>
    </row>
    <row r="692" spans="1:22" ht="16.399999999999999" hidden="1" customHeight="1">
      <c r="A692" s="29" t="str">
        <f t="shared" si="12"/>
        <v>lt002_instrumentissr_cntry</v>
      </c>
      <c r="B692" s="141" t="s">
        <v>26</v>
      </c>
      <c r="C692" s="137" t="s">
        <v>26</v>
      </c>
      <c r="D692" s="133" t="s">
        <v>40</v>
      </c>
      <c r="E692" s="136" t="s">
        <v>379</v>
      </c>
      <c r="F692" s="480" t="s">
        <v>412</v>
      </c>
      <c r="G692" s="135" t="str">
        <f>VLOOKUP(A692,Plano_V3!$A$26:$G$768,7,0)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2321</v>
      </c>
      <c r="V692" s="323"/>
    </row>
    <row r="693" spans="1:22" ht="16.399999999999999" hidden="1" customHeight="1">
      <c r="A693" s="29" t="str">
        <f t="shared" si="12"/>
        <v>lt002_instrumentissr_nace_sctr</v>
      </c>
      <c r="B693" s="141" t="s">
        <v>26</v>
      </c>
      <c r="C693" s="137" t="s">
        <v>26</v>
      </c>
      <c r="D693" s="133" t="s">
        <v>40</v>
      </c>
      <c r="E693" s="136" t="s">
        <v>379</v>
      </c>
      <c r="F693" s="480" t="s">
        <v>413</v>
      </c>
      <c r="G693" s="135" t="str">
        <f>VLOOKUP(A693,Plano_V3!$A$26:$G$768,7,0)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2321</v>
      </c>
      <c r="V693" s="323"/>
    </row>
    <row r="694" spans="1:22" ht="16.399999999999999" hidden="1" customHeight="1">
      <c r="A694" s="29" t="str">
        <f t="shared" si="12"/>
        <v>lt002_instrumentprmry_asst_clssf</v>
      </c>
      <c r="B694" s="141" t="s">
        <v>26</v>
      </c>
      <c r="C694" s="137" t="s">
        <v>26</v>
      </c>
      <c r="D694" s="133" t="s">
        <v>40</v>
      </c>
      <c r="E694" s="136" t="s">
        <v>379</v>
      </c>
      <c r="F694" s="480" t="s">
        <v>414</v>
      </c>
      <c r="G694" s="135" t="str">
        <f>VLOOKUP(A694,Plano_V3!$A$26:$G$768,7,0)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2321</v>
      </c>
      <c r="V694" s="323"/>
    </row>
    <row r="695" spans="1:22" ht="16.399999999999999" hidden="1" customHeight="1">
      <c r="A695" s="29" t="str">
        <f t="shared" si="12"/>
        <v>lt002_instrumentsubportfolio_id</v>
      </c>
      <c r="B695" s="141" t="s">
        <v>26</v>
      </c>
      <c r="C695" s="137" t="s">
        <v>26</v>
      </c>
      <c r="D695" s="133" t="s">
        <v>40</v>
      </c>
      <c r="E695" s="136" t="s">
        <v>379</v>
      </c>
      <c r="F695" s="480" t="s">
        <v>415</v>
      </c>
      <c r="G695" s="135" t="str">
        <f>VLOOKUP(A695,Plano_V3!$A$26:$G$768,7,0)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2321</v>
      </c>
      <c r="V695" s="323"/>
    </row>
    <row r="696" spans="1:22" ht="16.399999999999999" hidden="1" customHeight="1">
      <c r="A696" s="29" t="str">
        <f t="shared" si="12"/>
        <v>lt002_instrumentcod_soc</v>
      </c>
      <c r="B696" s="141" t="s">
        <v>26</v>
      </c>
      <c r="C696" s="137" t="s">
        <v>26</v>
      </c>
      <c r="D696" s="133" t="s">
        <v>40</v>
      </c>
      <c r="E696" s="136" t="s">
        <v>379</v>
      </c>
      <c r="F696" s="480" t="s">
        <v>416</v>
      </c>
      <c r="G696" s="135" t="str">
        <f>VLOOKUP(A696,Plano_V3!$A$26:$G$768,7,0)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2321</v>
      </c>
      <c r="V696" s="323"/>
    </row>
    <row r="697" spans="1:22" ht="16.399999999999999" hidden="1" customHeight="1">
      <c r="A697" s="29" t="str">
        <f t="shared" si="12"/>
        <v>lt002_instrumentlcl_instmrnt_id</v>
      </c>
      <c r="B697" s="141" t="s">
        <v>26</v>
      </c>
      <c r="C697" s="137" t="s">
        <v>26</v>
      </c>
      <c r="D697" s="133" t="s">
        <v>40</v>
      </c>
      <c r="E697" s="136" t="s">
        <v>379</v>
      </c>
      <c r="F697" s="480" t="s">
        <v>417</v>
      </c>
      <c r="G697" s="135" t="str">
        <f>VLOOKUP(A697,Plano_V3!$A$26:$G$768,7,0)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2321</v>
      </c>
      <c r="V697" s="323"/>
    </row>
    <row r="698" spans="1:22" ht="16.399999999999999" hidden="1" customHeight="1">
      <c r="A698" s="29" t="str">
        <f t="shared" si="12"/>
        <v>lt002_instrumentidcmb</v>
      </c>
      <c r="B698" s="141" t="s">
        <v>26</v>
      </c>
      <c r="C698" s="137" t="s">
        <v>26</v>
      </c>
      <c r="D698" s="133" t="s">
        <v>40</v>
      </c>
      <c r="E698" s="136" t="s">
        <v>379</v>
      </c>
      <c r="F698" s="480" t="s">
        <v>423</v>
      </c>
      <c r="G698" s="135" t="str">
        <f>VLOOKUP(A698,Plano_V3!$A$26:$G$768,7,0)</f>
        <v>1. Concluído</v>
      </c>
      <c r="H698" s="135" t="s">
        <v>612</v>
      </c>
      <c r="I698" s="473"/>
      <c r="J698" s="142"/>
      <c r="K698" s="142"/>
      <c r="L698" s="142"/>
      <c r="M698" s="152" t="str">
        <f>IF(VLOOKUP(A681,'Aux - pivots1'!$A:$E,3,0)=0, "",VLOOKUP(A681,'Aux - pivots1'!$A:$E,3,0))</f>
        <v/>
      </c>
      <c r="N698" s="152" t="str">
        <f>IF(VLOOKUP(A681,'Aux - pivots1'!$A:$E,4,0)=0, "",VLOOKUP(A681,'Aux - pivots1'!$A:$E,4,0))</f>
        <v/>
      </c>
      <c r="O698" s="152" t="str">
        <f>IF(VLOOKUP(A681,'Aux - pivots1'!$A:$E,5,0)=0, "",VLOOKUP(A681,'Aux - pivots1'!$A:$E,5,0))</f>
        <v/>
      </c>
      <c r="P698" s="202"/>
      <c r="Q698" s="202"/>
      <c r="R698" s="202"/>
      <c r="S698" s="324"/>
      <c r="T698" s="324"/>
      <c r="U698" s="372" t="s">
        <v>2321</v>
      </c>
      <c r="V698" s="323"/>
    </row>
    <row r="699" spans="1:22" ht="16.399999999999999" hidden="1" customHeight="1">
      <c r="A699" s="29" t="str">
        <f t="shared" si="12"/>
        <v>lt003_entitycntry</v>
      </c>
      <c r="B699" s="141" t="s">
        <v>26</v>
      </c>
      <c r="C699" s="137" t="s">
        <v>26</v>
      </c>
      <c r="D699" s="133" t="s">
        <v>40</v>
      </c>
      <c r="E699" s="136" t="s">
        <v>335</v>
      </c>
      <c r="F699" s="480" t="s">
        <v>424</v>
      </c>
      <c r="G699" s="135" t="str">
        <f>VLOOKUP(A699,Plano_V3!$A$26:$G$768,7,0)</f>
        <v>1. Concluído</v>
      </c>
      <c r="H699" s="135" t="s">
        <v>612</v>
      </c>
      <c r="I699" s="473"/>
      <c r="J699" s="142"/>
      <c r="K699" s="142"/>
      <c r="L699" s="142"/>
      <c r="M699" s="152" t="str">
        <f>IF(VLOOKUP(A667,'Aux - pivots1'!$A:$E,3,0)=0, "",VLOOKUP(A667,'Aux - pivots1'!$A:$E,3,0))</f>
        <v/>
      </c>
      <c r="N699" s="152" t="str">
        <f>IF(VLOOKUP(A667,'Aux - pivots1'!$A:$E,4,0)=0, "",VLOOKUP(A667,'Aux - pivots1'!$A:$E,4,0))</f>
        <v/>
      </c>
      <c r="O699" s="152" t="str">
        <f>IF(VLOOKUP(A667,'Aux - pivots1'!$A:$E,5,0)=0, "",VLOOKUP(A667,'Aux - pivots1'!$A:$E,5,0))</f>
        <v/>
      </c>
      <c r="P699" s="202"/>
      <c r="Q699" s="202"/>
      <c r="R699" s="202"/>
      <c r="S699" s="324"/>
      <c r="T699" s="324"/>
      <c r="U699" s="372" t="s">
        <v>2321</v>
      </c>
      <c r="V699" s="323"/>
    </row>
    <row r="700" spans="1:22" ht="16.399999999999999" hidden="1" customHeight="1">
      <c r="A700" s="29" t="str">
        <f t="shared" si="12"/>
        <v>lt003_entitydt_rfrnc</v>
      </c>
      <c r="B700" s="141" t="s">
        <v>26</v>
      </c>
      <c r="C700" s="137" t="s">
        <v>26</v>
      </c>
      <c r="D700" s="133" t="s">
        <v>40</v>
      </c>
      <c r="E700" s="136" t="s">
        <v>335</v>
      </c>
      <c r="F700" s="480" t="s">
        <v>398</v>
      </c>
      <c r="G700" s="135" t="str">
        <f>VLOOKUP(A700,Plano_V3!$A$26:$G$768,7,0)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2321</v>
      </c>
      <c r="V700" s="323"/>
    </row>
    <row r="701" spans="1:22" ht="16.399999999999999" hidden="1" customHeight="1">
      <c r="A701" s="29" t="str">
        <f t="shared" si="12"/>
        <v>lt003_entityentty_id</v>
      </c>
      <c r="B701" s="141" t="s">
        <v>26</v>
      </c>
      <c r="C701" s="137" t="s">
        <v>26</v>
      </c>
      <c r="D701" s="133" t="s">
        <v>40</v>
      </c>
      <c r="E701" s="136" t="s">
        <v>335</v>
      </c>
      <c r="F701" s="480" t="s">
        <v>425</v>
      </c>
      <c r="G701" s="135" t="str">
        <f>VLOOKUP(A701,Plano_V3!$A$26:$G$768,7,0)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2321</v>
      </c>
      <c r="V701" s="323"/>
    </row>
    <row r="702" spans="1:22" ht="16.399999999999999" hidden="1" customHeight="1">
      <c r="A702" s="29" t="str">
        <f t="shared" si="12"/>
        <v>lt003_entitylei</v>
      </c>
      <c r="B702" s="141" t="s">
        <v>26</v>
      </c>
      <c r="C702" s="137" t="s">
        <v>26</v>
      </c>
      <c r="D702" s="133" t="s">
        <v>40</v>
      </c>
      <c r="E702" s="136" t="s">
        <v>335</v>
      </c>
      <c r="F702" s="480" t="s">
        <v>426</v>
      </c>
      <c r="G702" s="135" t="str">
        <f>VLOOKUP(A702,Plano_V3!$A$26:$G$768,7,0)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2321</v>
      </c>
      <c r="V702" s="323"/>
    </row>
    <row r="703" spans="1:22" ht="16.399999999999999" hidden="1" customHeight="1">
      <c r="A703" s="29" t="str">
        <f t="shared" si="12"/>
        <v>lt003_entityecnmc_actvty</v>
      </c>
      <c r="B703" s="141" t="s">
        <v>26</v>
      </c>
      <c r="C703" s="137" t="s">
        <v>26</v>
      </c>
      <c r="D703" s="133" t="s">
        <v>40</v>
      </c>
      <c r="E703" s="136" t="s">
        <v>335</v>
      </c>
      <c r="F703" s="480" t="s">
        <v>427</v>
      </c>
      <c r="G703" s="135" t="str">
        <f>VLOOKUP(A703,Plano_V3!$A$26:$G$768,7,0)</f>
        <v>1. Concluído</v>
      </c>
      <c r="H703" s="135" t="s">
        <v>612</v>
      </c>
      <c r="I703" s="473"/>
      <c r="J703" s="142"/>
      <c r="K703" s="142"/>
      <c r="L703" s="142"/>
      <c r="M703" s="152" t="str">
        <f>IF(VLOOKUP(A678,'Aux - pivots1'!$A:$E,3,0)=0, "",VLOOKUP(A678,'Aux - pivots1'!$A:$E,3,0))</f>
        <v/>
      </c>
      <c r="N703" s="152" t="str">
        <f>IF(VLOOKUP(A678,'Aux - pivots1'!$A:$E,4,0)=0, "",VLOOKUP(A678,'Aux - pivots1'!$A:$E,4,0))</f>
        <v/>
      </c>
      <c r="O703" s="152" t="str">
        <f>IF(VLOOKUP(A678,'Aux - pivots1'!$A:$E,5,0)=0, "",VLOOKUP(A678,'Aux - pivots1'!$A:$E,5,0))</f>
        <v/>
      </c>
      <c r="P703" s="202"/>
      <c r="Q703" s="202"/>
      <c r="R703" s="202"/>
      <c r="S703" s="324"/>
      <c r="T703" s="324"/>
      <c r="U703" s="372" t="s">
        <v>2321</v>
      </c>
      <c r="V703" s="323"/>
    </row>
    <row r="704" spans="1:22" ht="16.399999999999999" hidden="1" customHeight="1">
      <c r="A704" s="29" t="str">
        <f t="shared" si="12"/>
        <v>lt003_entitygrp_eqty</v>
      </c>
      <c r="B704" s="141" t="s">
        <v>26</v>
      </c>
      <c r="C704" s="137" t="s">
        <v>26</v>
      </c>
      <c r="D704" s="133" t="s">
        <v>40</v>
      </c>
      <c r="E704" s="136" t="s">
        <v>335</v>
      </c>
      <c r="F704" s="480" t="s">
        <v>428</v>
      </c>
      <c r="G704" s="135" t="str">
        <f>VLOOKUP(A704,Plano_V3!$A$26:$G$768,7,0)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2321</v>
      </c>
      <c r="V704" s="323"/>
    </row>
    <row r="705" spans="1:22" ht="16.399999999999999" hidden="1" customHeight="1">
      <c r="A705" s="29" t="str">
        <f t="shared" si="12"/>
        <v>lt003_entityannl_trnvr_le</v>
      </c>
      <c r="B705" s="141" t="s">
        <v>26</v>
      </c>
      <c r="C705" s="137" t="s">
        <v>26</v>
      </c>
      <c r="D705" s="133" t="s">
        <v>40</v>
      </c>
      <c r="E705" s="136" t="s">
        <v>335</v>
      </c>
      <c r="F705" s="480" t="s">
        <v>429</v>
      </c>
      <c r="G705" s="135" t="str">
        <f>VLOOKUP(A705,Plano_V3!$A$26:$G$768,7,0)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2321</v>
      </c>
      <c r="V705" s="323"/>
    </row>
    <row r="706" spans="1:22" ht="16.399999999999999" hidden="1" customHeight="1">
      <c r="A706" s="29" t="str">
        <f t="shared" si="12"/>
        <v>lt003_entityeqty</v>
      </c>
      <c r="B706" s="141" t="s">
        <v>26</v>
      </c>
      <c r="C706" s="137" t="s">
        <v>26</v>
      </c>
      <c r="D706" s="133" t="s">
        <v>40</v>
      </c>
      <c r="E706" s="136" t="s">
        <v>335</v>
      </c>
      <c r="F706" s="480" t="s">
        <v>430</v>
      </c>
      <c r="G706" s="135" t="str">
        <f>VLOOKUP(A706,Plano_V3!$A$26:$G$768,7,0)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2321</v>
      </c>
      <c r="V706" s="323"/>
    </row>
    <row r="707" spans="1:22" ht="16.399999999999999" hidden="1" customHeight="1">
      <c r="A707" s="29" t="str">
        <f t="shared" si="12"/>
        <v>lt003_entitygrp_ttl_dbt</v>
      </c>
      <c r="B707" s="141" t="s">
        <v>26</v>
      </c>
      <c r="C707" s="137" t="s">
        <v>26</v>
      </c>
      <c r="D707" s="133" t="s">
        <v>40</v>
      </c>
      <c r="E707" s="136" t="s">
        <v>335</v>
      </c>
      <c r="F707" s="480" t="s">
        <v>431</v>
      </c>
      <c r="G707" s="135" t="str">
        <f>VLOOKUP(A707,Plano_V3!$A$26:$G$768,7,0)</f>
        <v>1. Concluído</v>
      </c>
      <c r="H707" s="135" t="s">
        <v>612</v>
      </c>
      <c r="I707" s="473"/>
      <c r="J707" s="142"/>
      <c r="K707" s="142"/>
      <c r="L707" s="142"/>
      <c r="M707" s="152" t="str">
        <f>IF(VLOOKUP(A698,'Aux - pivots1'!$A:$E,3,0)=0, "",VLOOKUP(A698,'Aux - pivots1'!$A:$E,3,0))</f>
        <v/>
      </c>
      <c r="N707" s="152" t="str">
        <f>IF(VLOOKUP(A698,'Aux - pivots1'!$A:$E,4,0)=0, "",VLOOKUP(A698,'Aux - pivots1'!$A:$E,4,0))</f>
        <v/>
      </c>
      <c r="O707" s="152" t="str">
        <f>IF(VLOOKUP(A698,'Aux - pivots1'!$A:$E,5,0)=0, "",VLOOKUP(A698,'Aux - pivots1'!$A:$E,5,0))</f>
        <v/>
      </c>
      <c r="P707" s="202"/>
      <c r="Q707" s="202"/>
      <c r="R707" s="202"/>
      <c r="S707" s="324"/>
      <c r="T707" s="324"/>
      <c r="U707" s="372" t="s">
        <v>2321</v>
      </c>
      <c r="V707" s="323"/>
    </row>
    <row r="708" spans="1:22" ht="16.399999999999999" hidden="1" customHeight="1">
      <c r="A708" s="29" t="str">
        <f t="shared" si="12"/>
        <v>lt003_entityttl_dbt</v>
      </c>
      <c r="B708" s="141" t="s">
        <v>26</v>
      </c>
      <c r="C708" s="137" t="s">
        <v>26</v>
      </c>
      <c r="D708" s="133" t="s">
        <v>40</v>
      </c>
      <c r="E708" s="136" t="s">
        <v>335</v>
      </c>
      <c r="F708" s="480" t="s">
        <v>432</v>
      </c>
      <c r="G708" s="135" t="str">
        <f>VLOOKUP(A708,Plano_V3!$A$26:$G$768,7,0)</f>
        <v>1. Concluído</v>
      </c>
      <c r="H708" s="135" t="s">
        <v>612</v>
      </c>
      <c r="I708" s="473"/>
      <c r="J708" s="142"/>
      <c r="K708" s="142"/>
      <c r="L708" s="142"/>
      <c r="M708" s="152" t="str">
        <f>IF(VLOOKUP(A682,'Aux - pivots1'!$A:$E,3,0)=0, "",VLOOKUP(A682,'Aux - pivots1'!$A:$E,3,0))</f>
        <v/>
      </c>
      <c r="N708" s="152" t="str">
        <f>IF(VLOOKUP(A682,'Aux - pivots1'!$A:$E,4,0)=0, "",VLOOKUP(A682,'Aux - pivots1'!$A:$E,4,0))</f>
        <v/>
      </c>
      <c r="O708" s="152" t="str">
        <f>IF(VLOOKUP(A682,'Aux - pivots1'!$A:$E,5,0)=0, "",VLOOKUP(A682,'Aux - pivots1'!$A:$E,5,0))</f>
        <v/>
      </c>
      <c r="P708" s="202"/>
      <c r="Q708" s="202"/>
      <c r="R708" s="202"/>
      <c r="S708" s="324"/>
      <c r="T708" s="324"/>
      <c r="U708" s="372" t="s">
        <v>2321</v>
      </c>
      <c r="V708" s="323"/>
    </row>
    <row r="709" spans="1:22" ht="16.399999999999999" hidden="1" customHeight="1">
      <c r="A709" s="29" t="str">
        <f t="shared" si="12"/>
        <v>lt003_entitycod_soc</v>
      </c>
      <c r="B709" s="141" t="s">
        <v>26</v>
      </c>
      <c r="C709" s="137" t="s">
        <v>26</v>
      </c>
      <c r="D709" s="133" t="s">
        <v>40</v>
      </c>
      <c r="E709" s="136" t="s">
        <v>335</v>
      </c>
      <c r="F709" s="480" t="s">
        <v>416</v>
      </c>
      <c r="G709" s="135" t="str">
        <f>VLOOKUP(A709,Plano_V3!$A$26:$G$768,7,0)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2321</v>
      </c>
      <c r="V709" s="323"/>
    </row>
    <row r="710" spans="1:22" ht="16.399999999999999" hidden="1" customHeight="1">
      <c r="A710" s="29" t="str">
        <f t="shared" si="12"/>
        <v>lt004_protectiondt_rfrnc</v>
      </c>
      <c r="B710" s="141" t="s">
        <v>26</v>
      </c>
      <c r="C710" s="137" t="s">
        <v>26</v>
      </c>
      <c r="D710" s="133" t="s">
        <v>40</v>
      </c>
      <c r="E710" s="136" t="s">
        <v>368</v>
      </c>
      <c r="F710" s="480" t="s">
        <v>398</v>
      </c>
      <c r="G710" s="135" t="str">
        <f>VLOOKUP(A710,Plano_V3!$A$26:$G$768,7,0)</f>
        <v>1. Concluído</v>
      </c>
      <c r="H710" s="135" t="s">
        <v>612</v>
      </c>
      <c r="I710" s="473"/>
      <c r="J710" s="142"/>
      <c r="K710" s="142"/>
      <c r="L710" s="142"/>
      <c r="M710" s="152" t="str">
        <f>IF(VLOOKUP(A677,'Aux - pivots1'!$A:$E,3,0)=0, "",VLOOKUP(A677,'Aux - pivots1'!$A:$E,3,0))</f>
        <v/>
      </c>
      <c r="N710" s="152" t="str">
        <f>IF(VLOOKUP(A677,'Aux - pivots1'!$A:$E,4,0)=0, "",VLOOKUP(A677,'Aux - pivots1'!$A:$E,4,0))</f>
        <v/>
      </c>
      <c r="O710" s="152" t="str">
        <f>IF(VLOOKUP(A677,'Aux - pivots1'!$A:$E,5,0)=0, "",VLOOKUP(A677,'Aux - pivots1'!$A:$E,5,0))</f>
        <v/>
      </c>
      <c r="P710" s="202"/>
      <c r="Q710" s="202"/>
      <c r="R710" s="202"/>
      <c r="S710" s="324"/>
      <c r="T710" s="324"/>
      <c r="U710" s="372" t="s">
        <v>2321</v>
      </c>
      <c r="V710" s="323"/>
    </row>
    <row r="711" spans="1:22" ht="16.399999999999999" hidden="1" customHeight="1">
      <c r="A711" s="29" t="str">
        <f t="shared" si="12"/>
        <v>lt004_protectionprtctn_id</v>
      </c>
      <c r="B711" s="141" t="s">
        <v>26</v>
      </c>
      <c r="C711" s="137" t="s">
        <v>26</v>
      </c>
      <c r="D711" s="133" t="s">
        <v>40</v>
      </c>
      <c r="E711" s="136" t="s">
        <v>368</v>
      </c>
      <c r="F711" s="480" t="s">
        <v>433</v>
      </c>
      <c r="G711" s="135" t="str">
        <f>VLOOKUP(A711,Plano_V3!$A$26:$G$768,7,0)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v>45588</v>
      </c>
      <c r="Q711" s="202"/>
      <c r="R711" s="202"/>
      <c r="S711" s="324"/>
      <c r="T711" s="324"/>
      <c r="U711" s="372" t="s">
        <v>2321</v>
      </c>
      <c r="V711" s="323"/>
    </row>
    <row r="712" spans="1:22" ht="16.399999999999999" hidden="1" customHeight="1">
      <c r="A712" s="29" t="str">
        <f t="shared" si="12"/>
        <v>lt004_protectionrl_estt_clltrl_lctn</v>
      </c>
      <c r="B712" s="141" t="s">
        <v>26</v>
      </c>
      <c r="C712" s="137" t="s">
        <v>26</v>
      </c>
      <c r="D712" s="133" t="s">
        <v>40</v>
      </c>
      <c r="E712" s="136" t="s">
        <v>368</v>
      </c>
      <c r="F712" s="480" t="s">
        <v>434</v>
      </c>
      <c r="G712" s="135" t="str">
        <f>VLOOKUP(A712,Plano_V3!$A$26:$G$768,7,0)</f>
        <v>1. Concluído</v>
      </c>
      <c r="H712" s="135" t="s">
        <v>612</v>
      </c>
      <c r="I712" s="473"/>
      <c r="J712" s="142"/>
      <c r="K712" s="142"/>
      <c r="L712" s="142" t="s">
        <v>2355</v>
      </c>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2321</v>
      </c>
      <c r="V712" s="323"/>
    </row>
    <row r="713" spans="1:22" ht="16.399999999999999" hidden="1" customHeight="1">
      <c r="A713" s="29" t="str">
        <f t="shared" si="12"/>
        <v>lt004_protectionrl_estt_pst_cd</v>
      </c>
      <c r="B713" s="141" t="s">
        <v>26</v>
      </c>
      <c r="C713" s="137" t="s">
        <v>26</v>
      </c>
      <c r="D713" s="133" t="s">
        <v>40</v>
      </c>
      <c r="E713" s="136" t="s">
        <v>368</v>
      </c>
      <c r="F713" s="480" t="s">
        <v>435</v>
      </c>
      <c r="G713" s="135" t="str">
        <f>VLOOKUP(A713,Plano_V3!$A$26:$G$768,7,0)</f>
        <v>1. Concluído</v>
      </c>
      <c r="H713" s="135" t="s">
        <v>612</v>
      </c>
      <c r="I713" s="473"/>
      <c r="J713" s="142"/>
      <c r="K713" s="142"/>
      <c r="L713" s="142"/>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2321</v>
      </c>
      <c r="V713" s="323"/>
    </row>
    <row r="714" spans="1:22" ht="16.399999999999999" hidden="1" customHeight="1">
      <c r="A714" s="29" t="str">
        <f t="shared" si="12"/>
        <v>lt004_protectiontyp_prtctn</v>
      </c>
      <c r="B714" s="141" t="s">
        <v>26</v>
      </c>
      <c r="C714" s="137" t="s">
        <v>26</v>
      </c>
      <c r="D714" s="133" t="s">
        <v>40</v>
      </c>
      <c r="E714" s="136" t="s">
        <v>368</v>
      </c>
      <c r="F714" s="480" t="s">
        <v>436</v>
      </c>
      <c r="G714" s="135" t="str">
        <f>VLOOKUP(A714,Plano_V3!$A$26:$G$768,7,0)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45595</v>
      </c>
      <c r="Q714" s="202"/>
      <c r="R714" s="202"/>
      <c r="S714" s="324"/>
      <c r="T714" s="324"/>
      <c r="U714" s="372" t="s">
        <v>2321</v>
      </c>
      <c r="V714" s="323"/>
    </row>
    <row r="715" spans="1:22" ht="16.399999999999999" hidden="1" customHeight="1">
      <c r="A715" s="29" t="str">
        <f t="shared" si="12"/>
        <v>lt004_protectionorgnl_prtctn_vl</v>
      </c>
      <c r="B715" s="141" t="s">
        <v>26</v>
      </c>
      <c r="C715" s="137" t="s">
        <v>26</v>
      </c>
      <c r="D715" s="133" t="s">
        <v>40</v>
      </c>
      <c r="E715" s="136" t="s">
        <v>368</v>
      </c>
      <c r="F715" s="480" t="s">
        <v>437</v>
      </c>
      <c r="G715" s="135" t="str">
        <f>VLOOKUP(A715,Plano_V3!$A$26:$G$768,7,0)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2321</v>
      </c>
      <c r="V715" s="323"/>
    </row>
    <row r="716" spans="1:22" ht="16.399999999999999" hidden="1" customHeight="1">
      <c r="A716" s="29" t="str">
        <f t="shared" ref="A716:A740" si="13">E716&amp;F716</f>
        <v>lt004_protectionprtctn_vl</v>
      </c>
      <c r="B716" s="141" t="s">
        <v>26</v>
      </c>
      <c r="C716" s="137" t="s">
        <v>26</v>
      </c>
      <c r="D716" s="133" t="s">
        <v>40</v>
      </c>
      <c r="E716" s="136" t="s">
        <v>368</v>
      </c>
      <c r="F716" s="480" t="s">
        <v>438</v>
      </c>
      <c r="G716" s="135" t="str">
        <f>VLOOKUP(A716,Plano_V3!$A$26:$G$768,7,0)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45588</v>
      </c>
      <c r="Q716" s="202"/>
      <c r="R716" s="202"/>
      <c r="S716" s="324"/>
      <c r="T716" s="324"/>
      <c r="U716" s="372" t="s">
        <v>2321</v>
      </c>
      <c r="V716" s="323"/>
    </row>
    <row r="717" spans="1:22" ht="16.399999999999999" hidden="1" customHeight="1">
      <c r="A717" s="29" t="str">
        <f t="shared" si="13"/>
        <v>lt004_protectioncod_soc</v>
      </c>
      <c r="B717" s="141" t="s">
        <v>26</v>
      </c>
      <c r="C717" s="137" t="s">
        <v>26</v>
      </c>
      <c r="D717" s="133" t="s">
        <v>40</v>
      </c>
      <c r="E717" s="136" t="s">
        <v>368</v>
      </c>
      <c r="F717" s="480" t="s">
        <v>416</v>
      </c>
      <c r="G717" s="135" t="str">
        <f>VLOOKUP(A717,Plano_V3!$A$26:$G$768,7,0)</f>
        <v>1. Concluído</v>
      </c>
      <c r="H717" s="135" t="s">
        <v>612</v>
      </c>
      <c r="I717" s="473"/>
      <c r="J717" s="142"/>
      <c r="K717" s="142"/>
      <c r="L717" s="142"/>
      <c r="M717" s="152" t="str">
        <f>IF(VLOOKUP(A708,'Aux - pivots1'!$A:$E,3,0)=0, "",VLOOKUP(A708,'Aux - pivots1'!$A:$E,3,0))</f>
        <v/>
      </c>
      <c r="N717" s="152" t="str">
        <f>IF(VLOOKUP(A708,'Aux - pivots1'!$A:$E,4,0)=0, "",VLOOKUP(A708,'Aux - pivots1'!$A:$E,4,0))</f>
        <v/>
      </c>
      <c r="O717" s="152" t="str">
        <f>IF(VLOOKUP(A708,'Aux - pivots1'!$A:$E,5,0)=0, "",VLOOKUP(A708,'Aux - pivots1'!$A:$E,5,0))</f>
        <v/>
      </c>
      <c r="P717" s="202"/>
      <c r="Q717" s="202"/>
      <c r="R717" s="202"/>
      <c r="S717" s="324"/>
      <c r="T717" s="324"/>
      <c r="U717" s="372" t="s">
        <v>2321</v>
      </c>
      <c r="V717" s="323"/>
    </row>
    <row r="718" spans="1:22" ht="16.399999999999999" hidden="1" customHeight="1">
      <c r="A718" s="29" t="str">
        <f t="shared" si="13"/>
        <v>lt005_instr_entdt_rfrnc</v>
      </c>
      <c r="B718" s="141" t="s">
        <v>26</v>
      </c>
      <c r="C718" s="137" t="s">
        <v>26</v>
      </c>
      <c r="D718" s="133" t="s">
        <v>40</v>
      </c>
      <c r="E718" s="136" t="s">
        <v>439</v>
      </c>
      <c r="F718" s="480" t="s">
        <v>398</v>
      </c>
      <c r="G718" s="135" t="str">
        <f>VLOOKUP(A718,Plano_V3!$A$26:$G$768,7,0)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2321</v>
      </c>
      <c r="V718" s="323"/>
    </row>
    <row r="719" spans="1:22" ht="16.399999999999999" hidden="1" customHeight="1">
      <c r="A719" s="29" t="str">
        <f t="shared" si="13"/>
        <v>lt005_instr_ententty_id</v>
      </c>
      <c r="B719" s="141" t="s">
        <v>26</v>
      </c>
      <c r="C719" s="137" t="s">
        <v>26</v>
      </c>
      <c r="D719" s="133" t="s">
        <v>40</v>
      </c>
      <c r="E719" s="136" t="s">
        <v>439</v>
      </c>
      <c r="F719" s="480" t="s">
        <v>425</v>
      </c>
      <c r="G719" s="135" t="str">
        <f>VLOOKUP(A719,Plano_V3!$A$26:$G$768,7,0)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2321</v>
      </c>
      <c r="V719" s="323"/>
    </row>
    <row r="720" spans="1:22" ht="16.399999999999999" hidden="1" customHeight="1">
      <c r="A720" s="29" t="str">
        <f t="shared" si="13"/>
        <v>lt005_instr_entinstrmnt_id</v>
      </c>
      <c r="B720" s="141" t="s">
        <v>26</v>
      </c>
      <c r="C720" s="137" t="s">
        <v>26</v>
      </c>
      <c r="D720" s="133" t="s">
        <v>40</v>
      </c>
      <c r="E720" s="136" t="s">
        <v>439</v>
      </c>
      <c r="F720" s="480" t="s">
        <v>400</v>
      </c>
      <c r="G720" s="135" t="str">
        <f>VLOOKUP(A720,Plano_V3!$A$26:$G$768,7,0)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2321</v>
      </c>
      <c r="V720" s="323"/>
    </row>
    <row r="721" spans="1:22" ht="16.399999999999999" hidden="1" customHeight="1">
      <c r="A721" s="29" t="str">
        <f t="shared" si="13"/>
        <v>lt005_instr_entcod_soc</v>
      </c>
      <c r="B721" s="141" t="s">
        <v>26</v>
      </c>
      <c r="C721" s="137" t="s">
        <v>26</v>
      </c>
      <c r="D721" s="133" t="s">
        <v>40</v>
      </c>
      <c r="E721" s="136" t="s">
        <v>439</v>
      </c>
      <c r="F721" s="480" t="s">
        <v>416</v>
      </c>
      <c r="G721" s="135" t="str">
        <f>VLOOKUP(A721,Plano_V3!$A$26:$G$768,7,0)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2321</v>
      </c>
      <c r="V721" s="323"/>
    </row>
    <row r="722" spans="1:22" ht="16.399999999999999" hidden="1" customHeight="1">
      <c r="A722" s="29" t="str">
        <f t="shared" si="13"/>
        <v>lt005_instr_entmn_entty_id</v>
      </c>
      <c r="B722" s="141" t="s">
        <v>26</v>
      </c>
      <c r="C722" s="137" t="s">
        <v>26</v>
      </c>
      <c r="D722" s="133" t="s">
        <v>40</v>
      </c>
      <c r="E722" s="136" t="s">
        <v>439</v>
      </c>
      <c r="F722" s="480" t="s">
        <v>440</v>
      </c>
      <c r="G722" s="135" t="str">
        <f>VLOOKUP(A722,Plano_V3!$A$26:$G$768,7,0)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2321</v>
      </c>
      <c r="V722" s="323"/>
    </row>
    <row r="723" spans="1:22" ht="16.399999999999999" hidden="1" customHeight="1">
      <c r="A723" s="29" t="str">
        <f t="shared" si="13"/>
        <v>lt006_instr_protdt_rfrnc</v>
      </c>
      <c r="B723" s="141" t="s">
        <v>26</v>
      </c>
      <c r="C723" s="137" t="s">
        <v>26</v>
      </c>
      <c r="D723" s="133" t="s">
        <v>40</v>
      </c>
      <c r="E723" s="136" t="s">
        <v>441</v>
      </c>
      <c r="F723" s="480" t="s">
        <v>398</v>
      </c>
      <c r="G723" s="135" t="str">
        <f>VLOOKUP(A723,Plano_V3!$A$26:$G$768,7,0)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2321</v>
      </c>
      <c r="V723" s="323"/>
    </row>
    <row r="724" spans="1:22" ht="16.399999999999999" hidden="1" customHeight="1">
      <c r="A724" s="29" t="str">
        <f t="shared" si="13"/>
        <v>lt006_instr_protinstrmnt_id</v>
      </c>
      <c r="B724" s="141" t="s">
        <v>26</v>
      </c>
      <c r="C724" s="137" t="s">
        <v>26</v>
      </c>
      <c r="D724" s="133" t="s">
        <v>40</v>
      </c>
      <c r="E724" s="136" t="s">
        <v>441</v>
      </c>
      <c r="F724" s="480" t="s">
        <v>400</v>
      </c>
      <c r="G724" s="135" t="str">
        <f>VLOOKUP(A724,Plano_V3!$A$26:$G$768,7,0)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2321</v>
      </c>
      <c r="V724" s="323"/>
    </row>
    <row r="725" spans="1:22" ht="16.399999999999999" hidden="1" customHeight="1">
      <c r="A725" s="29" t="str">
        <f t="shared" si="13"/>
        <v>lt006_instr_protprtctn_id</v>
      </c>
      <c r="B725" s="141" t="s">
        <v>26</v>
      </c>
      <c r="C725" s="137" t="s">
        <v>26</v>
      </c>
      <c r="D725" s="133" t="s">
        <v>40</v>
      </c>
      <c r="E725" s="136" t="s">
        <v>441</v>
      </c>
      <c r="F725" s="480" t="s">
        <v>433</v>
      </c>
      <c r="G725" s="135" t="str">
        <f>VLOOKUP(A725,Plano_V3!$A$26:$G$768,7,0)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2321</v>
      </c>
      <c r="V725" s="323"/>
    </row>
    <row r="726" spans="1:22" ht="16.399999999999999" hidden="1" customHeight="1">
      <c r="A726" s="29" t="str">
        <f t="shared" si="13"/>
        <v>lt006_instr_protcod_soc</v>
      </c>
      <c r="B726" s="141" t="s">
        <v>26</v>
      </c>
      <c r="C726" s="137" t="s">
        <v>26</v>
      </c>
      <c r="D726" s="133" t="s">
        <v>40</v>
      </c>
      <c r="E726" s="136" t="s">
        <v>441</v>
      </c>
      <c r="F726" s="480" t="s">
        <v>416</v>
      </c>
      <c r="G726" s="135" t="str">
        <f>VLOOKUP(A726,Plano_V3!$A$26:$G$768,7,0)</f>
        <v>1. Concluído</v>
      </c>
      <c r="H726" s="135" t="s">
        <v>612</v>
      </c>
      <c r="I726" s="473"/>
      <c r="J726" s="142"/>
      <c r="K726" s="142"/>
      <c r="L726" s="142"/>
      <c r="M726" s="152" t="str">
        <f>IF(VLOOKUP(A716,'Aux - pivots1'!$A:$E,3,0)=0, "",VLOOKUP(A716,'Aux - pivots1'!$A:$E,3,0))</f>
        <v/>
      </c>
      <c r="N726" s="152" t="str">
        <f>IF(VLOOKUP(A716,'Aux - pivots1'!$A:$E,4,0)=0, "",VLOOKUP(A716,'Aux - pivots1'!$A:$E,4,0))</f>
        <v/>
      </c>
      <c r="O726" s="152" t="str">
        <f>IF(VLOOKUP(A716,'Aux - pivots1'!$A:$E,5,0)=0, "",VLOOKUP(A716,'Aux - pivots1'!$A:$E,5,0))</f>
        <v/>
      </c>
      <c r="P726" s="202"/>
      <c r="Q726" s="202"/>
      <c r="R726" s="202"/>
      <c r="S726" s="324"/>
      <c r="T726" s="324"/>
      <c r="U726" s="372" t="s">
        <v>2321</v>
      </c>
      <c r="V726" s="323" t="s">
        <v>1856</v>
      </c>
    </row>
    <row r="727" spans="1:22" ht="16.399999999999999" hidden="1" customHeight="1">
      <c r="A727" s="29" t="str">
        <f t="shared" si="13"/>
        <v>lt004_protectionflg_fin</v>
      </c>
      <c r="B727" s="141" t="s">
        <v>26</v>
      </c>
      <c r="C727" s="137" t="s">
        <v>26</v>
      </c>
      <c r="D727" s="133" t="s">
        <v>40</v>
      </c>
      <c r="E727" s="136" t="s">
        <v>368</v>
      </c>
      <c r="F727" s="480" t="s">
        <v>480</v>
      </c>
      <c r="G727" s="135" t="str">
        <f>VLOOKUP(A727,Plano_V3!$A$26:$G$768,7,0)</f>
        <v>0. Cancelado</v>
      </c>
      <c r="H727" s="135" t="s">
        <v>611</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2321</v>
      </c>
      <c r="V727" s="323" t="s">
        <v>1856</v>
      </c>
    </row>
    <row r="728" spans="1:22" ht="16.399999999999999" hidden="1" customHeight="1">
      <c r="A728" s="29" t="str">
        <f t="shared" si="13"/>
        <v>lt004_protectionflg_exec</v>
      </c>
      <c r="B728" s="141" t="s">
        <v>26</v>
      </c>
      <c r="C728" s="137" t="s">
        <v>26</v>
      </c>
      <c r="D728" s="133" t="s">
        <v>40</v>
      </c>
      <c r="E728" s="136" t="s">
        <v>368</v>
      </c>
      <c r="F728" s="480" t="s">
        <v>1276</v>
      </c>
      <c r="G728" s="135" t="str">
        <f>VLOOKUP(A728,Plano_V3!$A$26:$G$768,7,0)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2321</v>
      </c>
      <c r="V728" s="323" t="s">
        <v>1856</v>
      </c>
    </row>
    <row r="729" spans="1:22" ht="16.399999999999999" hidden="1" customHeight="1">
      <c r="A729" s="29" t="str">
        <f t="shared" si="13"/>
        <v>lt004_protectionflg_col</v>
      </c>
      <c r="B729" s="141" t="s">
        <v>26</v>
      </c>
      <c r="C729" s="137" t="s">
        <v>26</v>
      </c>
      <c r="D729" s="133" t="s">
        <v>40</v>
      </c>
      <c r="E729" s="136" t="s">
        <v>368</v>
      </c>
      <c r="F729" s="480" t="s">
        <v>479</v>
      </c>
      <c r="G729" s="135" t="str">
        <f>VLOOKUP(A729,Plano_V3!$A$26:$G$768,7,0)</f>
        <v>0. Cancelado</v>
      </c>
      <c r="H729" s="135" t="s">
        <v>611</v>
      </c>
      <c r="I729" s="473"/>
      <c r="J729" s="142"/>
      <c r="K729" s="142"/>
      <c r="L729" s="142"/>
      <c r="M729" s="152" t="str">
        <f>IF(VLOOKUP(A696,'Aux - pivots1'!$A:$E,3,0)=0, "",VLOOKUP(A696,'Aux - pivots1'!$A:$E,3,0))</f>
        <v/>
      </c>
      <c r="N729" s="152" t="str">
        <f>IF(VLOOKUP(A696,'Aux - pivots1'!$A:$E,4,0)=0, "",VLOOKUP(A696,'Aux - pivots1'!$A:$E,4,0))</f>
        <v/>
      </c>
      <c r="O729" s="152" t="str">
        <f>IF(VLOOKUP(A696,'Aux - pivots1'!$A:$E,5,0)=0, "",VLOOKUP(A696,'Aux - pivots1'!$A:$E,5,0))</f>
        <v/>
      </c>
      <c r="P729" s="202"/>
      <c r="Q729" s="202"/>
      <c r="R729" s="202"/>
      <c r="S729" s="324"/>
      <c r="T729" s="324"/>
      <c r="U729" s="372" t="s">
        <v>2321</v>
      </c>
      <c r="V729" s="323"/>
    </row>
    <row r="730" spans="1:22" ht="16.399999999999999" hidden="1" customHeight="1">
      <c r="A730" s="29" t="str">
        <f t="shared" si="13"/>
        <v>lt004_protectionflg_pro</v>
      </c>
      <c r="B730" s="141" t="s">
        <v>26</v>
      </c>
      <c r="C730" s="137" t="s">
        <v>26</v>
      </c>
      <c r="D730" s="133" t="s">
        <v>40</v>
      </c>
      <c r="E730" s="136" t="s">
        <v>368</v>
      </c>
      <c r="F730" s="480" t="s">
        <v>481</v>
      </c>
      <c r="G730" s="135" t="str">
        <f>VLOOKUP(A730,Plano_V3!$A$26:$G$768,7,0)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2321</v>
      </c>
      <c r="V730" s="323"/>
    </row>
    <row r="731" spans="1:22" ht="16.399999999999999" hidden="1" customHeight="1">
      <c r="A731" s="29" t="str">
        <f t="shared" si="13"/>
        <v>modesg_inp_emss_nacenome_regiao</v>
      </c>
      <c r="B731" s="141" t="s">
        <v>26</v>
      </c>
      <c r="C731" s="137" t="s">
        <v>181</v>
      </c>
      <c r="D731" s="133" t="s">
        <v>40</v>
      </c>
      <c r="E731" s="134" t="s">
        <v>218</v>
      </c>
      <c r="F731" s="476" t="s">
        <v>220</v>
      </c>
      <c r="G731" s="135" t="str">
        <f>VLOOKUP(A731,Plano_V3!$A$26:$G$768,7,0)</f>
        <v>0. Cancelado</v>
      </c>
      <c r="H731" s="135" t="s">
        <v>611</v>
      </c>
      <c r="I731" s="473"/>
      <c r="J731" s="142"/>
      <c r="K731" s="142"/>
      <c r="L731" s="142" t="s">
        <v>2355</v>
      </c>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2321</v>
      </c>
      <c r="V731" s="323"/>
    </row>
    <row r="732" spans="1:22" ht="16.5" hidden="1" customHeight="1">
      <c r="A732" s="29" t="str">
        <f t="shared" si="13"/>
        <v>modesg_inp_emss_nacearea_atividade</v>
      </c>
      <c r="B732" s="141" t="s">
        <v>26</v>
      </c>
      <c r="C732" s="137" t="s">
        <v>181</v>
      </c>
      <c r="D732" s="133" t="s">
        <v>40</v>
      </c>
      <c r="E732" s="134" t="s">
        <v>218</v>
      </c>
      <c r="F732" s="476" t="s">
        <v>643</v>
      </c>
      <c r="G732" s="135" t="str">
        <f>VLOOKUP(A732,Plano_V3!$A$26:$G$768,7,0)</f>
        <v>0. Cancelado</v>
      </c>
      <c r="H732" s="135" t="s">
        <v>611</v>
      </c>
      <c r="I732" s="473"/>
      <c r="J732" s="142"/>
      <c r="K732" s="142"/>
      <c r="L732" s="142" t="s">
        <v>2355</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2321</v>
      </c>
      <c r="V732" s="323"/>
    </row>
    <row r="733" spans="1:22" ht="16.5" hidden="1" customHeight="1">
      <c r="A733" s="29" t="str">
        <f t="shared" si="13"/>
        <v>modesg_inp_emss_nacetipo_atividade</v>
      </c>
      <c r="B733" s="141" t="s">
        <v>26</v>
      </c>
      <c r="C733" s="137" t="s">
        <v>181</v>
      </c>
      <c r="D733" s="133" t="s">
        <v>40</v>
      </c>
      <c r="E733" s="134" t="s">
        <v>218</v>
      </c>
      <c r="F733" s="476" t="s">
        <v>644</v>
      </c>
      <c r="G733" s="135" t="str">
        <f>VLOOKUP(A733,Plano_V3!$A$26:$G$768,7,0)</f>
        <v>0. Cancelado</v>
      </c>
      <c r="H733" s="135" t="s">
        <v>611</v>
      </c>
      <c r="I733" s="473"/>
      <c r="J733" s="142"/>
      <c r="K733" s="142"/>
      <c r="L733" s="142" t="s">
        <v>2355</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2321</v>
      </c>
      <c r="V733" s="323"/>
    </row>
    <row r="734" spans="1:22" ht="16.5" hidden="1" customHeight="1">
      <c r="A734" s="29" t="str">
        <f t="shared" si="13"/>
        <v>modesg_inp_emss_nacesub_tipo_atividade_1</v>
      </c>
      <c r="B734" s="141" t="s">
        <v>26</v>
      </c>
      <c r="C734" s="137" t="s">
        <v>181</v>
      </c>
      <c r="D734" s="133" t="s">
        <v>40</v>
      </c>
      <c r="E734" s="134" t="s">
        <v>218</v>
      </c>
      <c r="F734" s="476" t="s">
        <v>645</v>
      </c>
      <c r="G734" s="135" t="str">
        <f>VLOOKUP(A734,Plano_V3!$A$26:$G$768,7,0)</f>
        <v>0. Cancelado</v>
      </c>
      <c r="H734" s="135" t="s">
        <v>611</v>
      </c>
      <c r="I734" s="473"/>
      <c r="J734" s="142"/>
      <c r="K734" s="142"/>
      <c r="L734" s="142" t="s">
        <v>2355</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2321</v>
      </c>
      <c r="V734" s="323"/>
    </row>
    <row r="735" spans="1:22" ht="16.5" hidden="1" customHeight="1">
      <c r="A735" s="29" t="str">
        <f t="shared" si="13"/>
        <v>modesg_inp_emss_nacesub_tipo_atividade_2</v>
      </c>
      <c r="B735" s="141" t="s">
        <v>26</v>
      </c>
      <c r="C735" s="137" t="s">
        <v>181</v>
      </c>
      <c r="D735" s="133" t="s">
        <v>40</v>
      </c>
      <c r="E735" s="134" t="s">
        <v>218</v>
      </c>
      <c r="F735" s="476" t="s">
        <v>646</v>
      </c>
      <c r="G735" s="135" t="str">
        <f>VLOOKUP(A735,Plano_V3!$A$26:$G$768,7,0)</f>
        <v>0. Cancelado</v>
      </c>
      <c r="H735" s="135" t="s">
        <v>611</v>
      </c>
      <c r="I735" s="473"/>
      <c r="J735" s="142"/>
      <c r="K735" s="142"/>
      <c r="L735" s="142" t="s">
        <v>2355</v>
      </c>
      <c r="M735" s="152" t="str">
        <f>IF(VLOOKUP(A703,'Aux - pivots1'!$A:$E,3,0)=0, "",VLOOKUP(A703,'Aux - pivots1'!$A:$E,3,0))</f>
        <v/>
      </c>
      <c r="N735" s="152" t="str">
        <f>IF(VLOOKUP(A703,'Aux - pivots1'!$A:$E,4,0)=0, "",VLOOKUP(A703,'Aux - pivots1'!$A:$E,4,0))</f>
        <v/>
      </c>
      <c r="O735" s="152" t="str">
        <f>IF(VLOOKUP(A703,'Aux - pivots1'!$A:$E,5,0)=0, "",VLOOKUP(A703,'Aux - pivots1'!$A:$E,5,0))</f>
        <v/>
      </c>
      <c r="P735" s="202"/>
      <c r="Q735" s="202"/>
      <c r="R735" s="202"/>
      <c r="S735" s="324"/>
      <c r="T735" s="324"/>
      <c r="U735" s="372" t="s">
        <v>2321</v>
      </c>
      <c r="V735" s="323"/>
    </row>
    <row r="736" spans="1:22" ht="16.5" hidden="1" customHeight="1">
      <c r="A736" s="29" t="str">
        <f t="shared" si="13"/>
        <v>modesg_inp_emss_naceunidades_unidade_funcional</v>
      </c>
      <c r="B736" s="141" t="s">
        <v>26</v>
      </c>
      <c r="C736" s="137" t="s">
        <v>181</v>
      </c>
      <c r="D736" s="133" t="s">
        <v>40</v>
      </c>
      <c r="E736" s="134" t="s">
        <v>218</v>
      </c>
      <c r="F736" s="476" t="s">
        <v>647</v>
      </c>
      <c r="G736" s="135" t="str">
        <f>VLOOKUP(A736,Plano_V3!$A$26:$G$768,7,0)</f>
        <v>0. Cancelado</v>
      </c>
      <c r="H736" s="135" t="s">
        <v>611</v>
      </c>
      <c r="I736" s="473"/>
      <c r="J736" s="142"/>
      <c r="K736" s="142"/>
      <c r="L736" s="142" t="s">
        <v>2355</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2321</v>
      </c>
      <c r="V736" s="323"/>
    </row>
    <row r="737" spans="1:22" ht="16.5" hidden="1" customHeight="1">
      <c r="A737" s="29" t="str">
        <f t="shared" si="13"/>
        <v>modesg_inp_emss_nacefator_emissao</v>
      </c>
      <c r="B737" s="141" t="s">
        <v>26</v>
      </c>
      <c r="C737" s="137" t="s">
        <v>181</v>
      </c>
      <c r="D737" s="133" t="s">
        <v>40</v>
      </c>
      <c r="E737" s="134" t="s">
        <v>218</v>
      </c>
      <c r="F737" s="476" t="s">
        <v>648</v>
      </c>
      <c r="G737" s="135" t="str">
        <f>VLOOKUP(A737,Plano_V3!$A$26:$G$768,7,0)</f>
        <v>0. Cancelado</v>
      </c>
      <c r="H737" s="135" t="s">
        <v>611</v>
      </c>
      <c r="I737" s="473"/>
      <c r="J737" s="142"/>
      <c r="K737" s="142"/>
      <c r="L737" s="142" t="s">
        <v>2355</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2321</v>
      </c>
      <c r="V737" s="323"/>
    </row>
    <row r="738" spans="1:22" ht="16.5" hidden="1" customHeight="1">
      <c r="A738" s="29" t="str">
        <f t="shared" si="13"/>
        <v>modesg_inp_km_medios_emss_vclsmedia_scp1_emss</v>
      </c>
      <c r="B738" s="141" t="s">
        <v>26</v>
      </c>
      <c r="C738" s="137" t="s">
        <v>181</v>
      </c>
      <c r="D738" s="133" t="s">
        <v>40</v>
      </c>
      <c r="E738" s="134" t="s">
        <v>213</v>
      </c>
      <c r="F738" s="476" t="s">
        <v>649</v>
      </c>
      <c r="G738" s="135" t="str">
        <f>VLOOKUP(A738,Plano_V3!$A$26:$G$768,7,0)</f>
        <v>0. Cancelado</v>
      </c>
      <c r="H738" s="135" t="s">
        <v>611</v>
      </c>
      <c r="I738" s="473"/>
      <c r="J738" s="142"/>
      <c r="K738" s="142"/>
      <c r="L738" s="142"/>
      <c r="M738" s="152" t="str">
        <f>IF(VLOOKUP(A729,'Aux - pivots1'!$A:$E,3,0)=0, "",VLOOKUP(A729,'Aux - pivots1'!$A:$E,3,0))</f>
        <v/>
      </c>
      <c r="N738" s="152" t="str">
        <f>IF(VLOOKUP(A729,'Aux - pivots1'!$A:$E,4,0)=0, "",VLOOKUP(A729,'Aux - pivots1'!$A:$E,4,0))</f>
        <v/>
      </c>
      <c r="O738" s="152" t="str">
        <f>IF(VLOOKUP(A729,'Aux - pivots1'!$A:$E,5,0)=0, "",VLOOKUP(A729,'Aux - pivots1'!$A:$E,5,0))</f>
        <v/>
      </c>
      <c r="P738" s="202"/>
      <c r="Q738" s="202"/>
      <c r="R738" s="202"/>
      <c r="S738" s="324"/>
      <c r="T738" s="324"/>
      <c r="U738" s="372" t="s">
        <v>2321</v>
      </c>
      <c r="V738" s="323"/>
    </row>
    <row r="739" spans="1:22" ht="16.5" hidden="1" customHeight="1">
      <c r="A739" s="29" t="str">
        <f t="shared" si="13"/>
        <v>modesg_inp_km_medios_emss_vclsmedia_scp2_emss</v>
      </c>
      <c r="B739" s="141" t="s">
        <v>26</v>
      </c>
      <c r="C739" s="137" t="s">
        <v>181</v>
      </c>
      <c r="D739" s="133" t="s">
        <v>40</v>
      </c>
      <c r="E739" s="134" t="s">
        <v>213</v>
      </c>
      <c r="F739" s="476" t="s">
        <v>650</v>
      </c>
      <c r="G739" s="135" t="str">
        <f>VLOOKUP(A739,Plano_V3!$A$26:$G$768,7,0)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2321</v>
      </c>
      <c r="V739" s="323"/>
    </row>
    <row r="740" spans="1:22" ht="16.5" hidden="1" customHeight="1">
      <c r="A740" s="29" t="str">
        <f t="shared" si="13"/>
        <v>modesg_inp_km_medios_emss_vclsmedia_scp3_emss</v>
      </c>
      <c r="B740" s="145" t="s">
        <v>26</v>
      </c>
      <c r="C740" s="146" t="s">
        <v>181</v>
      </c>
      <c r="D740" s="147" t="s">
        <v>40</v>
      </c>
      <c r="E740" s="148" t="s">
        <v>213</v>
      </c>
      <c r="F740" s="481" t="s">
        <v>651</v>
      </c>
      <c r="G740" s="149" t="str">
        <f>VLOOKUP(A740,Plano_V3!$A$26:$G$768,7,0)</f>
        <v>0. Cancelado</v>
      </c>
      <c r="H740" s="135" t="s">
        <v>611</v>
      </c>
      <c r="I740" s="474"/>
      <c r="J740" s="150"/>
      <c r="K740" s="150"/>
      <c r="L740" s="150"/>
      <c r="M740" s="152" t="str">
        <f>IF(VLOOKUP(A731,'Aux - pivots1'!$A:$E,3,0)=0, "",VLOOKUP(A731,'Aux - pivots1'!$A:$E,3,0))</f>
        <v/>
      </c>
      <c r="N740" s="152" t="str">
        <f>IF(VLOOKUP(A731,'Aux - pivots1'!$A:$E,4,0)=0, "",VLOOKUP(A731,'Aux - pivots1'!$A:$E,4,0))</f>
        <v/>
      </c>
      <c r="O740" s="152" t="str">
        <f>IF(VLOOKUP(A731,'Aux - pivots1'!$A:$E,5,0)=0, "",VLOOKUP(A731,'Aux - pivots1'!$A:$E,5,0))</f>
        <v/>
      </c>
      <c r="P740" s="204"/>
      <c r="Q740" s="204"/>
      <c r="R740" s="204"/>
      <c r="S740" s="324"/>
      <c r="T740" s="324"/>
      <c r="U740" s="372" t="s">
        <v>2321</v>
      </c>
      <c r="V740" s="323"/>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E1" zoomScale="60" zoomScaleNormal="60" workbookViewId="0">
      <selection activeCell="G9" sqref="G9:G1532"/>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4" t="s">
        <v>8</v>
      </c>
      <c r="C8" s="194" t="s">
        <v>9</v>
      </c>
      <c r="D8" s="193" t="s">
        <v>119</v>
      </c>
      <c r="E8" s="193" t="s">
        <v>1151</v>
      </c>
      <c r="F8" s="197" t="s">
        <v>11</v>
      </c>
      <c r="G8" s="193" t="s">
        <v>12</v>
      </c>
      <c r="H8" s="195" t="s">
        <v>652</v>
      </c>
      <c r="I8" s="196" t="s">
        <v>13</v>
      </c>
      <c r="J8" s="196" t="s">
        <v>14</v>
      </c>
      <c r="K8" s="193" t="s">
        <v>1152</v>
      </c>
      <c r="L8" s="193" t="s">
        <v>1153</v>
      </c>
      <c r="M8" s="193" t="s">
        <v>1154</v>
      </c>
      <c r="N8" s="193" t="s">
        <v>1155</v>
      </c>
      <c r="O8" s="193" t="s">
        <v>1156</v>
      </c>
      <c r="P8" s="193" t="s">
        <v>1157</v>
      </c>
      <c r="Q8" s="193" t="s">
        <v>1158</v>
      </c>
      <c r="R8" s="193" t="s">
        <v>1159</v>
      </c>
      <c r="S8" s="193" t="s">
        <v>1160</v>
      </c>
      <c r="T8" s="193" t="s">
        <v>1161</v>
      </c>
      <c r="U8" s="193" t="s">
        <v>1162</v>
      </c>
      <c r="V8" s="193" t="s">
        <v>1163</v>
      </c>
      <c r="W8" s="193" t="s">
        <v>17</v>
      </c>
      <c r="X8" s="193" t="s">
        <v>1164</v>
      </c>
    </row>
    <row r="9" spans="1:25" ht="17.899999999999999" customHeight="1">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6" t="str">
        <f>+VLOOKUP(CONCATENATE(Table1[[#This Row],[Tabela]],Table1[[#This Row],[Campo]]),'2. Status Detalhe Campos FY24'!A:J,9,FALSE)</f>
        <v>Fase I</v>
      </c>
      <c r="Y9" s="167"/>
    </row>
    <row r="10" spans="1:25" ht="17.899999999999999" customHeight="1">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99999999999999" customHeight="1">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99999999999999" customHeight="1">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6" t="str">
        <f>+VLOOKUP(CONCATENATE(Table1[[#This Row],[Tabela]],Table1[[#This Row],[Campo]]),'2. Status Detalhe Campos FY24'!A:J,9,FALSE)</f>
        <v>Fase I</v>
      </c>
      <c r="Y12" s="167"/>
    </row>
    <row r="13" spans="1:25" ht="17.899999999999999" customHeight="1">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6" t="str">
        <f>+VLOOKUP(CONCATENATE(Table1[[#This Row],[Tabela]],Table1[[#This Row],[Campo]]),'2. Status Detalhe Campos FY24'!A:J,9,FALSE)</f>
        <v>Fase I</v>
      </c>
      <c r="Y13" s="167"/>
    </row>
    <row r="14" spans="1:25" ht="69.650000000000006" customHeight="1">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6" t="str">
        <f>+VLOOKUP(CONCATENATE(Table1[[#This Row],[Tabela]],Table1[[#This Row],[Campo]]),'2. Status Detalhe Campos FY24'!A:J,9,FALSE)</f>
        <v>Fase I</v>
      </c>
      <c r="Y14" s="168"/>
    </row>
    <row r="15" spans="1:25" ht="69.650000000000006" customHeight="1">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6" t="str">
        <f>+VLOOKUP(CONCATENATE(Table1[[#This Row],[Tabela]],Table1[[#This Row],[Campo]]),'2. Status Detalhe Campos FY24'!A:J,9,FALSE)</f>
        <v>Fase I</v>
      </c>
      <c r="Y15" s="168"/>
    </row>
    <row r="16" spans="1:25" ht="17.899999999999999" customHeight="1">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6" t="str">
        <f>+VLOOKUP(CONCATENATE(Table1[[#This Row],[Tabela]],Table1[[#This Row],[Campo]]),'2. Status Detalhe Campos FY24'!A:J,9,FALSE)</f>
        <v>Fase I</v>
      </c>
      <c r="Y16" s="167"/>
    </row>
    <row r="17" spans="2:25" ht="17.899999999999999" customHeight="1">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6" t="str">
        <f>+VLOOKUP(CONCATENATE(Table1[[#This Row],[Tabela]],Table1[[#This Row],[Campo]]),'2. Status Detalhe Campos FY24'!A:J,9,FALSE)</f>
        <v>Fase I</v>
      </c>
      <c r="Y17" s="167"/>
    </row>
    <row r="18" spans="2:25" ht="17.899999999999999" customHeight="1">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6" t="str">
        <f>+VLOOKUP(CONCATENATE(Table1[[#This Row],[Tabela]],Table1[[#This Row],[Campo]]),'2. Status Detalhe Campos FY24'!A:J,9,FALSE)</f>
        <v>Fase I</v>
      </c>
      <c r="Y18" s="167"/>
    </row>
    <row r="19" spans="2:25" ht="17.899999999999999" customHeight="1">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6" t="str">
        <f>+VLOOKUP(CONCATENATE(Table1[[#This Row],[Tabela]],Table1[[#This Row],[Campo]]),'2. Status Detalhe Campos FY24'!A:J,9,FALSE)</f>
        <v>Fase I</v>
      </c>
      <c r="Y19" s="167"/>
    </row>
    <row r="20" spans="2:25" ht="17.899999999999999" customHeight="1">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6" t="str">
        <f>+VLOOKUP(CONCATENATE(Table1[[#This Row],[Tabela]],Table1[[#This Row],[Campo]]),'2. Status Detalhe Campos FY24'!A:J,9,FALSE)</f>
        <v>Fase I</v>
      </c>
      <c r="Y20" s="167"/>
    </row>
    <row r="21" spans="2:25" ht="17.899999999999999" customHeight="1">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6" t="str">
        <f>+VLOOKUP(CONCATENATE(Table1[[#This Row],[Tabela]],Table1[[#This Row],[Campo]]),'2. Status Detalhe Campos FY24'!A:J,9,FALSE)</f>
        <v>Fase I</v>
      </c>
      <c r="Y21" s="167"/>
    </row>
    <row r="22" spans="2:25" ht="17.899999999999999" customHeight="1">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6" t="str">
        <f>+VLOOKUP(CONCATENATE(Table1[[#This Row],[Tabela]],Table1[[#This Row],[Campo]]),'2. Status Detalhe Campos FY24'!A:J,9,FALSE)</f>
        <v>Fase I</v>
      </c>
      <c r="Y22" s="167"/>
    </row>
    <row r="23" spans="2:25" ht="17.899999999999999" customHeight="1">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6" t="str">
        <f>+VLOOKUP(CONCATENATE(Table1[[#This Row],[Tabela]],Table1[[#This Row],[Campo]]),'2. Status Detalhe Campos FY24'!A:J,9,FALSE)</f>
        <v>Fase I</v>
      </c>
      <c r="Y23" s="167"/>
    </row>
    <row r="24" spans="2:25" ht="17.899999999999999" customHeight="1">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6" t="str">
        <f>+VLOOKUP(CONCATENATE(Table1[[#This Row],[Tabela]],Table1[[#This Row],[Campo]]),'2. Status Detalhe Campos FY24'!A:J,9,FALSE)</f>
        <v>Fase I</v>
      </c>
      <c r="Y24" s="167"/>
    </row>
    <row r="25" spans="2:25" ht="17.899999999999999" customHeight="1">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6" t="str">
        <f>+VLOOKUP(CONCATENATE(Table1[[#This Row],[Tabela]],Table1[[#This Row],[Campo]]),'2. Status Detalhe Campos FY24'!A:J,9,FALSE)</f>
        <v>Fase I</v>
      </c>
      <c r="Y25" s="167"/>
    </row>
    <row r="26" spans="2:25" ht="17.899999999999999" customHeight="1">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6" t="str">
        <f>+VLOOKUP(CONCATENATE(Table1[[#This Row],[Tabela]],Table1[[#This Row],[Campo]]),'2. Status Detalhe Campos FY24'!A:J,9,FALSE)</f>
        <v>Fase I</v>
      </c>
      <c r="Y26" s="168"/>
    </row>
    <row r="27" spans="2:25" ht="17.899999999999999" customHeight="1">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6" t="str">
        <f>+VLOOKUP(CONCATENATE(Table1[[#This Row],[Tabela]],Table1[[#This Row],[Campo]]),'2. Status Detalhe Campos FY24'!A:J,9,FALSE)</f>
        <v>Fase I</v>
      </c>
      <c r="Y27" s="168"/>
    </row>
    <row r="28" spans="2:25" ht="17.899999999999999" customHeight="1">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6" t="str">
        <f>+VLOOKUP(CONCATENATE(Table1[[#This Row],[Tabela]],Table1[[#This Row],[Campo]]),'2. Status Detalhe Campos FY24'!A:J,9,FALSE)</f>
        <v>Fase I</v>
      </c>
      <c r="Y28" s="167"/>
    </row>
    <row r="29" spans="2:25" ht="17.899999999999999" customHeight="1">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6" t="str">
        <f>+VLOOKUP(CONCATENATE(Table1[[#This Row],[Tabela]],Table1[[#This Row],[Campo]]),'2. Status Detalhe Campos FY24'!A:J,9,FALSE)</f>
        <v>Fase I</v>
      </c>
      <c r="Y29" s="167"/>
    </row>
    <row r="30" spans="2:25" ht="17.899999999999999" customHeight="1">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6" t="str">
        <f>+VLOOKUP(CONCATENATE(Table1[[#This Row],[Tabela]],Table1[[#This Row],[Campo]]),'2. Status Detalhe Campos FY24'!A:J,9,FALSE)</f>
        <v>Fase I</v>
      </c>
      <c r="Y30" s="167"/>
    </row>
    <row r="31" spans="2:25" ht="17.899999999999999" customHeight="1">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6" t="str">
        <f>+VLOOKUP(CONCATENATE(Table1[[#This Row],[Tabela]],Table1[[#This Row],[Campo]]),'2. Status Detalhe Campos FY24'!A:J,9,FALSE)</f>
        <v>Fase I</v>
      </c>
      <c r="Y31" s="167"/>
    </row>
    <row r="32" spans="2:25" ht="17.899999999999999" customHeight="1">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6" t="str">
        <f>+VLOOKUP(CONCATENATE(Table1[[#This Row],[Tabela]],Table1[[#This Row],[Campo]]),'2. Status Detalhe Campos FY24'!A:J,9,FALSE)</f>
        <v>Fase I</v>
      </c>
      <c r="Y32" s="167"/>
    </row>
    <row r="33" spans="2:25" ht="17.899999999999999" customHeight="1">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6" t="str">
        <f>+VLOOKUP(CONCATENATE(Table1[[#This Row],[Tabela]],Table1[[#This Row],[Campo]]),'2. Status Detalhe Campos FY24'!A:J,9,FALSE)</f>
        <v>Fase I</v>
      </c>
      <c r="Y33" s="167"/>
    </row>
    <row r="34" spans="2:25" ht="17.899999999999999" customHeight="1">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6" t="str">
        <f>+VLOOKUP(CONCATENATE(Table1[[#This Row],[Tabela]],Table1[[#This Row],[Campo]]),'2. Status Detalhe Campos FY24'!A:J,9,FALSE)</f>
        <v>Fase I</v>
      </c>
      <c r="Y34" s="167"/>
    </row>
    <row r="35" spans="2:25" ht="17.899999999999999" customHeight="1">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6" t="str">
        <f>+VLOOKUP(CONCATENATE(Table1[[#This Row],[Tabela]],Table1[[#This Row],[Campo]]),'2. Status Detalhe Campos FY24'!A:J,9,FALSE)</f>
        <v>Fase I</v>
      </c>
      <c r="Y35" s="167"/>
    </row>
    <row r="36" spans="2:25" ht="17.899999999999999" customHeight="1">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6" t="str">
        <f>+VLOOKUP(CONCATENATE(Table1[[#This Row],[Tabela]],Table1[[#This Row],[Campo]]),'2. Status Detalhe Campos FY24'!A:J,9,FALSE)</f>
        <v>Fase I</v>
      </c>
      <c r="Y36" s="167"/>
    </row>
    <row r="37" spans="2:25" ht="17.899999999999999" customHeight="1">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6" t="str">
        <f>+VLOOKUP(CONCATENATE(Table1[[#This Row],[Tabela]],Table1[[#This Row],[Campo]]),'2. Status Detalhe Campos FY24'!A:J,9,FALSE)</f>
        <v>Fase I</v>
      </c>
      <c r="Y37" s="167"/>
    </row>
    <row r="38" spans="2:25" ht="17.899999999999999" customHeight="1">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6" t="str">
        <f>+VLOOKUP(CONCATENATE(Table1[[#This Row],[Tabela]],Table1[[#This Row],[Campo]]),'2. Status Detalhe Campos FY24'!A:J,9,FALSE)</f>
        <v>Fase I</v>
      </c>
      <c r="Y38" s="167"/>
    </row>
    <row r="39" spans="2:25" ht="17.899999999999999" customHeight="1">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6" t="str">
        <f>+VLOOKUP(CONCATENATE(Table1[[#This Row],[Tabela]],Table1[[#This Row],[Campo]]),'2. Status Detalhe Campos FY24'!A:J,9,FALSE)</f>
        <v>Fase I</v>
      </c>
      <c r="Y39" s="167"/>
    </row>
    <row r="40" spans="2:25" ht="17.899999999999999" customHeight="1">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6" t="str">
        <f>+VLOOKUP(CONCATENATE(Table1[[#This Row],[Tabela]],Table1[[#This Row],[Campo]]),'2. Status Detalhe Campos FY24'!A:J,9,FALSE)</f>
        <v>Fase I</v>
      </c>
      <c r="Y40" s="167"/>
    </row>
    <row r="41" spans="2:25" ht="17.899999999999999" customHeight="1">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6" t="str">
        <f>+VLOOKUP(CONCATENATE(Table1[[#This Row],[Tabela]],Table1[[#This Row],[Campo]]),'2. Status Detalhe Campos FY24'!A:J,9,FALSE)</f>
        <v>Fase I</v>
      </c>
      <c r="Y41" s="167"/>
    </row>
    <row r="42" spans="2:25" ht="17.899999999999999" customHeight="1">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6" t="str">
        <f>+VLOOKUP(CONCATENATE(Table1[[#This Row],[Tabela]],Table1[[#This Row],[Campo]]),'2. Status Detalhe Campos FY24'!A:J,9,FALSE)</f>
        <v>Fase I</v>
      </c>
      <c r="Y42" s="167"/>
    </row>
    <row r="43" spans="2:25" ht="17.899999999999999" customHeight="1">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6" t="str">
        <f>+VLOOKUP(CONCATENATE(Table1[[#This Row],[Tabela]],Table1[[#This Row],[Campo]]),'2. Status Detalhe Campos FY24'!A:J,9,FALSE)</f>
        <v>Fase I</v>
      </c>
      <c r="Y43" s="167"/>
    </row>
    <row r="44" spans="2:25" ht="17.899999999999999" customHeight="1">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6" t="str">
        <f>+VLOOKUP(CONCATENATE(Table1[[#This Row],[Tabela]],Table1[[#This Row],[Campo]]),'2. Status Detalhe Campos FY24'!A:J,9,FALSE)</f>
        <v>Fase I</v>
      </c>
      <c r="Y44" s="167"/>
    </row>
    <row r="45" spans="2:25" ht="17.899999999999999" customHeight="1">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6" t="str">
        <f>+VLOOKUP(CONCATENATE(Table1[[#This Row],[Tabela]],Table1[[#This Row],[Campo]]),'2. Status Detalhe Campos FY24'!A:J,9,FALSE)</f>
        <v>Fase I</v>
      </c>
      <c r="Y45" s="167"/>
    </row>
    <row r="46" spans="2:25" ht="17.899999999999999" customHeight="1">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6" t="str">
        <f>+VLOOKUP(CONCATENATE(Table1[[#This Row],[Tabela]],Table1[[#This Row],[Campo]]),'2. Status Detalhe Campos FY24'!A:J,9,FALSE)</f>
        <v>Fase I</v>
      </c>
      <c r="Y46" s="167"/>
    </row>
    <row r="47" spans="2:25" ht="17.899999999999999" customHeight="1">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6" t="str">
        <f>+VLOOKUP(CONCATENATE(Table1[[#This Row],[Tabela]],Table1[[#This Row],[Campo]]),'2. Status Detalhe Campos FY24'!A:J,9,FALSE)</f>
        <v>Fase I</v>
      </c>
      <c r="Y47" s="167"/>
    </row>
    <row r="48" spans="2:25" ht="17.899999999999999" customHeight="1">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6" t="str">
        <f>+VLOOKUP(CONCATENATE(Table1[[#This Row],[Tabela]],Table1[[#This Row],[Campo]]),'2. Status Detalhe Campos FY24'!A:J,9,FALSE)</f>
        <v>Fase I</v>
      </c>
      <c r="Y48" s="167"/>
    </row>
    <row r="49" spans="2:25" ht="17.899999999999999" customHeight="1">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6" t="str">
        <f>+VLOOKUP(CONCATENATE(Table1[[#This Row],[Tabela]],Table1[[#This Row],[Campo]]),'2. Status Detalhe Campos FY24'!A:J,9,FALSE)</f>
        <v>Fase I</v>
      </c>
      <c r="Y49" s="167"/>
    </row>
    <row r="50" spans="2:25" ht="17.899999999999999" customHeight="1">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6" t="str">
        <f>+VLOOKUP(CONCATENATE(Table1[[#This Row],[Tabela]],Table1[[#This Row],[Campo]]),'2. Status Detalhe Campos FY24'!A:J,9,FALSE)</f>
        <v>Fase I</v>
      </c>
      <c r="Y50" s="167"/>
    </row>
    <row r="51" spans="2:25" ht="17.899999999999999" customHeight="1">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6" t="str">
        <f>+VLOOKUP(CONCATENATE(Table1[[#This Row],[Tabela]],Table1[[#This Row],[Campo]]),'2. Status Detalhe Campos FY24'!A:J,9,FALSE)</f>
        <v>Fase I</v>
      </c>
      <c r="Y51" s="167"/>
    </row>
    <row r="52" spans="2:25" ht="17.899999999999999" customHeight="1">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6" t="str">
        <f>+VLOOKUP(CONCATENATE(Table1[[#This Row],[Tabela]],Table1[[#This Row],[Campo]]),'2. Status Detalhe Campos FY24'!A:J,9,FALSE)</f>
        <v>Fase I</v>
      </c>
      <c r="Y52" s="167"/>
    </row>
    <row r="53" spans="2:25" ht="17.899999999999999" customHeight="1">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6" t="str">
        <f>+VLOOKUP(CONCATENATE(Table1[[#This Row],[Tabela]],Table1[[#This Row],[Campo]]),'2. Status Detalhe Campos FY24'!A:J,9,FALSE)</f>
        <v>Fase I</v>
      </c>
      <c r="Y53" s="167"/>
    </row>
    <row r="54" spans="2:25" ht="17.899999999999999" customHeight="1">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6" t="str">
        <f>+VLOOKUP(CONCATENATE(Table1[[#This Row],[Tabela]],Table1[[#This Row],[Campo]]),'2. Status Detalhe Campos FY24'!A:J,9,FALSE)</f>
        <v>Fase I</v>
      </c>
      <c r="Y54" s="167"/>
    </row>
    <row r="55" spans="2:25" ht="17.899999999999999" customHeight="1">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6" t="str">
        <f>+VLOOKUP(CONCATENATE(Table1[[#This Row],[Tabela]],Table1[[#This Row],[Campo]]),'2. Status Detalhe Campos FY24'!A:J,9,FALSE)</f>
        <v>Fase I</v>
      </c>
      <c r="Y55" s="167"/>
    </row>
    <row r="56" spans="2:25" ht="17.899999999999999" customHeight="1">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99999999999999" customHeight="1">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99999999999999" customHeight="1">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99999999999999" customHeight="1">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99999999999999" customHeight="1">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99999999999999" customHeight="1">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99999999999999" customHeight="1">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99999999999999" customHeight="1">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99999999999999" customHeight="1">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99999999999999" customHeight="1">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99999999999999" customHeight="1">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99999999999999" customHeight="1">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99999999999999" customHeight="1">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99999999999999" customHeight="1">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99999999999999" customHeight="1">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99999999999999" customHeight="1">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99999999999999" customHeight="1">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99999999999999" customHeight="1">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99999999999999" customHeight="1">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99999999999999" customHeight="1">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99999999999999" customHeight="1">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99999999999999" customHeight="1">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99999999999999" customHeight="1">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99999999999999" customHeight="1">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99999999999999" customHeight="1">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99999999999999" customHeight="1">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99999999999999" customHeight="1">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99999999999999" customHeight="1">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99999999999999" customHeight="1">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99999999999999" customHeight="1">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99999999999999" customHeight="1">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99999999999999" customHeight="1">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99999999999999" customHeight="1">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99999999999999" customHeight="1">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99999999999999" customHeight="1">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99999999999999" customHeight="1">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99999999999999" customHeight="1">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99999999999999" customHeight="1">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99999999999999" customHeight="1">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99999999999999" customHeight="1">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99999999999999" customHeight="1">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99999999999999" customHeight="1">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99999999999999" customHeight="1">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99999999999999" customHeight="1">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4"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99999999999999"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99999999999999"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99999999999999"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99999999999999"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99999999999999"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99999999999999"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99999999999999"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99999999999999"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99999999999999"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99999999999999"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99999999999999"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99999999999999"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99999999999999"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99999999999999"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99999999999999"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99999999999999"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99999999999999"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99999999999999"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99999999999999"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99999999999999"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99999999999999"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5"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99999999999999"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99999999999999"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99999999999999"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99999999999999"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99999999999999"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99999999999999"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99999999999999"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99999999999999"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99999999999999"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99999999999999"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99999999999999"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99999999999999"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99999999999999"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99999999999999"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99999999999999"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99999999999999"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99999999999999"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99999999999999"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99999999999999"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99999999999999"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99999999999999"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99999999999999"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99999999999999"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99999999999999"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99999999999999"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99999999999999"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99999999999999"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99999999999999"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99999999999999"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99999999999999"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99999999999999"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99999999999999"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99999999999999"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99999999999999"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99999999999999"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99999999999999"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99999999999999"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99999999999999"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99999999999999"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99999999999999"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99999999999999"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99999999999999"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99999999999999"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99999999999999"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99999999999999"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99999999999999"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99999999999999"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99999999999999"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99999999999999"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99999999999999"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99999999999999"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99999999999999"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99999999999999"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99999999999999"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99999999999999"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99999999999999"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99999999999999"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99999999999999"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99999999999999"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99999999999999"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99999999999999"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99999999999999"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99999999999999"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99999999999999"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99999999999999"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99999999999999"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99999999999999"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99999999999999"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99999999999999"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99999999999999" customHeight="1">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99999999999999" customHeight="1">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99999999999999" customHeight="1">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650000000000006"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99999999999999"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99999999999999"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99999999999999"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99999999999999"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99999999999999"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99999999999999"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99999999999999"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99999999999999"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99999999999999"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99999999999999"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99999999999999"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99999999999999"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99999999999999"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99999999999999"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99999999999999"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99999999999999"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99999999999999"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99999999999999"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99999999999999"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99999999999999"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99999999999999"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99999999999999"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99999999999999"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99999999999999"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99999999999999"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99999999999999"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99999999999999"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99999999999999" customHeight="1">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6">
        <f>+VLOOKUP(CONCATENATE(Table1[[#This Row],[Tabela]],Table1[[#This Row],[Campo]]),'2. Status Detalhe Campos FY24'!A:J,9,FALSE)</f>
        <v>0</v>
      </c>
    </row>
    <row r="225" spans="2:24" ht="17.899999999999999" customHeight="1">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6">
        <f>+VLOOKUP(CONCATENATE(Table1[[#This Row],[Tabela]],Table1[[#This Row],[Campo]]),'2. Status Detalhe Campos FY24'!A:J,9,FALSE)</f>
        <v>0</v>
      </c>
    </row>
    <row r="226" spans="2:24" ht="17.899999999999999" customHeight="1">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6">
        <f>+VLOOKUP(CONCATENATE(Table1[[#This Row],[Tabela]],Table1[[#This Row],[Campo]]),'2. Status Detalhe Campos FY24'!A:J,9,FALSE)</f>
        <v>0</v>
      </c>
    </row>
    <row r="227" spans="2:24" ht="17.899999999999999"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99999999999999"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99999999999999"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99999999999999"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99999999999999"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99999999999999"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99999999999999"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99999999999999"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99999999999999"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99999999999999"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99999999999999"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99999999999999"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99999999999999"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99999999999999"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99999999999999"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99999999999999"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99999999999999"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99999999999999"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99999999999999" customHeight="1">
      <c r="B245" s="2" t="s">
        <v>26</v>
      </c>
      <c r="C245" s="2" t="s">
        <v>54</v>
      </c>
      <c r="D245" s="2" t="s">
        <v>124</v>
      </c>
      <c r="E245" s="2" t="s">
        <v>38</v>
      </c>
      <c r="F245" s="2" t="s">
        <v>123</v>
      </c>
      <c r="G245" s="2" t="s">
        <v>135</v>
      </c>
      <c r="H245" s="56" t="str">
        <f>Table1[[#This Row],[Tabela]]&amp;Table1[[#This Row],[Campo]]</f>
        <v>PROPERTY_ENERGY_CERTIFICATEEP_SCORE</v>
      </c>
      <c r="I245" s="2" t="s">
        <v>2320</v>
      </c>
      <c r="J245" s="42">
        <f>VLOOKUP(Table1[[#This Row],[Status]],Auxiliar!$B$16:$C$24,2,0)</f>
        <v>7</v>
      </c>
      <c r="K245" s="2" t="s">
        <v>1168</v>
      </c>
      <c r="L245" s="28" t="s">
        <v>1166</v>
      </c>
      <c r="M245" s="20" t="s">
        <v>1175</v>
      </c>
      <c r="N245" s="47">
        <v>45723</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6">
        <f>+VLOOKUP(CONCATENATE(Table1[[#This Row],[Tabela]],Table1[[#This Row],[Campo]]),'2. Status Detalhe Campos FY24'!A:J,9,FALSE)</f>
        <v>0</v>
      </c>
    </row>
    <row r="246" spans="2:24" ht="17.899999999999999" customHeight="1">
      <c r="B246" s="2" t="s">
        <v>26</v>
      </c>
      <c r="C246" s="2" t="s">
        <v>54</v>
      </c>
      <c r="D246" s="2" t="s">
        <v>124</v>
      </c>
      <c r="E246" s="2" t="s">
        <v>38</v>
      </c>
      <c r="F246" s="2" t="s">
        <v>123</v>
      </c>
      <c r="G246" s="2" t="s">
        <v>135</v>
      </c>
      <c r="H246" s="56" t="str">
        <f>Table1[[#This Row],[Tabela]]&amp;Table1[[#This Row],[Campo]]</f>
        <v>PROPERTY_ENERGY_CERTIFICATEEP_SCORE</v>
      </c>
      <c r="I246" s="2" t="s">
        <v>2320</v>
      </c>
      <c r="J246" s="42">
        <f>VLOOKUP(Table1[[#This Row],[Status]],Auxiliar!$B$16:$C$24,2,0)</f>
        <v>7</v>
      </c>
      <c r="K246" s="2" t="s">
        <v>1169</v>
      </c>
      <c r="L246" s="28" t="s">
        <v>1166</v>
      </c>
      <c r="M246" s="20" t="s">
        <v>1175</v>
      </c>
      <c r="N246" s="47">
        <v>45723</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6">
        <f>+VLOOKUP(CONCATENATE(Table1[[#This Row],[Tabela]],Table1[[#This Row],[Campo]]),'2. Status Detalhe Campos FY24'!A:J,9,FALSE)</f>
        <v>0</v>
      </c>
    </row>
    <row r="247" spans="2:24" ht="17.899999999999999" customHeight="1">
      <c r="B247" s="2" t="s">
        <v>26</v>
      </c>
      <c r="C247" s="2" t="s">
        <v>54</v>
      </c>
      <c r="D247" s="2" t="s">
        <v>124</v>
      </c>
      <c r="E247" s="2" t="s">
        <v>38</v>
      </c>
      <c r="F247" s="2" t="s">
        <v>123</v>
      </c>
      <c r="G247" s="2" t="s">
        <v>135</v>
      </c>
      <c r="H247" s="56" t="str">
        <f>Table1[[#This Row],[Tabela]]&amp;Table1[[#This Row],[Campo]]</f>
        <v>PROPERTY_ENERGY_CERTIFICATEEP_SCORE</v>
      </c>
      <c r="I247" s="2" t="s">
        <v>2320</v>
      </c>
      <c r="J247" s="42">
        <f>VLOOKUP(Table1[[#This Row],[Status]],Auxiliar!$B$16:$C$24,2,0)</f>
        <v>7</v>
      </c>
      <c r="K247" s="2" t="s">
        <v>1171</v>
      </c>
      <c r="L247" s="28" t="s">
        <v>1166</v>
      </c>
      <c r="M247" s="20" t="s">
        <v>1175</v>
      </c>
      <c r="N247" s="47">
        <v>45723</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6">
        <f>+VLOOKUP(CONCATENATE(Table1[[#This Row],[Tabela]],Table1[[#This Row],[Campo]]),'2. Status Detalhe Campos FY24'!A:J,9,FALSE)</f>
        <v>0</v>
      </c>
    </row>
    <row r="248" spans="2:24" ht="17.899999999999999"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99999999999999"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99999999999999"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99999999999999"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99999999999999"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99999999999999"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99999999999999"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99999999999999"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99999999999999"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99999999999999"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99999999999999"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99999999999999"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99999999999999"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99999999999999"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99999999999999"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99999999999999"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99999999999999"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99999999999999"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99999999999999" customHeight="1">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99999999999999"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99999999999999"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99999999999999"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99999999999999"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99999999999999"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99999999999999"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99999999999999"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99999999999999"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99999999999999"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99999999999999"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99999999999999"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99999999999999"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99999999999999"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99999999999999"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99999999999999"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99999999999999"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99999999999999"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99999999999999"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99999999999999"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99999999999999"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99999999999999"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99999999999999"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99999999999999"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99999999999999"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99999999999999"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2320</v>
      </c>
      <c r="J291" s="42">
        <f>VLOOKUP(Table1[[#This Row],[Status]],Auxiliar!$B$16:$C$24,2,0)</f>
        <v>7</v>
      </c>
      <c r="K291" s="2" t="s">
        <v>1168</v>
      </c>
      <c r="L291" s="28" t="s">
        <v>1166</v>
      </c>
      <c r="M291" s="20" t="s">
        <v>1175</v>
      </c>
      <c r="N291" s="47">
        <v>45723</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166">
        <f>+VLOOKUP(CONCATENATE(Table1[[#This Row],[Tabela]],Table1[[#This Row],[Campo]]),'2. Status Detalhe Campos FY24'!A:J,9,FALSE)</f>
        <v>0</v>
      </c>
    </row>
    <row r="292" spans="2:24" ht="17.899999999999999"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2320</v>
      </c>
      <c r="J292" s="42">
        <f>VLOOKUP(Table1[[#This Row],[Status]],Auxiliar!$B$16:$C$24,2,0)</f>
        <v>7</v>
      </c>
      <c r="K292" s="2" t="s">
        <v>1169</v>
      </c>
      <c r="L292" s="28" t="s">
        <v>1166</v>
      </c>
      <c r="M292" s="20" t="s">
        <v>1175</v>
      </c>
      <c r="N292" s="47">
        <v>45723</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0.5</v>
      </c>
      <c r="X292" s="166">
        <f>+VLOOKUP(CONCATENATE(Table1[[#This Row],[Tabela]],Table1[[#This Row],[Campo]]),'2. Status Detalhe Campos FY24'!A:J,9,FALSE)</f>
        <v>0</v>
      </c>
    </row>
    <row r="293" spans="2:24" ht="17.899999999999999"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2320</v>
      </c>
      <c r="J293" s="42">
        <f>VLOOKUP(Table1[[#This Row],[Status]],Auxiliar!$B$16:$C$24,2,0)</f>
        <v>7</v>
      </c>
      <c r="K293" s="2" t="s">
        <v>1171</v>
      </c>
      <c r="L293" s="28" t="s">
        <v>1166</v>
      </c>
      <c r="M293" s="20" t="s">
        <v>1175</v>
      </c>
      <c r="N293" s="47">
        <v>45723</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2.5000000000000001E-2</v>
      </c>
      <c r="X293" s="166">
        <f>+VLOOKUP(CONCATENATE(Table1[[#This Row],[Tabela]],Table1[[#This Row],[Campo]]),'2. Status Detalhe Campos FY24'!A:J,9,FALSE)</f>
        <v>0</v>
      </c>
    </row>
    <row r="294" spans="2:24" ht="17.899999999999999" customHeight="1">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6">
        <f>+VLOOKUP(CONCATENATE(Table1[[#This Row],[Tabela]],Table1[[#This Row],[Campo]]),'2. Status Detalhe Campos FY24'!A:J,9,FALSE)</f>
        <v>0</v>
      </c>
    </row>
    <row r="295" spans="2:24" ht="17.899999999999999"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99999999999999"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99999999999999"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99999999999999"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99999999999999"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99999999999999"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99999999999999"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99999999999999"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99999999999999"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99999999999999"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99999999999999"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99999999999999"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99999999999999"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99999999999999"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99999999999999"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99999999999999"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99999999999999"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99999999999999"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99999999999999"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99999999999999"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99999999999999"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99999999999999"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99999999999999"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99999999999999"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2319</v>
      </c>
      <c r="J318" s="42">
        <f>VLOOKUP(Table1[[#This Row],[Status]],Auxiliar!$B$16:$C$24,2,0)</f>
        <v>3</v>
      </c>
      <c r="K318" s="2" t="s">
        <v>1168</v>
      </c>
      <c r="L318" s="28" t="s">
        <v>1166</v>
      </c>
      <c r="M318" s="20" t="s">
        <v>1175</v>
      </c>
      <c r="N318" s="47">
        <v>45723</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99999999999999"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2319</v>
      </c>
      <c r="J319" s="42">
        <f>VLOOKUP(Table1[[#This Row],[Status]],Auxiliar!$B$16:$C$24,2,0)</f>
        <v>3</v>
      </c>
      <c r="K319" s="2" t="s">
        <v>1169</v>
      </c>
      <c r="L319" s="28" t="s">
        <v>1166</v>
      </c>
      <c r="M319" s="20" t="s">
        <v>1175</v>
      </c>
      <c r="N319" s="47">
        <v>45723</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99999999999999" customHeight="1">
      <c r="B320" s="2" t="s">
        <v>26</v>
      </c>
      <c r="C320" s="2" t="s">
        <v>54</v>
      </c>
      <c r="D320" s="2" t="s">
        <v>124</v>
      </c>
      <c r="E320" s="2" t="s">
        <v>38</v>
      </c>
      <c r="F320" s="2" t="s">
        <v>123</v>
      </c>
      <c r="G320" s="2" t="s">
        <v>52</v>
      </c>
      <c r="H320" s="56" t="str">
        <f>Table1[[#This Row],[Tabela]]&amp;Table1[[#This Row],[Campo]]</f>
        <v>PROPERTY_ENERGY_CERTIFICATECARBON_EMISSION_VALUE_YEAR</v>
      </c>
      <c r="I320" s="2" t="s">
        <v>2319</v>
      </c>
      <c r="J320" s="42">
        <f>VLOOKUP(Table1[[#This Row],[Status]],Auxiliar!$B$16:$C$24,2,0)</f>
        <v>3</v>
      </c>
      <c r="K320" s="2" t="s">
        <v>1171</v>
      </c>
      <c r="L320" s="28" t="s">
        <v>1166</v>
      </c>
      <c r="M320" s="20" t="s">
        <v>1175</v>
      </c>
      <c r="N320" s="47">
        <v>45723</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99999999999999"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99999999999999"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99999999999999"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99999999999999"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99999999999999"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99999999999999"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99999999999999"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99999999999999"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99999999999999"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99999999999999"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99999999999999"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99999999999999"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99999999999999"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99999999999999"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99999999999999"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99999999999999"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99999999999999"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99999999999999"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99999999999999"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99999999999999"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99999999999999"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99999999999999"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99999999999999"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99999999999999"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99999999999999"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99999999999999"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99999999999999"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99999999999999"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99999999999999"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99999999999999"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99999999999999"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99999999999999"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99999999999999"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99999999999999"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99999999999999"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99999999999999"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99999999999999"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99999999999999"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99999999999999"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99999999999999"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99999999999999"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99999999999999"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99999999999999"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99999999999999"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99999999999999"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99999999999999"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99999999999999"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99999999999999"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99999999999999"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99999999999999"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99999999999999"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99999999999999"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99999999999999"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99999999999999"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99999999999999"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99999999999999"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99999999999999"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99999999999999"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99999999999999"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99999999999999"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99999999999999"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99999999999999"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99999999999999"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99999999999999"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99999999999999"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99999999999999"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99999999999999"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99999999999999"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99999999999999"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99999999999999"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99999999999999"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99999999999999"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99999999999999"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99999999999999"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99999999999999"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99999999999999"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99999999999999"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99999999999999"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99999999999999"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99999999999999"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99999999999999"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99999999999999"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99999999999999"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99999999999999"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99999999999999"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99999999999999"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99999999999999"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99999999999999"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99999999999999"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99999999999999"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99999999999999"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99999999999999"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99999999999999"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99999999999999" customHeight="1">
      <c r="B414" s="2" t="s">
        <v>26</v>
      </c>
      <c r="C414" s="2" t="s">
        <v>54</v>
      </c>
      <c r="D414" s="2" t="s">
        <v>124</v>
      </c>
      <c r="E414" s="2" t="s">
        <v>38</v>
      </c>
      <c r="F414" s="2" t="s">
        <v>123</v>
      </c>
      <c r="G414" s="2" t="s">
        <v>1958</v>
      </c>
      <c r="H414" s="56" t="str">
        <f>Table1[[#This Row],[Tabela]]&amp;Table1[[#This Row],[Campo]]</f>
        <v>PROPERTY_ENERGY_CERTIFICATECURRENT_ENERGY_RATING_PERCENTAGE</v>
      </c>
      <c r="I414" s="2" t="s">
        <v>2320</v>
      </c>
      <c r="J414" s="42">
        <f>VLOOKUP(Table1[[#This Row],[Status]],Auxiliar!$B$16:$C$24,2,0)</f>
        <v>7</v>
      </c>
      <c r="K414" s="2" t="s">
        <v>1168</v>
      </c>
      <c r="L414" s="28" t="s">
        <v>1166</v>
      </c>
      <c r="M414" s="20" t="s">
        <v>1175</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0.5</v>
      </c>
      <c r="X414" s="166">
        <f>+VLOOKUP(CONCATENATE(Table1[[#This Row],[Tabela]],Table1[[#This Row],[Campo]]),'2. Status Detalhe Campos FY24'!A:J,9,FALSE)</f>
        <v>0</v>
      </c>
    </row>
    <row r="415" spans="2:24" ht="17.899999999999999" customHeight="1">
      <c r="B415" s="2" t="s">
        <v>26</v>
      </c>
      <c r="C415" s="2" t="s">
        <v>54</v>
      </c>
      <c r="D415" s="2" t="s">
        <v>124</v>
      </c>
      <c r="E415" s="2" t="s">
        <v>38</v>
      </c>
      <c r="F415" s="2" t="s">
        <v>123</v>
      </c>
      <c r="G415" s="2" t="s">
        <v>1958</v>
      </c>
      <c r="H415" s="56" t="str">
        <f>Table1[[#This Row],[Tabela]]&amp;Table1[[#This Row],[Campo]]</f>
        <v>PROPERTY_ENERGY_CERTIFICATECURRENT_ENERGY_RATING_PERCENTAGE</v>
      </c>
      <c r="I415" s="2" t="s">
        <v>2320</v>
      </c>
      <c r="J415" s="42">
        <f>VLOOKUP(Table1[[#This Row],[Status]],Auxiliar!$B$16:$C$24,2,0)</f>
        <v>7</v>
      </c>
      <c r="K415" s="2" t="s">
        <v>1169</v>
      </c>
      <c r="L415" s="28" t="s">
        <v>1166</v>
      </c>
      <c r="M415" s="20" t="s">
        <v>1175</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0.5</v>
      </c>
      <c r="X415" s="166">
        <f>+VLOOKUP(CONCATENATE(Table1[[#This Row],[Tabela]],Table1[[#This Row],[Campo]]),'2. Status Detalhe Campos FY24'!A:J,9,FALSE)</f>
        <v>0</v>
      </c>
    </row>
    <row r="416" spans="2:24" ht="17.899999999999999" customHeight="1">
      <c r="B416" s="2" t="s">
        <v>26</v>
      </c>
      <c r="C416" s="2" t="s">
        <v>54</v>
      </c>
      <c r="D416" s="2" t="s">
        <v>124</v>
      </c>
      <c r="E416" s="2" t="s">
        <v>38</v>
      </c>
      <c r="F416" s="2" t="s">
        <v>123</v>
      </c>
      <c r="G416" s="64" t="s">
        <v>2431</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99999999999999" customHeight="1">
      <c r="B417" s="2" t="s">
        <v>26</v>
      </c>
      <c r="C417" s="2" t="s">
        <v>54</v>
      </c>
      <c r="D417" s="2" t="s">
        <v>124</v>
      </c>
      <c r="E417" s="2" t="s">
        <v>38</v>
      </c>
      <c r="F417" s="2" t="s">
        <v>123</v>
      </c>
      <c r="G417" s="64" t="s">
        <v>2432</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650000000000006" customHeight="1">
      <c r="B418" s="2" t="s">
        <v>26</v>
      </c>
      <c r="C418" s="2" t="s">
        <v>54</v>
      </c>
      <c r="D418" s="2" t="s">
        <v>124</v>
      </c>
      <c r="E418" s="2" t="s">
        <v>38</v>
      </c>
      <c r="F418" s="2" t="s">
        <v>123</v>
      </c>
      <c r="G418" s="2" t="s">
        <v>1958</v>
      </c>
      <c r="H418" s="56" t="str">
        <f>Table1[[#This Row],[Tabela]]&amp;Table1[[#This Row],[Campo]]</f>
        <v>PROPERTY_ENERGY_CERTIFICATECURRENT_ENERGY_RATING_PERCENTAGE</v>
      </c>
      <c r="I418" s="2" t="s">
        <v>2320</v>
      </c>
      <c r="J418" s="42">
        <f>VLOOKUP(Table1[[#This Row],[Status]],Auxiliar!$B$16:$C$24,2,0)</f>
        <v>7</v>
      </c>
      <c r="K418" s="2" t="s">
        <v>1171</v>
      </c>
      <c r="L418" s="28" t="s">
        <v>1166</v>
      </c>
      <c r="M418" s="20" t="s">
        <v>1175</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2.5000000000000001E-2</v>
      </c>
      <c r="X418" s="166">
        <f>+VLOOKUP(CONCATENATE(Table1[[#This Row],[Tabela]],Table1[[#This Row],[Campo]]),'2. Status Detalhe Campos FY24'!A:J,9,FALSE)</f>
        <v>0</v>
      </c>
    </row>
    <row r="419" spans="2:24" ht="17.899999999999999"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99999999999999"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99999999999999"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99999999999999"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99999999999999"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99999999999999"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99999999999999"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99999999999999"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99999999999999"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99999999999999"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99999999999999"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99999999999999"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99999999999999"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99999999999999"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99999999999999"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99999999999999"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99999999999999"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99999999999999"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99999999999999"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99999999999999"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99999999999999"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99999999999999"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99999999999999"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99999999999999"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99999999999999"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99999999999999"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99999999999999"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99999999999999"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99999999999999"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99999999999999"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99999999999999"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99999999999999"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99999999999999"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99999999999999"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99999999999999"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99999999999999"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99999999999999"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99999999999999"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99999999999999"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99999999999999"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99999999999999"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99999999999999"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99999999999999"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99999999999999"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99999999999999"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99999999999999"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650000000000006"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99999999999999"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99999999999999"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99999999999999"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99999999999999"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99999999999999"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99999999999999"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99999999999999"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99999999999999"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99999999999999"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99999999999999"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99999999999999"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99999999999999"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99999999999999"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99999999999999"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99999999999999"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99999999999999"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99999999999999"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99999999999999"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99999999999999"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99999999999999"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99999999999999"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99999999999999"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99999999999999"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99999999999999"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99999999999999"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99999999999999"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99999999999999"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99999999999999"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99999999999999"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99999999999999"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99999999999999"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99999999999999"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99999999999999"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99999999999999"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99999999999999"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99999999999999"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99999999999999"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99999999999999"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99999999999999"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99999999999999"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99999999999999"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99999999999999" customHeight="1">
      <c r="B507" s="2" t="s">
        <v>26</v>
      </c>
      <c r="C507" s="2" t="s">
        <v>54</v>
      </c>
      <c r="D507" s="2" t="s">
        <v>38</v>
      </c>
      <c r="E507" s="2" t="s">
        <v>38</v>
      </c>
      <c r="F507" s="2" t="s">
        <v>74</v>
      </c>
      <c r="G507" s="2" t="s">
        <v>2444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99999999999999" customHeight="1">
      <c r="B508" s="2" t="s">
        <v>26</v>
      </c>
      <c r="C508" s="2" t="s">
        <v>54</v>
      </c>
      <c r="D508" s="2" t="s">
        <v>38</v>
      </c>
      <c r="E508" s="2" t="s">
        <v>38</v>
      </c>
      <c r="F508" s="2" t="s">
        <v>74</v>
      </c>
      <c r="G508" s="2" t="s">
        <v>2444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99999999999999" customHeight="1">
      <c r="B509" s="2" t="s">
        <v>26</v>
      </c>
      <c r="C509" s="2" t="s">
        <v>54</v>
      </c>
      <c r="D509" s="2" t="s">
        <v>38</v>
      </c>
      <c r="E509" s="2" t="s">
        <v>38</v>
      </c>
      <c r="F509" s="2" t="s">
        <v>74</v>
      </c>
      <c r="G509" s="2" t="s">
        <v>2444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99999999999999" customHeight="1">
      <c r="B510" s="2" t="s">
        <v>26</v>
      </c>
      <c r="C510" s="2" t="s">
        <v>54</v>
      </c>
      <c r="D510" s="2" t="s">
        <v>38</v>
      </c>
      <c r="E510" s="2" t="s">
        <v>38</v>
      </c>
      <c r="F510" s="2" t="s">
        <v>74</v>
      </c>
      <c r="G510" s="2" t="s">
        <v>2445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99999999999999" customHeight="1">
      <c r="B511" s="2" t="s">
        <v>26</v>
      </c>
      <c r="C511" s="2" t="s">
        <v>54</v>
      </c>
      <c r="D511" s="2" t="s">
        <v>38</v>
      </c>
      <c r="E511" s="2" t="s">
        <v>38</v>
      </c>
      <c r="F511" s="2" t="s">
        <v>74</v>
      </c>
      <c r="G511" s="2" t="s">
        <v>2445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99999999999999" customHeight="1">
      <c r="B512" s="2" t="s">
        <v>26</v>
      </c>
      <c r="C512" s="2" t="s">
        <v>54</v>
      </c>
      <c r="D512" s="2" t="s">
        <v>38</v>
      </c>
      <c r="E512" s="2" t="s">
        <v>38</v>
      </c>
      <c r="F512" s="2" t="s">
        <v>74</v>
      </c>
      <c r="G512" s="2" t="s">
        <v>2445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99999999999999"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99999999999999"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99999999999999"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99999999999999"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99999999999999"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99999999999999"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99999999999999"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650000000000006"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99999999999999"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99999999999999"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99999999999999"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99999999999999"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99999999999999"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99999999999999"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99999999999999"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99999999999999"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99999999999999"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99999999999999"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99999999999999"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99999999999999"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99999999999999"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99999999999999"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99999999999999"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99999999999999"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99999999999999"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99999999999999"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99999999999999"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99999999999999"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99999999999999"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99999999999999"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99999999999999"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99999999999999"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99999999999999"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99999999999999"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99999999999999"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99999999999999"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99999999999999"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99999999999999"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99999999999999"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99999999999999"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99999999999999"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99999999999999"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99999999999999"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99999999999999"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99999999999999"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99999999999999"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99999999999999"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99999999999999"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99999999999999"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99999999999999"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99999999999999"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5"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99999999999999"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99999999999999"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99999999999999"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99999999999999"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99999999999999"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99999999999999"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99999999999999"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99999999999999"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99999999999999"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99999999999999"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99999999999999"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99999999999999"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99999999999999"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99999999999999" customHeight="1">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6">
        <f>+VLOOKUP(CONCATENATE(Table1[[#This Row],[Tabela]],Table1[[#This Row],[Campo]]),'2. Status Detalhe Campos FY24'!A:J,9,FALSE)</f>
        <v>0</v>
      </c>
    </row>
    <row r="579" spans="2:24" ht="17.899999999999999" customHeight="1">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6">
        <f>+VLOOKUP(CONCATENATE(Table1[[#This Row],[Tabela]],Table1[[#This Row],[Campo]]),'2. Status Detalhe Campos FY24'!A:J,9,FALSE)</f>
        <v>0</v>
      </c>
    </row>
    <row r="580" spans="2:24" ht="17.899999999999999" customHeight="1">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6">
        <f>+VLOOKUP(CONCATENATE(Table1[[#This Row],[Tabela]],Table1[[#This Row],[Campo]]),'2. Status Detalhe Campos FY24'!A:J,9,FALSE)</f>
        <v>0</v>
      </c>
    </row>
    <row r="581" spans="2:24" ht="17.899999999999999" customHeight="1">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6">
        <f>+VLOOKUP(CONCATENATE(Table1[[#This Row],[Tabela]],Table1[[#This Row],[Campo]]),'2. Status Detalhe Campos FY24'!A:J,9,FALSE)</f>
        <v>0</v>
      </c>
    </row>
    <row r="582" spans="2:24" ht="17.899999999999999" customHeight="1">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6">
        <f>+VLOOKUP(CONCATENATE(Table1[[#This Row],[Tabela]],Table1[[#This Row],[Campo]]),'2. Status Detalhe Campos FY24'!A:J,9,FALSE)</f>
        <v>0</v>
      </c>
    </row>
    <row r="583" spans="2:24" ht="52.4" customHeight="1">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6">
        <f>+VLOOKUP(CONCATENATE(Table1[[#This Row],[Tabela]],Table1[[#This Row],[Campo]]),'2. Status Detalhe Campos FY24'!A:J,9,FALSE)</f>
        <v>0</v>
      </c>
    </row>
    <row r="584" spans="2:24" ht="52.4" customHeight="1">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6">
        <f>+VLOOKUP(CONCATENATE(Table1[[#This Row],[Tabela]],Table1[[#This Row],[Campo]]),'2. Status Detalhe Campos FY24'!A:J,9,FALSE)</f>
        <v>0</v>
      </c>
    </row>
    <row r="585" spans="2:24" ht="52.4" customHeight="1">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6">
        <f>+VLOOKUP(CONCATENATE(Table1[[#This Row],[Tabela]],Table1[[#This Row],[Campo]]),'2. Status Detalhe Campos FY24'!A:J,9,FALSE)</f>
        <v>0</v>
      </c>
    </row>
    <row r="586" spans="2:24" ht="52.4" customHeight="1">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6">
        <f>+VLOOKUP(CONCATENATE(Table1[[#This Row],[Tabela]],Table1[[#This Row],[Campo]]),'2. Status Detalhe Campos FY24'!A:J,9,FALSE)</f>
        <v>0</v>
      </c>
    </row>
    <row r="587" spans="2:24" ht="52.4" customHeight="1">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6">
        <f>+VLOOKUP(CONCATENATE(Table1[[#This Row],[Tabela]],Table1[[#This Row],[Campo]]),'2. Status Detalhe Campos FY24'!A:J,9,FALSE)</f>
        <v>0</v>
      </c>
    </row>
    <row r="588" spans="2:24" ht="52.4" customHeight="1">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6">
        <f>+VLOOKUP(CONCATENATE(Table1[[#This Row],[Tabela]],Table1[[#This Row],[Campo]]),'2. Status Detalhe Campos FY24'!A:J,9,FALSE)</f>
        <v>0</v>
      </c>
    </row>
    <row r="589" spans="2:24" ht="52.4" customHeight="1">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6">
        <f>+VLOOKUP(CONCATENATE(Table1[[#This Row],[Tabela]],Table1[[#This Row],[Campo]]),'2. Status Detalhe Campos FY24'!A:J,9,FALSE)</f>
        <v>0</v>
      </c>
    </row>
    <row r="590" spans="2:24" ht="52.4"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4"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4"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4"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4"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4"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4"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4"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99999999999999"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99999999999999"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99999999999999"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650000000000006"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650000000000006"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650000000000006"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650000000000006"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650000000000006"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650000000000006"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99999999999999"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99999999999999"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99999999999999"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4"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4"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4"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4"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4"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4"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4"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4"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4"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49999999999999"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99999999999999"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99999999999999"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99999999999999"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99999999999999"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99999999999999"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99999999999999"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99999999999999"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99999999999999"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99999999999999"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99999999999999"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99999999999999"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99999999999999"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99999999999999"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99999999999999"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99999999999999"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99999999999999"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99999999999999"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99999999999999"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99999999999999"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99999999999999"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99999999999999"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99999999999999"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99999999999999"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99999999999999"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99999999999999"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99999999999999"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99999999999999"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99999999999999"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99999999999999"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99999999999999"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99999999999999"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99999999999999"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99999999999999"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99999999999999"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99999999999999"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99999999999999"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99999999999999"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99999999999999"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99999999999999"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99999999999999"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99999999999999"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99999999999999"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99999999999999"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99999999999999"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99999999999999"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99999999999999"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99999999999999"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99999999999999"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99999999999999"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99999999999999"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99999999999999"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99999999999999"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99999999999999"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99999999999999"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99999999999999"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99999999999999"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99999999999999"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99999999999999"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99999999999999"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99999999999999"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99999999999999"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99999999999999"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99999999999999"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99999999999999" customHeight="1">
      <c r="B683" s="2" t="s">
        <v>26</v>
      </c>
      <c r="C683" s="2" t="s">
        <v>310</v>
      </c>
      <c r="D683" s="2" t="s">
        <v>326</v>
      </c>
      <c r="E683" s="2" t="s">
        <v>38</v>
      </c>
      <c r="F683" s="2" t="s">
        <v>325</v>
      </c>
      <c r="G683" s="2" t="s">
        <v>281</v>
      </c>
      <c r="H683" s="56" t="str">
        <f>Table1[[#This Row],[Tabela]]&amp;Table1[[#This Row],[Campo]]</f>
        <v>modesg_out_empr_info_nfincod_nace_esg</v>
      </c>
      <c r="I683" s="2" t="s">
        <v>1840</v>
      </c>
      <c r="J683" s="42">
        <f>VLOOKUP(Table1[[#This Row],[Status]],Auxiliar!$B$16:$C$24,2,0)</f>
        <v>2</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4</v>
      </c>
      <c r="X683" s="166">
        <f>+VLOOKUP(CONCATENATE(Table1[[#This Row],[Tabela]],Table1[[#This Row],[Campo]]),'2. Status Detalhe Campos FY24'!A:J,9,FALSE)</f>
        <v>0</v>
      </c>
    </row>
    <row r="684" spans="2:24" ht="17.899999999999999" customHeight="1">
      <c r="B684" s="2" t="s">
        <v>26</v>
      </c>
      <c r="C684" s="2" t="s">
        <v>310</v>
      </c>
      <c r="D684" s="2" t="s">
        <v>326</v>
      </c>
      <c r="E684" s="2" t="s">
        <v>38</v>
      </c>
      <c r="F684" s="2" t="s">
        <v>325</v>
      </c>
      <c r="G684" s="2" t="s">
        <v>281</v>
      </c>
      <c r="H684" s="56" t="str">
        <f>Table1[[#This Row],[Tabela]]&amp;Table1[[#This Row],[Campo]]</f>
        <v>modesg_out_empr_info_nfincod_nace_esg</v>
      </c>
      <c r="I684" s="2" t="s">
        <v>1840</v>
      </c>
      <c r="J684" s="42">
        <f>VLOOKUP(Table1[[#This Row],[Status]],Auxiliar!$B$16:$C$24,2,0)</f>
        <v>2</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4</v>
      </c>
      <c r="X684" s="166">
        <f>+VLOOKUP(CONCATENATE(Table1[[#This Row],[Tabela]],Table1[[#This Row],[Campo]]),'2. Status Detalhe Campos FY24'!A:J,9,FALSE)</f>
        <v>0</v>
      </c>
    </row>
    <row r="685" spans="2:24" ht="17.899999999999999" customHeight="1">
      <c r="B685" s="2" t="s">
        <v>26</v>
      </c>
      <c r="C685" s="2" t="s">
        <v>310</v>
      </c>
      <c r="D685" s="2" t="s">
        <v>326</v>
      </c>
      <c r="E685" s="2" t="s">
        <v>38</v>
      </c>
      <c r="F685" s="2" t="s">
        <v>325</v>
      </c>
      <c r="G685" s="2" t="s">
        <v>281</v>
      </c>
      <c r="H685" s="56" t="str">
        <f>Table1[[#This Row],[Tabela]]&amp;Table1[[#This Row],[Campo]]</f>
        <v>modesg_out_empr_info_nfincod_nace_esg</v>
      </c>
      <c r="I685" s="2" t="s">
        <v>1840</v>
      </c>
      <c r="J685" s="42">
        <f>VLOOKUP(Table1[[#This Row],[Status]],Auxiliar!$B$16:$C$24,2,0)</f>
        <v>2</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0.05</v>
      </c>
      <c r="X685" s="166">
        <f>+VLOOKUP(CONCATENATE(Table1[[#This Row],[Tabela]],Table1[[#This Row],[Campo]]),'2. Status Detalhe Campos FY24'!A:J,9,FALSE)</f>
        <v>0</v>
      </c>
    </row>
    <row r="686" spans="2:24" ht="17.899999999999999"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9" t="s">
        <v>1200</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99999999999999"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9" t="s">
        <v>1200</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99999999999999"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9" t="s">
        <v>1200</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99999999999999"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9" t="s">
        <v>1200</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99999999999999"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9" t="s">
        <v>1200</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99999999999999"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9" t="s">
        <v>1200</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99999999999999" customHeight="1">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6">
        <f>+VLOOKUP(CONCATENATE(Table1[[#This Row],[Tabela]],Table1[[#This Row],[Campo]]),'2. Status Detalhe Campos FY24'!A:J,9,FALSE)</f>
        <v>0</v>
      </c>
    </row>
    <row r="693" spans="2:24" ht="17.899999999999999" customHeight="1">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6">
        <f>+VLOOKUP(CONCATENATE(Table1[[#This Row],[Tabela]],Table1[[#This Row],[Campo]]),'2. Status Detalhe Campos FY24'!A:J,9,FALSE)</f>
        <v>0</v>
      </c>
    </row>
    <row r="694" spans="2:24" ht="17.899999999999999" customHeight="1">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6">
        <f>+VLOOKUP(CONCATENATE(Table1[[#This Row],[Tabela]],Table1[[#This Row],[Campo]]),'2. Status Detalhe Campos FY24'!A:J,9,FALSE)</f>
        <v>0</v>
      </c>
    </row>
    <row r="695" spans="2:24" ht="17.899999999999999" customHeight="1">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6">
        <f>+VLOOKUP(CONCATENATE(Table1[[#This Row],[Tabela]],Table1[[#This Row],[Campo]]),'2. Status Detalhe Campos FY24'!A:J,9,FALSE)</f>
        <v>0</v>
      </c>
    </row>
    <row r="696" spans="2:24" ht="17.899999999999999" customHeight="1">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6">
        <f>+VLOOKUP(CONCATENATE(Table1[[#This Row],[Tabela]],Table1[[#This Row],[Campo]]),'2. Status Detalhe Campos FY24'!A:J,9,FALSE)</f>
        <v>0</v>
      </c>
    </row>
    <row r="697" spans="2:24" ht="17.899999999999999" customHeight="1">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6">
        <f>+VLOOKUP(CONCATENATE(Table1[[#This Row],[Tabela]],Table1[[#This Row],[Campo]]),'2. Status Detalhe Campos FY24'!A:J,9,FALSE)</f>
        <v>0</v>
      </c>
    </row>
    <row r="698" spans="2:24" ht="17.899999999999999"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99999999999999"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99999999999999"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99999999999999"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9" t="s">
        <v>1200</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99999999999999"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9" t="s">
        <v>1200</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99999999999999"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9" t="s">
        <v>1200</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99999999999999"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9" t="s">
        <v>1200</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99999999999999"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9" t="s">
        <v>1200</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99999999999999"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9" t="s">
        <v>1200</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99999999999999" customHeight="1">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6">
        <f>+VLOOKUP(CONCATENATE(Table1[[#This Row],[Tabela]],Table1[[#This Row],[Campo]]),'2. Status Detalhe Campos FY24'!A:J,9,FALSE)</f>
        <v>0</v>
      </c>
    </row>
    <row r="708" spans="2:24" ht="17.899999999999999" customHeight="1">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6">
        <f>+VLOOKUP(CONCATENATE(Table1[[#This Row],[Tabela]],Table1[[#This Row],[Campo]]),'2. Status Detalhe Campos FY24'!A:J,9,FALSE)</f>
        <v>0</v>
      </c>
    </row>
    <row r="709" spans="2:24" ht="17.899999999999999" customHeight="1">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6">
        <f>+VLOOKUP(CONCATENATE(Table1[[#This Row],[Tabela]],Table1[[#This Row],[Campo]]),'2. Status Detalhe Campos FY24'!A:J,9,FALSE)</f>
        <v>0</v>
      </c>
    </row>
    <row r="710" spans="2:24" ht="17.899999999999999" customHeight="1">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6">
        <f>+VLOOKUP(CONCATENATE(Table1[[#This Row],[Tabela]],Table1[[#This Row],[Campo]]),'2. Status Detalhe Campos FY24'!A:J,9,FALSE)</f>
        <v>0</v>
      </c>
    </row>
    <row r="711" spans="2:24" ht="17.899999999999999" customHeight="1">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6">
        <f>+VLOOKUP(CONCATENATE(Table1[[#This Row],[Tabela]],Table1[[#This Row],[Campo]]),'2. Status Detalhe Campos FY24'!A:J,9,FALSE)</f>
        <v>0</v>
      </c>
    </row>
    <row r="712" spans="2:24" ht="17.899999999999999" customHeight="1">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6">
        <f>+VLOOKUP(CONCATENATE(Table1[[#This Row],[Tabela]],Table1[[#This Row],[Campo]]),'2. Status Detalhe Campos FY24'!A:J,9,FALSE)</f>
        <v>0</v>
      </c>
    </row>
    <row r="713" spans="2:24" ht="17.899999999999999" customHeight="1">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6">
        <f>+VLOOKUP(CONCATENATE(Table1[[#This Row],[Tabela]],Table1[[#This Row],[Campo]]),'2. Status Detalhe Campos FY24'!A:J,9,FALSE)</f>
        <v>0</v>
      </c>
    </row>
    <row r="714" spans="2:24" ht="17.899999999999999" customHeight="1">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6">
        <f>+VLOOKUP(CONCATENATE(Table1[[#This Row],[Tabela]],Table1[[#This Row],[Campo]]),'2. Status Detalhe Campos FY24'!A:J,9,FALSE)</f>
        <v>0</v>
      </c>
    </row>
    <row r="715" spans="2:24" ht="17.899999999999999" customHeight="1">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6">
        <f>+VLOOKUP(CONCATENATE(Table1[[#This Row],[Tabela]],Table1[[#This Row],[Campo]]),'2. Status Detalhe Campos FY24'!A:J,9,FALSE)</f>
        <v>0</v>
      </c>
    </row>
    <row r="716" spans="2:24" ht="17.899999999999999" customHeight="1">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6">
        <f>+VLOOKUP(CONCATENATE(Table1[[#This Row],[Tabela]],Table1[[#This Row],[Campo]]),'2. Status Detalhe Campos FY24'!A:J,9,FALSE)</f>
        <v>0</v>
      </c>
    </row>
    <row r="717" spans="2:24" ht="17.899999999999999" customHeight="1">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6">
        <f>+VLOOKUP(CONCATENATE(Table1[[#This Row],[Tabela]],Table1[[#This Row],[Campo]]),'2. Status Detalhe Campos FY24'!A:J,9,FALSE)</f>
        <v>0</v>
      </c>
    </row>
    <row r="718" spans="2:24" ht="17.899999999999999" customHeight="1">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6">
        <f>+VLOOKUP(CONCATENATE(Table1[[#This Row],[Tabela]],Table1[[#This Row],[Campo]]),'2. Status Detalhe Campos FY24'!A:J,9,FALSE)</f>
        <v>0</v>
      </c>
    </row>
    <row r="719" spans="2:24" ht="17.899999999999999" customHeight="1">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6">
        <f>+VLOOKUP(CONCATENATE(Table1[[#This Row],[Tabela]],Table1[[#This Row],[Campo]]),'2. Status Detalhe Campos FY24'!A:J,9,FALSE)</f>
        <v>0</v>
      </c>
    </row>
    <row r="720" spans="2:24" ht="17.899999999999999" customHeight="1">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6">
        <f>+VLOOKUP(CONCATENATE(Table1[[#This Row],[Tabela]],Table1[[#This Row],[Campo]]),'2. Status Detalhe Campos FY24'!A:J,9,FALSE)</f>
        <v>0</v>
      </c>
    </row>
    <row r="721" spans="2:24" ht="17.899999999999999" customHeight="1">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6">
        <f>+VLOOKUP(CONCATENATE(Table1[[#This Row],[Tabela]],Table1[[#This Row],[Campo]]),'2. Status Detalhe Campos FY24'!A:J,9,FALSE)</f>
        <v>0</v>
      </c>
    </row>
    <row r="722" spans="2:24" ht="17.899999999999999"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99999999999999"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99999999999999"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99999999999999" customHeight="1">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6">
        <f>+VLOOKUP(CONCATENATE(Table1[[#This Row],[Tabela]],Table1[[#This Row],[Campo]]),'2. Status Detalhe Campos FY24'!A:J,9,FALSE)</f>
        <v>0</v>
      </c>
    </row>
    <row r="726" spans="2:24" ht="17.899999999999999" customHeight="1">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6">
        <f>+VLOOKUP(CONCATENATE(Table1[[#This Row],[Tabela]],Table1[[#This Row],[Campo]]),'2. Status Detalhe Campos FY24'!A:J,9,FALSE)</f>
        <v>0</v>
      </c>
    </row>
    <row r="727" spans="2:24" ht="17.899999999999999" customHeight="1">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6">
        <f>+VLOOKUP(CONCATENATE(Table1[[#This Row],[Tabela]],Table1[[#This Row],[Campo]]),'2. Status Detalhe Campos FY24'!A:J,9,FALSE)</f>
        <v>0</v>
      </c>
    </row>
    <row r="728" spans="2:24" ht="17.899999999999999" customHeight="1">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6">
        <f>+VLOOKUP(CONCATENATE(Table1[[#This Row],[Tabela]],Table1[[#This Row],[Campo]]),'2. Status Detalhe Campos FY24'!A:J,9,FALSE)</f>
        <v>0</v>
      </c>
    </row>
    <row r="729" spans="2:24" ht="17.899999999999999" customHeight="1">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6">
        <f>+VLOOKUP(CONCATENATE(Table1[[#This Row],[Tabela]],Table1[[#This Row],[Campo]]),'2. Status Detalhe Campos FY24'!A:J,9,FALSE)</f>
        <v>0</v>
      </c>
    </row>
    <row r="730" spans="2:24" ht="17.899999999999999" customHeight="1">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6">
        <f>+VLOOKUP(CONCATENATE(Table1[[#This Row],[Tabela]],Table1[[#This Row],[Campo]]),'2. Status Detalhe Campos FY24'!A:J,9,FALSE)</f>
        <v>0</v>
      </c>
    </row>
    <row r="731" spans="2:24" ht="17.899999999999999" customHeight="1">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6">
        <f>+VLOOKUP(CONCATENATE(Table1[[#This Row],[Tabela]],Table1[[#This Row],[Campo]]),'2. Status Detalhe Campos FY24'!A:J,9,FALSE)</f>
        <v>0</v>
      </c>
    </row>
    <row r="732" spans="2:24" ht="17.899999999999999" customHeight="1">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6">
        <f>+VLOOKUP(CONCATENATE(Table1[[#This Row],[Tabela]],Table1[[#This Row],[Campo]]),'2. Status Detalhe Campos FY24'!A:J,9,FALSE)</f>
        <v>0</v>
      </c>
    </row>
    <row r="733" spans="2:24" ht="17.899999999999999" customHeight="1">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6">
        <f>+VLOOKUP(CONCATENATE(Table1[[#This Row],[Tabela]],Table1[[#This Row],[Campo]]),'2. Status Detalhe Campos FY24'!A:J,9,FALSE)</f>
        <v>0</v>
      </c>
    </row>
    <row r="734" spans="2:24" ht="17.899999999999999" customHeight="1">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6">
        <f>+VLOOKUP(CONCATENATE(Table1[[#This Row],[Tabela]],Table1[[#This Row],[Campo]]),'2. Status Detalhe Campos FY24'!A:J,9,FALSE)</f>
        <v>0</v>
      </c>
    </row>
    <row r="735" spans="2:24" ht="17.899999999999999" customHeight="1">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6">
        <f>+VLOOKUP(CONCATENATE(Table1[[#This Row],[Tabela]],Table1[[#This Row],[Campo]]),'2. Status Detalhe Campos FY24'!A:J,9,FALSE)</f>
        <v>0</v>
      </c>
    </row>
    <row r="736" spans="2:24" ht="17.899999999999999"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99999999999999"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9"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99999999999999"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99999999999999"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99999999999999"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99999999999999"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99999999999999"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99999999999999"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99999999999999"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99999999999999"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99999999999999"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99999999999999"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99999999999999"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99999999999999"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99999999999999"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99999999999999"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99999999999999"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99999999999999"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99999999999999"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99999999999999"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99999999999999"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99999999999999"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99999999999999"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99999999999999"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99999999999999"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99999999999999"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99999999999999"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99999999999999"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99999999999999"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650000000000006"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650000000000006"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650000000000006"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650000000000006"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650000000000006"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650000000000006"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650000000000006"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650000000000006"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650000000000006"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99999999999999"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99999999999999"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99999999999999"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99999999999999"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99999999999999"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99999999999999"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99999999999999"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99999999999999"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99999999999999"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99999999999999" customHeight="1">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99999999999999" customHeight="1">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99999999999999" customHeight="1">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99999999999999" customHeight="1">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99999999999999" customHeight="1">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99999999999999" customHeight="1">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99999999999999" customHeight="1">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99999999999999" customHeight="1">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99999999999999" customHeight="1">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99999999999999" customHeight="1">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99999999999999" customHeight="1">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99999999999999" customHeight="1">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99999999999999" customHeight="1">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99999999999999" customHeight="1">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6">
        <f>+VLOOKUP(CONCATENATE(Table1[[#This Row],[Tabela]],Table1[[#This Row],[Campo]]),'2. Status Detalhe Campos FY24'!A:J,9,FALSE)</f>
        <v>0</v>
      </c>
    </row>
    <row r="799" spans="2:24" ht="17.899999999999999" customHeight="1">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6">
        <f>+VLOOKUP(CONCATENATE(Table1[[#This Row],[Tabela]],Table1[[#This Row],[Campo]]),'2. Status Detalhe Campos FY24'!A:J,9,FALSE)</f>
        <v>0</v>
      </c>
    </row>
    <row r="800" spans="2:24" ht="17.899999999999999" customHeight="1">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6">
        <f>+VLOOKUP(CONCATENATE(Table1[[#This Row],[Tabela]],Table1[[#This Row],[Campo]]),'2. Status Detalhe Campos FY24'!A:J,9,FALSE)</f>
        <v>0</v>
      </c>
    </row>
    <row r="801" spans="2:24" ht="139.4" customHeight="1">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6">
        <f>+VLOOKUP(CONCATENATE(Table1[[#This Row],[Tabela]],Table1[[#This Row],[Campo]]),'2. Status Detalhe Campos FY24'!A:J,9,FALSE)</f>
        <v>0</v>
      </c>
    </row>
    <row r="802" spans="2:24" ht="139.4" customHeight="1">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4" customHeight="1">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4" customHeight="1">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4" customHeight="1">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4" customHeight="1">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99999999999999" customHeight="1">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99999999999999" customHeight="1">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99999999999999" customHeight="1">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99999999999999" customHeight="1">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99999999999999" customHeight="1">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99999999999999" customHeight="1">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99999999999999" customHeight="1">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99999999999999" customHeight="1">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99999999999999" customHeight="1">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99999999999999" customHeight="1">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99999999999999" customHeight="1">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99999999999999" customHeight="1">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99999999999999" customHeight="1">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99999999999999" customHeight="1">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99999999999999" customHeight="1">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99999999999999" customHeight="1">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99999999999999" customHeight="1">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99999999999999" customHeight="1">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99999999999999" customHeight="1">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99999999999999" customHeight="1">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99999999999999" customHeight="1">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99999999999999" customHeight="1">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99999999999999" customHeight="1">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99999999999999" customHeight="1">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99999999999999" customHeight="1">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99999999999999" customHeight="1">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customHeight="1">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99999999999999" customHeight="1">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99999999999999" customHeight="1">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6">
        <f>+VLOOKUP(CONCATENATE(Table1[[#This Row],[Tabela]],Table1[[#This Row],[Campo]]),'2. Status Detalhe Campos FY24'!A:J,9,FALSE)</f>
        <v>0</v>
      </c>
    </row>
    <row r="836" spans="2:24" ht="17.899999999999999" customHeight="1">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99999999999999" customHeight="1">
      <c r="B837" s="2" t="s">
        <v>26</v>
      </c>
      <c r="C837" s="2" t="s">
        <v>181</v>
      </c>
      <c r="D837" s="2" t="s">
        <v>1211</v>
      </c>
      <c r="E837" s="2" t="s">
        <v>38</v>
      </c>
      <c r="F837" s="2" t="s">
        <v>2097</v>
      </c>
      <c r="G837" s="64" t="s">
        <v>2417</v>
      </c>
      <c r="H837" s="56" t="str">
        <f>Table1[[#This Row],[Tabela]]&amp;Table1[[#This Row],[Campo]]</f>
        <v>modesg_param_sfics_taxon_europeiagrupo_regra</v>
      </c>
      <c r="I837" s="2" t="s">
        <v>2320</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99999999999999" customHeight="1">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99999999999999" customHeight="1">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99999999999999" customHeight="1">
      <c r="B840" s="2" t="s">
        <v>26</v>
      </c>
      <c r="C840" s="2" t="s">
        <v>181</v>
      </c>
      <c r="D840" s="2" t="s">
        <v>1211</v>
      </c>
      <c r="E840" s="2" t="s">
        <v>38</v>
      </c>
      <c r="F840" s="2" t="s">
        <v>2097</v>
      </c>
      <c r="G840" s="2" t="s">
        <v>196</v>
      </c>
      <c r="H840" s="56" t="str">
        <f>Table1[[#This Row],[Tabela]]&amp;Table1[[#This Row],[Campo]]</f>
        <v>modesg_param_sfics_taxon_europeiadominio</v>
      </c>
      <c r="I840" s="2" t="s">
        <v>2320</v>
      </c>
      <c r="J840" s="54">
        <f>VLOOKUP(Table1[[#This Row],[Status]],Auxiliar!$B$16:$C$24,2,0)</f>
        <v>7</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99999999999999" customHeight="1">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99999999999999" customHeight="1">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99999999999999" customHeight="1">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99999999999999" customHeight="1">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99999999999999" customHeight="1">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99999999999999" customHeight="1">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99999999999999" customHeight="1">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99999999999999" customHeight="1">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99999999999999" customHeight="1">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99999999999999" customHeight="1">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99999999999999" customHeight="1">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99999999999999" customHeight="1">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99999999999999" customHeight="1">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99999999999999" customHeight="1">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99999999999999" customHeight="1">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99999999999999" customHeight="1">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99999999999999" customHeight="1">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99999999999999" customHeight="1">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99999999999999" customHeight="1">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99999999999999" customHeight="1">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99999999999999" customHeight="1">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99999999999999" customHeight="1">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99999999999999" customHeight="1">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99999999999999" customHeight="1">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99999999999999" customHeight="1">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99999999999999" customHeight="1">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99999999999999" customHeight="1">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99999999999999" customHeight="1">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99999999999999" customHeight="1">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99999999999999" customHeight="1">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99999999999999" customHeight="1">
      <c r="B871" s="2" t="s">
        <v>26</v>
      </c>
      <c r="C871" s="2" t="s">
        <v>181</v>
      </c>
      <c r="D871" s="2" t="s">
        <v>1211</v>
      </c>
      <c r="E871" s="2" t="s">
        <v>38</v>
      </c>
      <c r="F871" s="2" t="s">
        <v>2097</v>
      </c>
      <c r="G871" s="2" t="s">
        <v>390</v>
      </c>
      <c r="H871" s="56" t="str">
        <f>Table1[[#This Row],[Tabela]]&amp;Table1[[#This Row],[Campo]]</f>
        <v>modesg_param_sfics_taxon_europeiaambito</v>
      </c>
      <c r="I871" s="2" t="s">
        <v>611</v>
      </c>
      <c r="J871" s="54">
        <f>VLOOKUP(Table1[[#This Row],[Status]],Auxiliar!$B$16:$C$24,2,0)</f>
        <v>0</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v>
      </c>
      <c r="X871" s="166">
        <f>+VLOOKUP(CONCATENATE(Table1[[#This Row],[Tabela]],Table1[[#This Row],[Campo]]),'2. Status Detalhe Campos FY24'!A:J,9,FALSE)</f>
        <v>0</v>
      </c>
    </row>
    <row r="872" spans="2:24" ht="17.899999999999999" customHeight="1">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99999999999999" customHeight="1">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99999999999999" customHeight="1">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99999999999999" customHeight="1">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99999999999999" customHeight="1">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99999999999999" customHeight="1">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99999999999999" customHeight="1">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99999999999999" customHeight="1">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650000000000006" customHeight="1">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650000000000006" customHeight="1">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99999999999999" customHeight="1">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99999999999999" customHeight="1">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99999999999999" customHeight="1">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99999999999999" customHeight="1">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99999999999999" customHeight="1">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99999999999999" customHeight="1">
      <c r="B887" s="2" t="s">
        <v>26</v>
      </c>
      <c r="C887" s="2" t="s">
        <v>181</v>
      </c>
      <c r="D887" s="2" t="s">
        <v>1211</v>
      </c>
      <c r="E887" s="2" t="s">
        <v>38</v>
      </c>
      <c r="F887" s="2" t="s">
        <v>2097</v>
      </c>
      <c r="G887" s="2" t="s">
        <v>390</v>
      </c>
      <c r="H887" s="56" t="str">
        <f>Table1[[#This Row],[Tabela]]&amp;Table1[[#This Row],[Campo]]</f>
        <v>modesg_param_sfics_taxon_europeiaambito</v>
      </c>
      <c r="I887" s="2" t="s">
        <v>611</v>
      </c>
      <c r="J887" s="54">
        <f>VLOOKUP(Table1[[#This Row],[Status]],Auxiliar!$B$16:$C$24,2,0)</f>
        <v>0</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99999999999999" customHeight="1">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99999999999999" customHeight="1">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99999999999999" customHeight="1">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99999999999999" customHeight="1">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99999999999999" customHeight="1">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99999999999999" customHeight="1">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99999999999999" customHeight="1">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99999999999999" customHeight="1">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99999999999999" customHeight="1">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99999999999999" customHeight="1">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99999999999999" customHeight="1">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99999999999999" customHeight="1">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99999999999999" customHeight="1">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99999999999999" customHeight="1">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99999999999999" customHeight="1">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99999999999999" customHeight="1">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99999999999999" customHeight="1">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99999999999999" customHeight="1">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99999999999999" customHeight="1">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99999999999999" customHeight="1">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99999999999999" customHeight="1">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99999999999999" customHeight="1">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99999999999999" customHeight="1">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99999999999999" customHeight="1">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99999999999999" customHeight="1">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99999999999999" customHeight="1">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99999999999999" customHeight="1">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99999999999999" customHeight="1">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99999999999999" customHeight="1">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99999999999999" customHeight="1">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99999999999999" customHeight="1">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99999999999999" customHeight="1">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99999999999999" customHeight="1">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99999999999999" customHeight="1">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99999999999999" customHeight="1">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99999999999999" customHeight="1">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99999999999999" customHeight="1">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99999999999999" customHeight="1">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4"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99999999999999" customHeight="1">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4"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99999999999999" customHeight="1">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99999999999999" customHeight="1">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99999999999999" customHeight="1">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99999999999999" customHeight="1">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99999999999999" customHeight="1">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99999999999999" customHeight="1">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99999999999999" customHeight="1">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99999999999999" customHeight="1">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99999999999999" customHeight="1">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99999999999999" customHeight="1">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99999999999999" customHeight="1">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99999999999999" customHeight="1">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99999999999999" customHeight="1">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99999999999999" customHeight="1">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99999999999999" customHeight="1">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650000000000006" customHeight="1">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99999999999999" customHeight="1">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650000000000006" customHeight="1">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99999999999999" customHeight="1">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99999999999999" customHeight="1">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99999999999999" customHeight="1">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99999999999999" customHeight="1">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99999999999999" customHeight="1">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99999999999999" customHeight="1">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650000000000006" customHeight="1">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99999999999999" customHeight="1">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650000000000006" customHeight="1">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99999999999999" customHeight="1">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99999999999999" customHeight="1">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99999999999999" customHeight="1">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99999999999999" customHeight="1">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99999999999999" customHeight="1">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99999999999999" customHeight="1">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99999999999999" customHeight="1">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99999999999999" customHeight="1">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99999999999999" customHeight="1">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99999999999999" customHeight="1">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99999999999999" customHeight="1">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650000000000006" customHeight="1">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99999999999999" customHeight="1">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650000000000006" customHeight="1">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99999999999999" customHeight="1">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650000000000006" customHeight="1">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99999999999999" customHeight="1">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4" customHeight="1">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99999999999999" customHeight="1">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99999999999999" customHeight="1">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99999999999999" customHeight="1">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99999999999999" customHeight="1">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99999999999999" customHeight="1">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99999999999999" customHeight="1">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99999999999999" customHeight="1">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99999999999999" customHeight="1">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99999999999999" customHeight="1">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99999999999999" customHeight="1">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99999999999999" customHeight="1">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99999999999999" customHeight="1">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99999999999999" customHeight="1">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99999999999999" customHeight="1">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99999999999999" customHeight="1">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99999999999999" customHeight="1">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99999999999999" customHeight="1">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99999999999999" customHeight="1">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99999999999999" customHeight="1">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99999999999999" customHeight="1">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99999999999999" customHeight="1">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99999999999999" customHeight="1">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99999999999999" customHeight="1">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99999999999999" customHeight="1">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99999999999999" customHeight="1">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99999999999999" customHeight="1">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99999999999999" customHeight="1">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99999999999999" customHeight="1">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99999999999999" customHeight="1">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99999999999999" customHeight="1">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99999999999999" customHeight="1">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99999999999999" customHeight="1">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99999999999999" customHeight="1">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99999999999999" customHeight="1">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99999999999999" customHeight="1">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99999999999999" customHeight="1">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99999999999999" customHeight="1">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99999999999999" customHeight="1">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99999999999999" customHeight="1">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99999999999999" customHeight="1">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99999999999999" customHeight="1">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99999999999999" customHeight="1">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99999999999999" customHeight="1">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99999999999999" customHeight="1">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99999999999999" customHeight="1">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99999999999999" customHeight="1">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99999999999999" customHeight="1">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99999999999999" customHeight="1">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99999999999999" customHeight="1">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99999999999999" customHeight="1">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99999999999999" customHeight="1">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99999999999999" customHeight="1">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99999999999999" customHeight="1">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99999999999999" customHeight="1">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99999999999999" customHeight="1">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99999999999999" customHeight="1">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99999999999999" customHeight="1">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99999999999999" customHeight="1">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99999999999999" customHeight="1">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99999999999999" customHeight="1">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99999999999999" customHeight="1">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99999999999999" customHeight="1">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99999999999999" customHeight="1">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99999999999999" customHeight="1">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99999999999999" customHeight="1">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99999999999999" customHeight="1">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99999999999999" customHeight="1">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99999999999999" customHeight="1">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99999999999999" customHeight="1">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99999999999999" customHeight="1">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99999999999999" customHeight="1">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99999999999999" customHeight="1">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99999999999999" customHeight="1">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99999999999999" customHeight="1">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99999999999999" customHeight="1">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99999999999999" customHeight="1">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99999999999999" customHeight="1">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99999999999999" customHeight="1">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99999999999999" customHeight="1">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99999999999999" customHeight="1">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99999999999999" customHeight="1">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99999999999999" customHeight="1">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99999999999999" customHeight="1">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99999999999999" customHeight="1">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99999999999999" customHeight="1">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99999999999999" customHeight="1">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99999999999999" customHeight="1">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99999999999999" customHeight="1">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99999999999999" customHeight="1">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99999999999999" customHeight="1">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99999999999999" customHeight="1">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99999999999999" customHeight="1">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99999999999999" customHeight="1">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99999999999999" customHeight="1">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99999999999999" customHeight="1">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99999999999999" customHeight="1">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99999999999999" customHeight="1">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99999999999999" customHeight="1">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99999999999999" customHeight="1">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99999999999999" customHeight="1">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99999999999999" customHeight="1">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99999999999999" customHeight="1">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99999999999999" customHeight="1">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99999999999999" customHeight="1">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99999999999999" customHeight="1">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99999999999999" customHeight="1">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99999999999999" customHeight="1">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99999999999999" customHeight="1">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99999999999999" customHeight="1">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99999999999999" customHeight="1">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99999999999999" customHeight="1">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99999999999999" customHeight="1">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99999999999999" customHeight="1">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99999999999999" customHeight="1">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99999999999999" customHeight="1">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99999999999999" customHeight="1">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99999999999999" customHeight="1">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99999999999999" customHeight="1">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99999999999999" customHeight="1">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99999999999999" customHeight="1">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99999999999999" customHeight="1">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99999999999999" customHeight="1">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99999999999999" customHeight="1">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99999999999999" customHeight="1">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99999999999999" customHeight="1">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99999999999999" customHeight="1">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99999999999999" customHeight="1">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99999999999999" customHeight="1">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99999999999999" customHeight="1">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99999999999999" customHeight="1">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99999999999999" customHeight="1">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99999999999999" customHeight="1">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99999999999999" customHeight="1">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99999999999999" customHeight="1">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99999999999999" customHeight="1">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99999999999999" customHeight="1">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99999999999999" customHeight="1">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99999999999999" customHeight="1">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99999999999999" customHeight="1">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customHeight="1">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customHeight="1">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99999999999999" customHeight="1">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99999999999999" customHeight="1">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99999999999999" customHeight="1">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99999999999999" customHeight="1">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99999999999999" customHeight="1">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99999999999999" customHeight="1">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99999999999999" customHeight="1">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99999999999999" customHeight="1">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99999999999999" customHeight="1">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99999999999999" customHeight="1">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99999999999999" customHeight="1">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99999999999999" customHeight="1">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99999999999999" customHeight="1">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99999999999999" customHeight="1">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99999999999999" customHeight="1">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99999999999999" customHeight="1">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99999999999999" customHeight="1">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99999999999999" customHeight="1">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99999999999999" customHeight="1">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99999999999999" customHeight="1">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99999999999999" customHeight="1">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99999999999999" customHeight="1">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99999999999999" customHeight="1">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99999999999999" customHeight="1">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99999999999999" customHeight="1">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99999999999999" customHeight="1">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99999999999999" customHeight="1">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99999999999999" customHeight="1">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99999999999999" customHeight="1">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99999999999999" customHeight="1">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99999999999999" customHeight="1">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99999999999999" customHeight="1">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99999999999999" customHeight="1">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99999999999999" customHeight="1">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99999999999999" customHeight="1">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5" customHeight="1">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5" customHeight="1">
      <c r="B1149" s="38" t="s">
        <v>26</v>
      </c>
      <c r="C1149" s="38" t="s">
        <v>26</v>
      </c>
      <c r="D1149" s="35" t="s">
        <v>337</v>
      </c>
      <c r="E1149" s="110" t="s">
        <v>1252</v>
      </c>
      <c r="F1149" s="39" t="s">
        <v>335</v>
      </c>
      <c r="G1149" s="37" t="s">
        <v>336</v>
      </c>
      <c r="H1149" s="59" t="str">
        <f>Table1[[#This Row],[Tabela]]&amp;Table1[[#This Row],[Campo]]</f>
        <v>lt003_entitynace_esg</v>
      </c>
      <c r="I1149" s="2" t="s">
        <v>2320</v>
      </c>
      <c r="J1149" s="44">
        <f>VLOOKUP(Table1[[#This Row],[Status]],Auxiliar!$B$16:$C$24,2,0)</f>
        <v>7</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5" customHeight="1">
      <c r="B1150" s="38" t="s">
        <v>26</v>
      </c>
      <c r="C1150" s="38" t="s">
        <v>26</v>
      </c>
      <c r="D1150" s="35" t="s">
        <v>337</v>
      </c>
      <c r="E1150" s="110" t="s">
        <v>1252</v>
      </c>
      <c r="F1150" s="39" t="s">
        <v>335</v>
      </c>
      <c r="G1150" s="37" t="s">
        <v>336</v>
      </c>
      <c r="H1150" s="59" t="str">
        <f>Table1[[#This Row],[Tabela]]&amp;Table1[[#This Row],[Campo]]</f>
        <v>lt003_entitynace_esg</v>
      </c>
      <c r="I1150" s="2" t="s">
        <v>2320</v>
      </c>
      <c r="J1150" s="44">
        <f>VLOOKUP(Table1[[#This Row],[Status]],Auxiliar!$B$16:$C$24,2,0)</f>
        <v>7</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5" customHeight="1">
      <c r="B1151" s="38" t="s">
        <v>26</v>
      </c>
      <c r="C1151" s="38" t="s">
        <v>26</v>
      </c>
      <c r="D1151" s="35" t="s">
        <v>337</v>
      </c>
      <c r="E1151" s="110" t="s">
        <v>1252</v>
      </c>
      <c r="F1151" s="39" t="s">
        <v>335</v>
      </c>
      <c r="G1151" s="37" t="s">
        <v>336</v>
      </c>
      <c r="H1151" s="59" t="str">
        <f>Table1[[#This Row],[Tabela]]&amp;Table1[[#This Row],[Campo]]</f>
        <v>lt003_entitynace_esg</v>
      </c>
      <c r="I1151" s="2" t="s">
        <v>2320</v>
      </c>
      <c r="J1151" s="44">
        <f>VLOOKUP(Table1[[#This Row],[Status]],Auxiliar!$B$16:$C$24,2,0)</f>
        <v>7</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99999999999999"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99999999999999"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5"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99999999999999"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99999999999999"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5"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99999999999999"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99999999999999"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5"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99999999999999"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99999999999999"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5"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99999999999999"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99999999999999"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5"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99999999999999"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99999999999999"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5"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99999999999999"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99999999999999"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5"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99999999999999"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99999999999999"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5"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99999999999999"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99999999999999"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5"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99999999999999"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99999999999999"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5"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99999999999999"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99999999999999"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5"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99999999999999"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99999999999999"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5"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99999999999999"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99999999999999"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5"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99999999999999"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99999999999999"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5"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99999999999999" customHeight="1">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99999999999999" customHeight="1">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5" customHeight="1">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99999999999999"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99999999999999"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5"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99999999999999"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99999999999999"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5"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99999999999999"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99999999999999"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5"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99999999999999" customHeight="1">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99999999999999" customHeight="1">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5" customHeight="1">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99999999999999" customHeight="1">
      <c r="B1209" s="40" t="s">
        <v>26</v>
      </c>
      <c r="C1209" s="40" t="s">
        <v>26</v>
      </c>
      <c r="D1209" s="35" t="s">
        <v>325</v>
      </c>
      <c r="E1209" s="39" t="s">
        <v>1252</v>
      </c>
      <c r="F1209" s="39" t="s">
        <v>335</v>
      </c>
      <c r="G1209" s="37" t="s">
        <v>357</v>
      </c>
      <c r="H1209" s="59" t="str">
        <f>Table1[[#This Row],[Tabela]]&amp;Table1[[#This Row],[Campo]]</f>
        <v>lt003_entityflg_act_physcl_rsk</v>
      </c>
      <c r="I1209" s="2" t="s">
        <v>2320</v>
      </c>
      <c r="J1209" s="44">
        <f>VLOOKUP(Table1[[#This Row],[Status]],Auxiliar!$B$16:$C$24,2,0)</f>
        <v>7</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99999999999999" customHeight="1">
      <c r="B1210" s="38" t="s">
        <v>26</v>
      </c>
      <c r="C1210" s="38" t="s">
        <v>26</v>
      </c>
      <c r="D1210" s="38" t="s">
        <v>325</v>
      </c>
      <c r="E1210" s="38" t="s">
        <v>1252</v>
      </c>
      <c r="F1210" s="38" t="s">
        <v>335</v>
      </c>
      <c r="G1210" s="38" t="s">
        <v>357</v>
      </c>
      <c r="H1210" s="58" t="str">
        <f>Table1[[#This Row],[Tabela]]&amp;Table1[[#This Row],[Campo]]</f>
        <v>lt003_entityflg_act_physcl_rsk</v>
      </c>
      <c r="I1210" s="2" t="s">
        <v>2320</v>
      </c>
      <c r="J1210" s="44">
        <f>VLOOKUP(Table1[[#This Row],[Status]],Auxiliar!$B$16:$C$24,2,0)</f>
        <v>7</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5" customHeight="1">
      <c r="B1211" s="38" t="s">
        <v>26</v>
      </c>
      <c r="C1211" s="38" t="s">
        <v>26</v>
      </c>
      <c r="D1211" s="38" t="s">
        <v>325</v>
      </c>
      <c r="E1211" s="38" t="s">
        <v>1252</v>
      </c>
      <c r="F1211" s="38" t="s">
        <v>335</v>
      </c>
      <c r="G1211" s="38" t="s">
        <v>357</v>
      </c>
      <c r="H1211" s="58" t="str">
        <f>Table1[[#This Row],[Tabela]]&amp;Table1[[#This Row],[Campo]]</f>
        <v>lt003_entityflg_act_physcl_rsk</v>
      </c>
      <c r="I1211" s="2" t="s">
        <v>2320</v>
      </c>
      <c r="J1211" s="44">
        <f>VLOOKUP(Table1[[#This Row],[Status]],Auxiliar!$B$16:$C$24,2,0)</f>
        <v>7</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99999999999999" customHeight="1">
      <c r="B1212" s="40" t="s">
        <v>26</v>
      </c>
      <c r="C1212" s="40" t="s">
        <v>26</v>
      </c>
      <c r="D1212" s="35" t="s">
        <v>325</v>
      </c>
      <c r="E1212" s="39" t="s">
        <v>1252</v>
      </c>
      <c r="F1212" s="39" t="s">
        <v>335</v>
      </c>
      <c r="G1212" s="37" t="s">
        <v>358</v>
      </c>
      <c r="H1212" s="59" t="str">
        <f>Table1[[#This Row],[Tabela]]&amp;Table1[[#This Row],[Campo]]</f>
        <v>lt003_entityflg_chrnc_physcl_rsk</v>
      </c>
      <c r="I1212" s="2" t="s">
        <v>2320</v>
      </c>
      <c r="J1212" s="44">
        <f>VLOOKUP(Table1[[#This Row],[Status]],Auxiliar!$B$16:$C$24,2,0)</f>
        <v>7</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99999999999999" customHeight="1">
      <c r="B1213" s="38" t="s">
        <v>26</v>
      </c>
      <c r="C1213" s="38" t="s">
        <v>26</v>
      </c>
      <c r="D1213" s="38" t="s">
        <v>325</v>
      </c>
      <c r="E1213" s="38" t="s">
        <v>1252</v>
      </c>
      <c r="F1213" s="38" t="s">
        <v>335</v>
      </c>
      <c r="G1213" s="38" t="s">
        <v>358</v>
      </c>
      <c r="H1213" s="58" t="str">
        <f>Table1[[#This Row],[Tabela]]&amp;Table1[[#This Row],[Campo]]</f>
        <v>lt003_entityflg_chrnc_physcl_rsk</v>
      </c>
      <c r="I1213" s="2" t="s">
        <v>2320</v>
      </c>
      <c r="J1213" s="44">
        <f>VLOOKUP(Table1[[#This Row],[Status]],Auxiliar!$B$16:$C$24,2,0)</f>
        <v>7</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99999999999999" customHeight="1">
      <c r="B1214" s="38" t="s">
        <v>26</v>
      </c>
      <c r="C1214" s="38" t="s">
        <v>26</v>
      </c>
      <c r="D1214" s="38" t="s">
        <v>325</v>
      </c>
      <c r="E1214" s="38" t="s">
        <v>1252</v>
      </c>
      <c r="F1214" s="38" t="s">
        <v>335</v>
      </c>
      <c r="G1214" s="38" t="s">
        <v>358</v>
      </c>
      <c r="H1214" s="58" t="str">
        <f>Table1[[#This Row],[Tabela]]&amp;Table1[[#This Row],[Campo]]</f>
        <v>lt003_entityflg_chrnc_physcl_rsk</v>
      </c>
      <c r="I1214" s="2" t="s">
        <v>2320</v>
      </c>
      <c r="J1214" s="44">
        <f>VLOOKUP(Table1[[#This Row],[Status]],Auxiliar!$B$16:$C$24,2,0)</f>
        <v>7</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99999999999999" customHeight="1">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99999999999999" customHeight="1">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99999999999999" customHeight="1">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99999999999999" customHeight="1">
      <c r="B1218" s="40" t="s">
        <v>26</v>
      </c>
      <c r="C1218" s="40" t="s">
        <v>26</v>
      </c>
      <c r="D1218" s="41" t="s">
        <v>392</v>
      </c>
      <c r="E1218" s="110" t="s">
        <v>38</v>
      </c>
      <c r="F1218" s="39" t="s">
        <v>335</v>
      </c>
      <c r="G1218" s="37" t="s">
        <v>360</v>
      </c>
      <c r="H1218" s="59" t="str">
        <f>Table1[[#This Row],[Tabela]]&amp;Table1[[#This Row],[Campo]]</f>
        <v>lt003_entityesg_sbsctr</v>
      </c>
      <c r="I1218" s="2" t="s">
        <v>2320</v>
      </c>
      <c r="J1218" s="44">
        <f>VLOOKUP(Table1[[#This Row],[Status]],Auxiliar!$B$16:$C$24,2,0)</f>
        <v>7</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99999999999999" customHeight="1">
      <c r="B1219" s="38" t="s">
        <v>26</v>
      </c>
      <c r="C1219" s="38" t="s">
        <v>26</v>
      </c>
      <c r="D1219" s="38" t="s">
        <v>392</v>
      </c>
      <c r="E1219" s="38" t="s">
        <v>38</v>
      </c>
      <c r="F1219" s="38" t="s">
        <v>335</v>
      </c>
      <c r="G1219" s="38" t="s">
        <v>360</v>
      </c>
      <c r="H1219" s="58" t="str">
        <f>Table1[[#This Row],[Tabela]]&amp;Table1[[#This Row],[Campo]]</f>
        <v>lt003_entityesg_sbsctr</v>
      </c>
      <c r="I1219" s="2" t="s">
        <v>2320</v>
      </c>
      <c r="J1219" s="44">
        <f>VLOOKUP(Table1[[#This Row],[Status]],Auxiliar!$B$16:$C$24,2,0)</f>
        <v>7</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5" customHeight="1">
      <c r="B1220" s="38" t="s">
        <v>26</v>
      </c>
      <c r="C1220" s="38" t="s">
        <v>26</v>
      </c>
      <c r="D1220" s="38" t="s">
        <v>392</v>
      </c>
      <c r="E1220" s="38" t="s">
        <v>38</v>
      </c>
      <c r="F1220" s="38" t="s">
        <v>335</v>
      </c>
      <c r="G1220" s="38" t="s">
        <v>360</v>
      </c>
      <c r="H1220" s="58" t="str">
        <f>Table1[[#This Row],[Tabela]]&amp;Table1[[#This Row],[Campo]]</f>
        <v>lt003_entityesg_sbsctr</v>
      </c>
      <c r="I1220" s="2" t="s">
        <v>2320</v>
      </c>
      <c r="J1220" s="44">
        <f>VLOOKUP(Table1[[#This Row],[Status]],Auxiliar!$B$16:$C$24,2,0)</f>
        <v>7</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99999999999999" customHeight="1">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99999999999999" customHeight="1">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5" customHeight="1">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99999999999999" customHeight="1">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99999999999999" customHeight="1">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5" customHeight="1">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99999999999999" customHeight="1">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99999999999999" customHeight="1">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5" customHeight="1">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99999999999999" customHeight="1">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99999999999999" customHeight="1">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5" customHeight="1">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99999999999999" customHeight="1">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99999999999999" customHeight="1">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5" customHeight="1">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99999999999999" customHeight="1">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99999999999999" customHeight="1">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5" customHeight="1">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99999999999999" customHeight="1">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99999999999999" customHeight="1">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5" customHeight="1">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99999999999999" customHeight="1">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99999999999999" customHeight="1">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99999999999999" customHeight="1">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99999999999999"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99999999999999" customHeight="1">
      <c r="B1246" s="38" t="s">
        <v>26</v>
      </c>
      <c r="C1246" s="38" t="s">
        <v>26</v>
      </c>
      <c r="D1246" s="336" t="s">
        <v>1270</v>
      </c>
      <c r="E1246" s="339" t="s">
        <v>1252</v>
      </c>
      <c r="F1246" s="338" t="s">
        <v>368</v>
      </c>
      <c r="G1246" s="340" t="s">
        <v>371</v>
      </c>
      <c r="H1246" s="342"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99999999999999" customHeight="1">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99999999999999" customHeight="1">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99999999999999" customHeight="1">
      <c r="B1249" s="38" t="s">
        <v>26</v>
      </c>
      <c r="C1249" s="38" t="s">
        <v>26</v>
      </c>
      <c r="D1249" s="336" t="s">
        <v>1270</v>
      </c>
      <c r="E1249" s="339" t="s">
        <v>1252</v>
      </c>
      <c r="F1249" s="338" t="s">
        <v>368</v>
      </c>
      <c r="G1249" s="340" t="s">
        <v>369</v>
      </c>
      <c r="H1249" s="342" t="str">
        <f>Table1[[#This Row],[Tabela]]&amp;Table1[[#This Row],[Campo]]</f>
        <v>lt004_protectiontyp_ep_scr</v>
      </c>
      <c r="I1249" s="2" t="s">
        <v>2320</v>
      </c>
      <c r="J1249" s="44">
        <f>VLOOKUP(Table1[[#This Row],[Status]],Auxiliar!$B$16:$C$24,2,0)</f>
        <v>7</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6">
        <f>+VLOOKUP(CONCATENATE(Table1[[#This Row],[Tabela]],Table1[[#This Row],[Campo]]),'2. Status Detalhe Campos FY24'!A:J,9,FALSE)</f>
        <v>0</v>
      </c>
    </row>
    <row r="1250" spans="2:24" ht="17.899999999999999" customHeight="1">
      <c r="B1250" s="38" t="s">
        <v>26</v>
      </c>
      <c r="C1250" s="38" t="s">
        <v>26</v>
      </c>
      <c r="D1250" s="38" t="s">
        <v>1270</v>
      </c>
      <c r="E1250" s="38" t="s">
        <v>1252</v>
      </c>
      <c r="F1250" s="38" t="s">
        <v>368</v>
      </c>
      <c r="G1250" s="38" t="s">
        <v>369</v>
      </c>
      <c r="H1250" s="58" t="str">
        <f>Table1[[#This Row],[Tabela]]&amp;Table1[[#This Row],[Campo]]</f>
        <v>lt004_protectiontyp_ep_scr</v>
      </c>
      <c r="I1250" s="2" t="s">
        <v>2320</v>
      </c>
      <c r="J1250" s="44">
        <f>VLOOKUP(Table1[[#This Row],[Status]],Auxiliar!$B$16:$C$24,2,0)</f>
        <v>7</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6">
        <f>+VLOOKUP(CONCATENATE(Table1[[#This Row],[Tabela]],Table1[[#This Row],[Campo]]),'2. Status Detalhe Campos FY24'!A:J,9,FALSE)</f>
        <v>0</v>
      </c>
    </row>
    <row r="1251" spans="2:24" ht="17.899999999999999" customHeight="1">
      <c r="B1251" s="40" t="s">
        <v>26</v>
      </c>
      <c r="C1251" s="40" t="s">
        <v>26</v>
      </c>
      <c r="D1251" s="42" t="s">
        <v>1270</v>
      </c>
      <c r="E1251" s="42" t="s">
        <v>1252</v>
      </c>
      <c r="F1251" s="42" t="s">
        <v>368</v>
      </c>
      <c r="G1251" s="42" t="s">
        <v>369</v>
      </c>
      <c r="H1251" s="56" t="str">
        <f>Table1[[#This Row],[Tabela]]&amp;Table1[[#This Row],[Campo]]</f>
        <v>lt004_protectiontyp_ep_scr</v>
      </c>
      <c r="I1251" s="2" t="s">
        <v>2320</v>
      </c>
      <c r="J1251" s="44">
        <f>VLOOKUP(Table1[[#This Row],[Status]],Auxiliar!$B$16:$C$24,2,0)</f>
        <v>7</v>
      </c>
      <c r="K1251" s="44" t="s">
        <v>1171</v>
      </c>
      <c r="L1251" s="45" t="s">
        <v>1174</v>
      </c>
      <c r="M1251" s="20" t="s">
        <v>1175</v>
      </c>
      <c r="N1251" s="47">
        <v>45723</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2.5000000000000001E-2</v>
      </c>
      <c r="X1251" s="166">
        <f>+VLOOKUP(CONCATENATE(Table1[[#This Row],[Tabela]],Table1[[#This Row],[Campo]]),'2. Status Detalhe Campos FY24'!A:J,9,FALSE)</f>
        <v>0</v>
      </c>
    </row>
    <row r="1252" spans="2:24" ht="17.899999999999999"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99999999999999"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99999999999999"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99999999999999"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4"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99999999999999" customHeight="1">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99999999999999" customHeight="1">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4" customHeight="1">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99999999999999" customHeight="1">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99999999999999" customHeight="1">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4" customHeight="1">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99999999999999" customHeight="1">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99999999999999" customHeight="1">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99999999999999" customHeight="1">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99999999999999"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99999999999999"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99999999999999"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99999999999999"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99999999999999"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99999999999999"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99999999999999" customHeight="1">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99999999999999" customHeight="1">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5" customHeight="1">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99999999999999"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99999999999999"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5"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99999999999999" customHeight="1">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6">
        <f>+VLOOKUP(CONCATENATE(Table1[[#This Row],[Tabela]],Table1[[#This Row],[Campo]]),'2. Status Detalhe Campos FY24'!A:J,9,FALSE)</f>
        <v>0</v>
      </c>
    </row>
    <row r="1279" spans="2:24" ht="17.899999999999999" customHeight="1">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6">
        <f>+VLOOKUP(CONCATENATE(Table1[[#This Row],[Tabela]],Table1[[#This Row],[Campo]]),'2. Status Detalhe Campos FY24'!A:J,9,FALSE)</f>
        <v>0</v>
      </c>
    </row>
    <row r="1280" spans="2:24" ht="35.15" customHeight="1">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6">
        <f>+VLOOKUP(CONCATENATE(Table1[[#This Row],[Tabela]],Table1[[#This Row],[Campo]]),'2. Status Detalhe Campos FY24'!A:J,9,FALSE)</f>
        <v>0</v>
      </c>
    </row>
    <row r="1281" spans="2:24" ht="17.899999999999999" customHeight="1">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6">
        <f>+VLOOKUP(CONCATENATE(Table1[[#This Row],[Tabela]],Table1[[#This Row],[Campo]]),'2. Status Detalhe Campos FY24'!A:J,9,FALSE)</f>
        <v>0</v>
      </c>
    </row>
    <row r="1282" spans="2:24" ht="17.899999999999999" customHeight="1">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6">
        <f>+VLOOKUP(CONCATENATE(Table1[[#This Row],[Tabela]],Table1[[#This Row],[Campo]]),'2. Status Detalhe Campos FY24'!A:J,9,FALSE)</f>
        <v>0</v>
      </c>
    </row>
    <row r="1283" spans="2:24" ht="35.15" customHeight="1">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6">
        <f>+VLOOKUP(CONCATENATE(Table1[[#This Row],[Tabela]],Table1[[#This Row],[Campo]]),'2. Status Detalhe Campos FY24'!A:J,9,FALSE)</f>
        <v>0</v>
      </c>
    </row>
    <row r="1284" spans="2:24" ht="17.899999999999999" customHeight="1">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99999999999999" customHeight="1">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5" customHeight="1">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99999999999999" customHeight="1">
      <c r="B1287" s="40" t="s">
        <v>26</v>
      </c>
      <c r="C1287" s="40" t="s">
        <v>26</v>
      </c>
      <c r="D1287" s="36" t="s">
        <v>1270</v>
      </c>
      <c r="E1287" s="41" t="s">
        <v>1252</v>
      </c>
      <c r="F1287" s="39" t="s">
        <v>368</v>
      </c>
      <c r="G1287" s="37" t="s">
        <v>370</v>
      </c>
      <c r="H1287" s="59" t="str">
        <f>Table1[[#This Row],[Tabela]]&amp;Table1[[#This Row],[Campo]]</f>
        <v>lt004_protectionep_scr</v>
      </c>
      <c r="I1287" s="2" t="s">
        <v>2320</v>
      </c>
      <c r="J1287" s="44">
        <f>VLOOKUP(Table1[[#This Row],[Status]],Auxiliar!$B$16:$C$24,2,0)</f>
        <v>7</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6">
        <f>+VLOOKUP(CONCATENATE(Table1[[#This Row],[Tabela]],Table1[[#This Row],[Campo]]),'2. Status Detalhe Campos FY24'!A:J,9,FALSE)</f>
        <v>0</v>
      </c>
    </row>
    <row r="1288" spans="2:24" ht="17.899999999999999" customHeight="1">
      <c r="B1288" s="38" t="s">
        <v>26</v>
      </c>
      <c r="C1288" s="38" t="s">
        <v>26</v>
      </c>
      <c r="D1288" s="38" t="s">
        <v>1270</v>
      </c>
      <c r="E1288" s="38" t="s">
        <v>1252</v>
      </c>
      <c r="F1288" s="38" t="s">
        <v>368</v>
      </c>
      <c r="G1288" s="38" t="s">
        <v>370</v>
      </c>
      <c r="H1288" s="58" t="str">
        <f>Table1[[#This Row],[Tabela]]&amp;Table1[[#This Row],[Campo]]</f>
        <v>lt004_protectionep_scr</v>
      </c>
      <c r="I1288" s="2" t="s">
        <v>2320</v>
      </c>
      <c r="J1288" s="44">
        <f>VLOOKUP(Table1[[#This Row],[Status]],Auxiliar!$B$16:$C$24,2,0)</f>
        <v>7</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6">
        <f>+VLOOKUP(CONCATENATE(Table1[[#This Row],[Tabela]],Table1[[#This Row],[Campo]]),'2. Status Detalhe Campos FY24'!A:J,9,FALSE)</f>
        <v>0</v>
      </c>
    </row>
    <row r="1289" spans="2:24" ht="35.15" customHeight="1">
      <c r="B1289" s="38" t="s">
        <v>26</v>
      </c>
      <c r="C1289" s="38" t="s">
        <v>26</v>
      </c>
      <c r="D1289" s="38" t="s">
        <v>1270</v>
      </c>
      <c r="E1289" s="38" t="s">
        <v>1252</v>
      </c>
      <c r="F1289" s="38" t="s">
        <v>368</v>
      </c>
      <c r="G1289" s="38" t="s">
        <v>370</v>
      </c>
      <c r="H1289" s="58" t="str">
        <f>Table1[[#This Row],[Tabela]]&amp;Table1[[#This Row],[Campo]]</f>
        <v>lt004_protectionep_scr</v>
      </c>
      <c r="I1289" s="2" t="s">
        <v>2320</v>
      </c>
      <c r="J1289" s="44">
        <f>VLOOKUP(Table1[[#This Row],[Status]],Auxiliar!$B$16:$C$24,2,0)</f>
        <v>7</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6">
        <f>+VLOOKUP(CONCATENATE(Table1[[#This Row],[Tabela]],Table1[[#This Row],[Campo]]),'2. Status Detalhe Campos FY24'!A:J,9,FALSE)</f>
        <v>0</v>
      </c>
    </row>
    <row r="1290" spans="2:24" ht="17.899999999999999" customHeight="1">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99999999999999" customHeight="1">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99999999999999" customHeight="1">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99999999999999"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99999999999999"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99999999999999"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99999999999999" customHeight="1">
      <c r="B1296" s="40" t="s">
        <v>26</v>
      </c>
      <c r="C1296" s="40" t="s">
        <v>26</v>
      </c>
      <c r="D1296" s="2" t="s">
        <v>38</v>
      </c>
      <c r="E1296" s="41" t="s">
        <v>38</v>
      </c>
      <c r="F1296" s="39" t="s">
        <v>379</v>
      </c>
      <c r="G1296" s="37" t="s">
        <v>381</v>
      </c>
      <c r="H1296" s="59" t="str">
        <f>Table1[[#This Row],[Tabela]]&amp;Table1[[#This Row],[Campo]]</f>
        <v>lt002_instrumentrsk_mtgtd_ccp</v>
      </c>
      <c r="I1296" s="2" t="s">
        <v>2320</v>
      </c>
      <c r="J1296" s="44">
        <f>VLOOKUP(Table1[[#This Row],[Status]],Auxiliar!$B$16:$C$24,2,0)</f>
        <v>7</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99999999999999" customHeight="1">
      <c r="B1297" s="38" t="s">
        <v>26</v>
      </c>
      <c r="C1297" s="38" t="s">
        <v>26</v>
      </c>
      <c r="D1297" s="2" t="s">
        <v>38</v>
      </c>
      <c r="E1297" s="38" t="s">
        <v>38</v>
      </c>
      <c r="F1297" s="38" t="s">
        <v>379</v>
      </c>
      <c r="G1297" s="38" t="s">
        <v>381</v>
      </c>
      <c r="H1297" s="58" t="str">
        <f>Table1[[#This Row],[Tabela]]&amp;Table1[[#This Row],[Campo]]</f>
        <v>lt002_instrumentrsk_mtgtd_ccp</v>
      </c>
      <c r="I1297" s="2" t="s">
        <v>2320</v>
      </c>
      <c r="J1297" s="44">
        <f>VLOOKUP(Table1[[#This Row],[Status]],Auxiliar!$B$16:$C$24,2,0)</f>
        <v>7</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99999999999999" customHeight="1">
      <c r="B1298" s="38" t="s">
        <v>26</v>
      </c>
      <c r="C1298" s="38" t="s">
        <v>26</v>
      </c>
      <c r="D1298" s="2" t="s">
        <v>38</v>
      </c>
      <c r="E1298" s="38" t="s">
        <v>38</v>
      </c>
      <c r="F1298" s="38" t="s">
        <v>379</v>
      </c>
      <c r="G1298" s="38" t="s">
        <v>381</v>
      </c>
      <c r="H1298" s="58" t="str">
        <f>Table1[[#This Row],[Tabela]]&amp;Table1[[#This Row],[Campo]]</f>
        <v>lt002_instrumentrsk_mtgtd_ccp</v>
      </c>
      <c r="I1298" s="2" t="s">
        <v>2320</v>
      </c>
      <c r="J1298" s="44">
        <f>VLOOKUP(Table1[[#This Row],[Status]],Auxiliar!$B$16:$C$24,2,0)</f>
        <v>7</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99999999999999" customHeight="1">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99999999999999" customHeight="1">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99999999999999" customHeight="1">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99999999999999" customHeight="1">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99999999999999" customHeight="1">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99999999999999" customHeight="1">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99999999999999" customHeight="1">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99999999999999" customHeight="1">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99999999999999" customHeight="1">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99999999999999" customHeight="1">
      <c r="B1308" s="38" t="s">
        <v>26</v>
      </c>
      <c r="C1308" s="38" t="s">
        <v>26</v>
      </c>
      <c r="D1308" s="38" t="s">
        <v>1270</v>
      </c>
      <c r="E1308" s="38" t="s">
        <v>1252</v>
      </c>
      <c r="F1308" s="38" t="s">
        <v>379</v>
      </c>
      <c r="G1308" s="38" t="s">
        <v>2164</v>
      </c>
      <c r="H1308" s="58" t="str">
        <f>Table1[[#This Row],[Tabela]]&amp;Table1[[#This Row],[Campo]]</f>
        <v>lt002_instrumentFRBRNC_STTS_INSTRMNT</v>
      </c>
      <c r="I1308" s="2" t="s">
        <v>1840</v>
      </c>
      <c r="J1308" s="44">
        <f>VLOOKUP(Table1[[#This Row],[Status]],Auxiliar!$B$16:$C$24,2,0)</f>
        <v>2</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1</v>
      </c>
      <c r="X1308" s="166">
        <f>+VLOOKUP(CONCATENATE(Table1[[#This Row],[Tabela]],Table1[[#This Row],[Campo]]),'2. Status Detalhe Campos FY24'!A:J,9,FALSE)</f>
        <v>0</v>
      </c>
    </row>
    <row r="1309" spans="2:24" ht="17.899999999999999" customHeight="1">
      <c r="B1309" s="38" t="s">
        <v>26</v>
      </c>
      <c r="C1309" s="38" t="s">
        <v>26</v>
      </c>
      <c r="D1309" s="38" t="s">
        <v>1270</v>
      </c>
      <c r="E1309" s="38" t="s">
        <v>1252</v>
      </c>
      <c r="F1309" s="38" t="s">
        <v>379</v>
      </c>
      <c r="G1309" s="38" t="s">
        <v>2165</v>
      </c>
      <c r="H1309" s="58" t="str">
        <f>Table1[[#This Row],[Tabela]]&amp;Table1[[#This Row],[Campo]]</f>
        <v>lt002_instrumentINTRNL_SGMNT</v>
      </c>
      <c r="I1309" s="2" t="s">
        <v>1840</v>
      </c>
      <c r="J1309" s="44">
        <f>VLOOKUP(Table1[[#This Row],[Status]],Auxiliar!$B$16:$C$24,2,0)</f>
        <v>2</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1</v>
      </c>
      <c r="X1309" s="166">
        <f>+VLOOKUP(CONCATENATE(Table1[[#This Row],[Tabela]],Table1[[#This Row],[Campo]]),'2. Status Detalhe Campos FY24'!A:J,9,FALSE)</f>
        <v>0</v>
      </c>
    </row>
    <row r="1310" spans="2:24" ht="17.899999999999999" customHeight="1">
      <c r="B1310" s="38" t="s">
        <v>26</v>
      </c>
      <c r="C1310" s="38" t="s">
        <v>26</v>
      </c>
      <c r="D1310" s="38" t="s">
        <v>1270</v>
      </c>
      <c r="E1310" s="38" t="s">
        <v>1252</v>
      </c>
      <c r="F1310" s="38" t="s">
        <v>379</v>
      </c>
      <c r="G1310" s="38" t="s">
        <v>2166</v>
      </c>
      <c r="H1310" s="58" t="str">
        <f>Table1[[#This Row],[Tabela]]&amp;Table1[[#This Row],[Campo]]</f>
        <v>lt002_instrumentDT_ORGNL_MTRTY</v>
      </c>
      <c r="I1310" s="2" t="s">
        <v>1840</v>
      </c>
      <c r="J1310" s="44">
        <f>VLOOKUP(Table1[[#This Row],[Status]],Auxiliar!$B$16:$C$24,2,0)</f>
        <v>2</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1</v>
      </c>
      <c r="X1310" s="166">
        <f>+VLOOKUP(CONCATENATE(Table1[[#This Row],[Tabela]],Table1[[#This Row],[Campo]]),'2. Status Detalhe Campos FY24'!A:J,9,FALSE)</f>
        <v>0</v>
      </c>
    </row>
    <row r="1311" spans="2:24" ht="17.899999999999999" customHeight="1">
      <c r="B1311" s="38" t="s">
        <v>26</v>
      </c>
      <c r="C1311" s="38" t="s">
        <v>26</v>
      </c>
      <c r="D1311" s="38" t="s">
        <v>1270</v>
      </c>
      <c r="E1311" s="38" t="s">
        <v>1252</v>
      </c>
      <c r="F1311" s="38" t="s">
        <v>379</v>
      </c>
      <c r="G1311" s="38" t="s">
        <v>2167</v>
      </c>
      <c r="H1311" s="58" t="str">
        <f>Table1[[#This Row],[Tabela]]&amp;Table1[[#This Row],[Campo]]</f>
        <v>lt002_instrumentEAD</v>
      </c>
      <c r="I1311" s="2" t="s">
        <v>1840</v>
      </c>
      <c r="J1311" s="44">
        <f>VLOOKUP(Table1[[#This Row],[Status]],Auxiliar!$B$16:$C$24,2,0)</f>
        <v>2</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1</v>
      </c>
      <c r="X1311" s="166">
        <f>+VLOOKUP(CONCATENATE(Table1[[#This Row],[Tabela]],Table1[[#This Row],[Campo]]),'2. Status Detalhe Campos FY24'!A:J,9,FALSE)</f>
        <v>0</v>
      </c>
    </row>
    <row r="1312" spans="2:24" ht="17.899999999999999" customHeight="1">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99999999999999" customHeight="1">
      <c r="B1313" s="38" t="s">
        <v>26</v>
      </c>
      <c r="C1313" s="38" t="s">
        <v>26</v>
      </c>
      <c r="D1313" s="38" t="s">
        <v>1270</v>
      </c>
      <c r="E1313" s="38" t="s">
        <v>1252</v>
      </c>
      <c r="F1313" s="38" t="s">
        <v>379</v>
      </c>
      <c r="G1313" s="38" t="s">
        <v>1418</v>
      </c>
      <c r="H1313" s="58" t="str">
        <f>Table1[[#This Row],[Tabela]]&amp;Table1[[#This Row],[Campo]]</f>
        <v>lt002_instrumentRWA</v>
      </c>
      <c r="I1313" s="2" t="s">
        <v>1840</v>
      </c>
      <c r="J1313" s="44">
        <f>VLOOKUP(Table1[[#This Row],[Status]],Auxiliar!$B$16:$C$24,2,0)</f>
        <v>2</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1</v>
      </c>
      <c r="X1313" s="166">
        <f>+VLOOKUP(CONCATENATE(Table1[[#This Row],[Tabela]],Table1[[#This Row],[Campo]]),'2. Status Detalhe Campos FY24'!A:J,9,FALSE)</f>
        <v>0</v>
      </c>
    </row>
    <row r="1314" spans="2:24" ht="17.899999999999999" customHeight="1">
      <c r="B1314" s="38" t="s">
        <v>26</v>
      </c>
      <c r="C1314" s="38" t="s">
        <v>26</v>
      </c>
      <c r="D1314" s="38" t="s">
        <v>1270</v>
      </c>
      <c r="E1314" s="38" t="s">
        <v>1252</v>
      </c>
      <c r="F1314" s="38" t="s">
        <v>379</v>
      </c>
      <c r="G1314" s="38" t="s">
        <v>2168</v>
      </c>
      <c r="H1314" s="58" t="str">
        <f>Table1[[#This Row],[Tabela]]&amp;Table1[[#This Row],[Campo]]</f>
        <v>lt002_instrumentLTV</v>
      </c>
      <c r="I1314" s="2" t="s">
        <v>1840</v>
      </c>
      <c r="J1314" s="44">
        <f>VLOOKUP(Table1[[#This Row],[Status]],Auxiliar!$B$16:$C$24,2,0)</f>
        <v>2</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1</v>
      </c>
      <c r="X1314" s="166">
        <f>+VLOOKUP(CONCATENATE(Table1[[#This Row],[Tabela]],Table1[[#This Row],[Campo]]),'2. Status Detalhe Campos FY24'!A:J,9,FALSE)</f>
        <v>0</v>
      </c>
    </row>
    <row r="1315" spans="2:24" ht="17.899999999999999" customHeight="1">
      <c r="B1315" s="38" t="s">
        <v>26</v>
      </c>
      <c r="C1315" s="38" t="s">
        <v>26</v>
      </c>
      <c r="D1315" s="38" t="s">
        <v>1270</v>
      </c>
      <c r="E1315" s="38" t="s">
        <v>1252</v>
      </c>
      <c r="F1315" s="38" t="s">
        <v>379</v>
      </c>
      <c r="G1315" s="38" t="s">
        <v>2169</v>
      </c>
      <c r="H1315" s="58" t="str">
        <f>Table1[[#This Row],[Tabela]]&amp;Table1[[#This Row],[Campo]]</f>
        <v>lt002_instrumentLTV_INCPTN</v>
      </c>
      <c r="I1315" s="2" t="s">
        <v>1840</v>
      </c>
      <c r="J1315" s="44">
        <f>VLOOKUP(Table1[[#This Row],[Status]],Auxiliar!$B$16:$C$24,2,0)</f>
        <v>2</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1</v>
      </c>
      <c r="X1315" s="166">
        <f>+VLOOKUP(CONCATENATE(Table1[[#This Row],[Tabela]],Table1[[#This Row],[Campo]]),'2. Status Detalhe Campos FY24'!A:J,9,FALSE)</f>
        <v>0</v>
      </c>
    </row>
    <row r="1316" spans="2:24" ht="17.899999999999999" customHeight="1">
      <c r="B1316" s="38" t="s">
        <v>26</v>
      </c>
      <c r="C1316" s="38" t="s">
        <v>26</v>
      </c>
      <c r="D1316" s="38" t="s">
        <v>1270</v>
      </c>
      <c r="E1316" s="38" t="s">
        <v>1252</v>
      </c>
      <c r="F1316" s="38" t="s">
        <v>379</v>
      </c>
      <c r="G1316" s="38" t="s">
        <v>2170</v>
      </c>
      <c r="H1316" s="58" t="str">
        <f>Table1[[#This Row],[Tabela]]&amp;Table1[[#This Row],[Campo]]</f>
        <v>lt002_instrumentEIR</v>
      </c>
      <c r="I1316" s="2" t="s">
        <v>1840</v>
      </c>
      <c r="J1316" s="44">
        <f>VLOOKUP(Table1[[#This Row],[Status]],Auxiliar!$B$16:$C$24,2,0)</f>
        <v>2</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1</v>
      </c>
      <c r="X1316" s="166">
        <f>+VLOOKUP(CONCATENATE(Table1[[#This Row],[Tabela]],Table1[[#This Row],[Campo]]),'2. Status Detalhe Campos FY24'!A:J,9,FALSE)</f>
        <v>0</v>
      </c>
    </row>
    <row r="1317" spans="2:24" ht="17.899999999999999" customHeight="1">
      <c r="B1317" s="38" t="s">
        <v>26</v>
      </c>
      <c r="C1317" s="38" t="s">
        <v>26</v>
      </c>
      <c r="D1317" s="38" t="s">
        <v>1270</v>
      </c>
      <c r="E1317" s="38" t="s">
        <v>1252</v>
      </c>
      <c r="F1317" s="38" t="s">
        <v>379</v>
      </c>
      <c r="G1317" s="38" t="s">
        <v>2171</v>
      </c>
      <c r="H1317" s="58" t="str">
        <f>Table1[[#This Row],[Tabela]]&amp;Table1[[#This Row],[Campo]]</f>
        <v>lt002_instrumentEIR_INCPTN</v>
      </c>
      <c r="I1317" s="2" t="s">
        <v>1840</v>
      </c>
      <c r="J1317" s="44">
        <f>VLOOKUP(Table1[[#This Row],[Status]],Auxiliar!$B$16:$C$24,2,0)</f>
        <v>2</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1</v>
      </c>
      <c r="X1317" s="166">
        <f>+VLOOKUP(CONCATENATE(Table1[[#This Row],[Tabela]],Table1[[#This Row],[Campo]]),'2. Status Detalhe Campos FY24'!A:J,9,FALSE)</f>
        <v>0</v>
      </c>
    </row>
    <row r="1318" spans="2:24" ht="17.899999999999999" customHeight="1">
      <c r="B1318" s="38" t="s">
        <v>26</v>
      </c>
      <c r="C1318" s="38" t="s">
        <v>26</v>
      </c>
      <c r="D1318" s="38" t="s">
        <v>1270</v>
      </c>
      <c r="E1318" s="38" t="s">
        <v>1252</v>
      </c>
      <c r="F1318" s="38" t="s">
        <v>379</v>
      </c>
      <c r="G1318" s="38" t="s">
        <v>2172</v>
      </c>
      <c r="H1318" s="58" t="str">
        <f>Table1[[#This Row],[Tabela]]&amp;Table1[[#This Row],[Campo]]</f>
        <v>lt002_instrumentINTRNL_SGMNT_CAT_MSTA</v>
      </c>
      <c r="I1318" s="2" t="s">
        <v>1840</v>
      </c>
      <c r="J1318" s="44">
        <f>VLOOKUP(Table1[[#This Row],[Status]],Auxiliar!$B$16:$C$24,2,0)</f>
        <v>2</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1</v>
      </c>
      <c r="X1318" s="166">
        <f>+VLOOKUP(CONCATENATE(Table1[[#This Row],[Tabela]],Table1[[#This Row],[Campo]]),'2. Status Detalhe Campos FY24'!A:J,9,FALSE)</f>
        <v>0</v>
      </c>
    </row>
    <row r="1319" spans="2:24" ht="17.899999999999999" customHeight="1">
      <c r="B1319" s="38" t="s">
        <v>26</v>
      </c>
      <c r="C1319" s="38" t="s">
        <v>26</v>
      </c>
      <c r="D1319" s="38" t="s">
        <v>1270</v>
      </c>
      <c r="E1319" s="38" t="s">
        <v>1252</v>
      </c>
      <c r="F1319" s="38" t="s">
        <v>379</v>
      </c>
      <c r="G1319" s="38" t="s">
        <v>2173</v>
      </c>
      <c r="H1319" s="58" t="str">
        <f>Table1[[#This Row],[Tabela]]&amp;Table1[[#This Row],[Campo]]</f>
        <v>lt002_instrumentINTRNL_SGMNT_CATGSUB</v>
      </c>
      <c r="I1319" s="2" t="s">
        <v>1840</v>
      </c>
      <c r="J1319" s="44">
        <f>VLOOKUP(Table1[[#This Row],[Status]],Auxiliar!$B$16:$C$24,2,0)</f>
        <v>2</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1</v>
      </c>
      <c r="X1319" s="166">
        <f>+VLOOKUP(CONCATENATE(Table1[[#This Row],[Tabela]],Table1[[#This Row],[Campo]]),'2. Status Detalhe Campos FY24'!A:J,9,FALSE)</f>
        <v>0</v>
      </c>
    </row>
    <row r="1320" spans="2:24" ht="17.899999999999999" customHeight="1">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99999999999999" customHeight="1">
      <c r="B1321" s="38" t="s">
        <v>26</v>
      </c>
      <c r="C1321" s="38" t="s">
        <v>26</v>
      </c>
      <c r="D1321" s="38" t="s">
        <v>1270</v>
      </c>
      <c r="E1321" s="38" t="s">
        <v>1252</v>
      </c>
      <c r="F1321" s="38" t="s">
        <v>379</v>
      </c>
      <c r="G1321" s="38" t="s">
        <v>1344</v>
      </c>
      <c r="H1321" s="58" t="str">
        <f>Table1[[#This Row],[Tabela]]&amp;Table1[[#This Row],[Campo]]</f>
        <v>lt002_instrumentCNCLLD_INSTRMNT_STTS</v>
      </c>
      <c r="I1321" s="2" t="s">
        <v>614</v>
      </c>
      <c r="J1321" s="44">
        <f>VLOOKUP(Table1[[#This Row],[Status]],Auxiliar!$B$16:$C$24,2,0)</f>
        <v>5</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99999999999999" customHeight="1">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5" customHeight="1">
      <c r="B1323" s="38" t="s">
        <v>26</v>
      </c>
      <c r="C1323" s="38" t="s">
        <v>26</v>
      </c>
      <c r="D1323" s="38" t="s">
        <v>1270</v>
      </c>
      <c r="E1323" s="38" t="s">
        <v>1252</v>
      </c>
      <c r="F1323" s="38" t="s">
        <v>379</v>
      </c>
      <c r="G1323" s="38" t="s">
        <v>2175</v>
      </c>
      <c r="H1323" s="58" t="str">
        <f>Table1[[#This Row],[Tabela]]&amp;Table1[[#This Row],[Campo]]</f>
        <v>lt002_instrumentFLG_MNMM_SFGRDS</v>
      </c>
      <c r="I1323" s="2" t="s">
        <v>1840</v>
      </c>
      <c r="J1323" s="44">
        <f>VLOOKUP(Table1[[#This Row],[Status]],Auxiliar!$B$16:$C$24,2,0)</f>
        <v>2</v>
      </c>
      <c r="K1323" s="44" t="s">
        <v>1169</v>
      </c>
      <c r="L1323" s="45" t="s">
        <v>1174</v>
      </c>
      <c r="M1323" s="20" t="s">
        <v>1175</v>
      </c>
      <c r="N1323" s="47">
        <v>45723</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1</v>
      </c>
      <c r="X1323" s="166">
        <f>+VLOOKUP(CONCATENATE(Table1[[#This Row],[Tabela]],Table1[[#This Row],[Campo]]),'2. Status Detalhe Campos FY24'!A:J,9,FALSE)</f>
        <v>0</v>
      </c>
    </row>
    <row r="1324" spans="2:24" ht="17.899999999999999" customHeight="1">
      <c r="B1324" s="38" t="s">
        <v>26</v>
      </c>
      <c r="C1324" s="38" t="s">
        <v>26</v>
      </c>
      <c r="D1324" s="36" t="s">
        <v>1861</v>
      </c>
      <c r="E1324" s="110" t="s">
        <v>38</v>
      </c>
      <c r="F1324" s="39" t="s">
        <v>379</v>
      </c>
      <c r="G1324" s="37" t="s">
        <v>385</v>
      </c>
      <c r="H1324" s="59" t="str">
        <f>Table1[[#This Row],[Tabela]]&amp;Table1[[#This Row],[Campo]]</f>
        <v>lt002_instrumentmthd_usd_instrmnt_scp_1</v>
      </c>
      <c r="I1324" s="2" t="s">
        <v>2320</v>
      </c>
      <c r="J1324" s="44">
        <f>VLOOKUP(Table1[[#This Row],[Status]],Auxiliar!$B$16:$C$24,2,0)</f>
        <v>7</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6">
        <f>+VLOOKUP(CONCATENATE(Table1[[#This Row],[Tabela]],Table1[[#This Row],[Campo]]),'2. Status Detalhe Campos FY24'!A:J,9,FALSE)</f>
        <v>0</v>
      </c>
    </row>
    <row r="1325" spans="2:24" ht="17.899999999999999" customHeight="1">
      <c r="B1325" s="38" t="s">
        <v>26</v>
      </c>
      <c r="C1325" s="38" t="s">
        <v>26</v>
      </c>
      <c r="D1325" s="38" t="s">
        <v>1861</v>
      </c>
      <c r="E1325" s="38" t="s">
        <v>38</v>
      </c>
      <c r="F1325" s="38" t="s">
        <v>379</v>
      </c>
      <c r="G1325" s="38" t="s">
        <v>385</v>
      </c>
      <c r="H1325" s="58" t="str">
        <f>Table1[[#This Row],[Tabela]]&amp;Table1[[#This Row],[Campo]]</f>
        <v>lt002_instrumentmthd_usd_instrmnt_scp_1</v>
      </c>
      <c r="I1325" s="2" t="s">
        <v>2320</v>
      </c>
      <c r="J1325" s="44">
        <f>VLOOKUP(Table1[[#This Row],[Status]],Auxiliar!$B$16:$C$24,2,0)</f>
        <v>7</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6">
        <f>+VLOOKUP(CONCATENATE(Table1[[#This Row],[Tabela]],Table1[[#This Row],[Campo]]),'2. Status Detalhe Campos FY24'!A:J,9,FALSE)</f>
        <v>0</v>
      </c>
    </row>
    <row r="1326" spans="2:24" ht="35.15" customHeight="1">
      <c r="B1326" s="38" t="s">
        <v>26</v>
      </c>
      <c r="C1326" s="38" t="s">
        <v>26</v>
      </c>
      <c r="D1326" s="38" t="s">
        <v>1861</v>
      </c>
      <c r="E1326" s="38" t="s">
        <v>38</v>
      </c>
      <c r="F1326" s="38" t="s">
        <v>379</v>
      </c>
      <c r="G1326" s="38" t="s">
        <v>385</v>
      </c>
      <c r="H1326" s="58" t="str">
        <f>Table1[[#This Row],[Tabela]]&amp;Table1[[#This Row],[Campo]]</f>
        <v>lt002_instrumentmthd_usd_instrmnt_scp_1</v>
      </c>
      <c r="I1326" s="2" t="s">
        <v>2320</v>
      </c>
      <c r="J1326" s="44">
        <f>VLOOKUP(Table1[[#This Row],[Status]],Auxiliar!$B$16:$C$24,2,0)</f>
        <v>7</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6">
        <f>+VLOOKUP(CONCATENATE(Table1[[#This Row],[Tabela]],Table1[[#This Row],[Campo]]),'2. Status Detalhe Campos FY24'!A:J,9,FALSE)</f>
        <v>0</v>
      </c>
    </row>
    <row r="1327" spans="2:24" ht="17.899999999999999" customHeight="1">
      <c r="B1327" s="38" t="s">
        <v>26</v>
      </c>
      <c r="C1327" s="38" t="s">
        <v>26</v>
      </c>
      <c r="D1327" s="36" t="s">
        <v>1861</v>
      </c>
      <c r="E1327" s="110" t="s">
        <v>38</v>
      </c>
      <c r="F1327" s="39" t="s">
        <v>379</v>
      </c>
      <c r="G1327" s="37" t="s">
        <v>386</v>
      </c>
      <c r="H1327" s="59" t="str">
        <f>Table1[[#This Row],[Tabela]]&amp;Table1[[#This Row],[Campo]]</f>
        <v>lt002_instrumentmthd_usd_instrmnt_scp_2</v>
      </c>
      <c r="I1327" s="2" t="s">
        <v>2320</v>
      </c>
      <c r="J1327" s="44">
        <f>VLOOKUP(Table1[[#This Row],[Status]],Auxiliar!$B$16:$C$24,2,0)</f>
        <v>7</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6">
        <f>+VLOOKUP(CONCATENATE(Table1[[#This Row],[Tabela]],Table1[[#This Row],[Campo]]),'2. Status Detalhe Campos FY24'!A:J,9,FALSE)</f>
        <v>0</v>
      </c>
    </row>
    <row r="1328" spans="2:24" ht="17.899999999999999" customHeight="1">
      <c r="B1328" s="38" t="s">
        <v>26</v>
      </c>
      <c r="C1328" s="38" t="s">
        <v>26</v>
      </c>
      <c r="D1328" s="38" t="s">
        <v>1861</v>
      </c>
      <c r="E1328" s="38" t="s">
        <v>38</v>
      </c>
      <c r="F1328" s="38" t="s">
        <v>379</v>
      </c>
      <c r="G1328" s="38" t="s">
        <v>386</v>
      </c>
      <c r="H1328" s="58" t="str">
        <f>Table1[[#This Row],[Tabela]]&amp;Table1[[#This Row],[Campo]]</f>
        <v>lt002_instrumentmthd_usd_instrmnt_scp_2</v>
      </c>
      <c r="I1328" s="2" t="s">
        <v>2320</v>
      </c>
      <c r="J1328" s="44">
        <f>VLOOKUP(Table1[[#This Row],[Status]],Auxiliar!$B$16:$C$24,2,0)</f>
        <v>7</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6">
        <f>+VLOOKUP(CONCATENATE(Table1[[#This Row],[Tabela]],Table1[[#This Row],[Campo]]),'2. Status Detalhe Campos FY24'!A:J,9,FALSE)</f>
        <v>0</v>
      </c>
    </row>
    <row r="1329" spans="2:24" ht="35.15" customHeight="1">
      <c r="B1329" s="38" t="s">
        <v>26</v>
      </c>
      <c r="C1329" s="38" t="s">
        <v>26</v>
      </c>
      <c r="D1329" s="38" t="s">
        <v>1861</v>
      </c>
      <c r="E1329" s="38" t="s">
        <v>38</v>
      </c>
      <c r="F1329" s="38" t="s">
        <v>379</v>
      </c>
      <c r="G1329" s="38" t="s">
        <v>386</v>
      </c>
      <c r="H1329" s="58" t="str">
        <f>Table1[[#This Row],[Tabela]]&amp;Table1[[#This Row],[Campo]]</f>
        <v>lt002_instrumentmthd_usd_instrmnt_scp_2</v>
      </c>
      <c r="I1329" s="2" t="s">
        <v>2320</v>
      </c>
      <c r="J1329" s="44">
        <f>VLOOKUP(Table1[[#This Row],[Status]],Auxiliar!$B$16:$C$24,2,0)</f>
        <v>7</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6">
        <f>+VLOOKUP(CONCATENATE(Table1[[#This Row],[Tabela]],Table1[[#This Row],[Campo]]),'2. Status Detalhe Campos FY24'!A:J,9,FALSE)</f>
        <v>0</v>
      </c>
    </row>
    <row r="1330" spans="2:24" ht="17.899999999999999" customHeight="1">
      <c r="B1330" s="38" t="s">
        <v>26</v>
      </c>
      <c r="C1330" s="38" t="s">
        <v>26</v>
      </c>
      <c r="D1330" s="36" t="s">
        <v>1861</v>
      </c>
      <c r="E1330" s="110" t="s">
        <v>38</v>
      </c>
      <c r="F1330" s="39" t="s">
        <v>379</v>
      </c>
      <c r="G1330" s="37" t="s">
        <v>387</v>
      </c>
      <c r="H1330" s="59" t="str">
        <f>Table1[[#This Row],[Tabela]]&amp;Table1[[#This Row],[Campo]]</f>
        <v>lt002_instrumentmthd_usd_instrmnt_scp_3</v>
      </c>
      <c r="I1330" s="2" t="s">
        <v>2320</v>
      </c>
      <c r="J1330" s="44">
        <f>VLOOKUP(Table1[[#This Row],[Status]],Auxiliar!$B$16:$C$24,2,0)</f>
        <v>7</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6">
        <f>+VLOOKUP(CONCATENATE(Table1[[#This Row],[Tabela]],Table1[[#This Row],[Campo]]),'2. Status Detalhe Campos FY24'!A:J,9,FALSE)</f>
        <v>0</v>
      </c>
    </row>
    <row r="1331" spans="2:24" ht="17.899999999999999" customHeight="1">
      <c r="B1331" s="38" t="s">
        <v>26</v>
      </c>
      <c r="C1331" s="38" t="s">
        <v>26</v>
      </c>
      <c r="D1331" s="38" t="s">
        <v>1861</v>
      </c>
      <c r="E1331" s="38" t="s">
        <v>38</v>
      </c>
      <c r="F1331" s="38" t="s">
        <v>379</v>
      </c>
      <c r="G1331" s="38" t="s">
        <v>387</v>
      </c>
      <c r="H1331" s="58" t="str">
        <f>Table1[[#This Row],[Tabela]]&amp;Table1[[#This Row],[Campo]]</f>
        <v>lt002_instrumentmthd_usd_instrmnt_scp_3</v>
      </c>
      <c r="I1331" s="2" t="s">
        <v>2320</v>
      </c>
      <c r="J1331" s="44">
        <f>VLOOKUP(Table1[[#This Row],[Status]],Auxiliar!$B$16:$C$24,2,0)</f>
        <v>7</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6">
        <f>+VLOOKUP(CONCATENATE(Table1[[#This Row],[Tabela]],Table1[[#This Row],[Campo]]),'2. Status Detalhe Campos FY24'!A:J,9,FALSE)</f>
        <v>0</v>
      </c>
    </row>
    <row r="1332" spans="2:24" ht="17.899999999999999" customHeight="1">
      <c r="B1332" s="38" t="s">
        <v>26</v>
      </c>
      <c r="C1332" s="38" t="s">
        <v>26</v>
      </c>
      <c r="D1332" s="38" t="s">
        <v>1861</v>
      </c>
      <c r="E1332" s="38" t="s">
        <v>38</v>
      </c>
      <c r="F1332" s="38" t="s">
        <v>379</v>
      </c>
      <c r="G1332" s="38" t="s">
        <v>387</v>
      </c>
      <c r="H1332" s="58" t="str">
        <f>Table1[[#This Row],[Tabela]]&amp;Table1[[#This Row],[Campo]]</f>
        <v>lt002_instrumentmthd_usd_instrmnt_scp_3</v>
      </c>
      <c r="I1332" s="2" t="s">
        <v>2320</v>
      </c>
      <c r="J1332" s="44">
        <f>VLOOKUP(Table1[[#This Row],[Status]],Auxiliar!$B$16:$C$24,2,0)</f>
        <v>7</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6">
        <f>+VLOOKUP(CONCATENATE(Table1[[#This Row],[Tabela]],Table1[[#This Row],[Campo]]),'2. Status Detalhe Campos FY24'!A:J,9,FALSE)</f>
        <v>0</v>
      </c>
    </row>
    <row r="1333" spans="2:24" ht="17.899999999999999" customHeight="1">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6">
        <f>+VLOOKUP(CONCATENATE(Table1[[#This Row],[Tabela]],Table1[[#This Row],[Campo]]),'2. Status Detalhe Campos FY24'!A:J,9,FALSE)</f>
        <v>0</v>
      </c>
    </row>
    <row r="1334" spans="2:24" ht="17.899999999999999" customHeight="1">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6">
        <f>+VLOOKUP(CONCATENATE(Table1[[#This Row],[Tabela]],Table1[[#This Row],[Campo]]),'2. Status Detalhe Campos FY24'!A:J,9,FALSE)</f>
        <v>0</v>
      </c>
    </row>
    <row r="1335" spans="2:24" ht="17.899999999999999" customHeight="1">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6">
        <f>+VLOOKUP(CONCATENATE(Table1[[#This Row],[Tabela]],Table1[[#This Row],[Campo]]),'2. Status Detalhe Campos FY24'!A:J,9,FALSE)</f>
        <v>0</v>
      </c>
    </row>
    <row r="1336" spans="2:24" ht="17.899999999999999" customHeight="1">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99999999999999" customHeight="1">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99999999999999" customHeight="1">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99999999999999" customHeight="1">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99999999999999" customHeight="1">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99999999999999" customHeight="1">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99999999999999" customHeight="1">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99999999999999" customHeight="1">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99999999999999" customHeight="1">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99999999999999" customHeight="1">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99999999999999" customHeight="1">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99999999999999" customHeight="1">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99999999999999" customHeight="1">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99999999999999" customHeight="1">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99999999999999" customHeight="1">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99999999999999" customHeight="1">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99999999999999" customHeight="1">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99999999999999" customHeight="1">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99999999999999" customHeight="1">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99999999999999" customHeight="1">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99999999999999" customHeight="1">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99999999999999" customHeight="1">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99999999999999" customHeight="1">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99999999999999" customHeight="1">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99999999999999" customHeight="1">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99999999999999" customHeight="1">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99999999999999" customHeight="1">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99999999999999" customHeight="1">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99999999999999" customHeight="1">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99999999999999" customHeight="1">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99999999999999" customHeight="1">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99999999999999" customHeight="1">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99999999999999" customHeight="1">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99999999999999" customHeight="1">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99999999999999" customHeight="1">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99999999999999" customHeight="1">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99999999999999" customHeight="1">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99999999999999" customHeight="1">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99999999999999" customHeight="1">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99999999999999" customHeight="1">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99999999999999" customHeight="1">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99999999999999" customHeight="1">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99999999999999" customHeight="1">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6">
        <f>+VLOOKUP(CONCATENATE(Table1[[#This Row],[Tabela]],Table1[[#This Row],[Campo]]),'2. Status Detalhe Campos FY24'!A:J,9,FALSE)</f>
        <v>0</v>
      </c>
    </row>
    <row r="1379" spans="2:24" ht="17.899999999999999" customHeight="1">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6">
        <f>+VLOOKUP(CONCATENATE(Table1[[#This Row],[Tabela]],Table1[[#This Row],[Campo]]),'2. Status Detalhe Campos FY24'!A:J,9,FALSE)</f>
        <v>0</v>
      </c>
    </row>
    <row r="1380" spans="2:24" ht="17.899999999999999" customHeight="1">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6">
        <f>+VLOOKUP(CONCATENATE(Table1[[#This Row],[Tabela]],Table1[[#This Row],[Campo]]),'2. Status Detalhe Campos FY24'!A:J,9,FALSE)</f>
        <v>0</v>
      </c>
    </row>
    <row r="1381" spans="2:24" ht="17.899999999999999" customHeight="1">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99999999999999" customHeight="1">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99999999999999" customHeight="1">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99999999999999" customHeight="1">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99999999999999" customHeight="1">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99999999999999" customHeight="1">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99999999999999" customHeight="1">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99999999999999" customHeight="1">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99999999999999" customHeight="1">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99999999999999" customHeight="1">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99999999999999" customHeight="1">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99999999999999" customHeight="1">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99999999999999" customHeight="1">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99999999999999" customHeight="1">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99999999999999" customHeight="1">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99999999999999" customHeight="1">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99999999999999" customHeight="1">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99999999999999" customHeight="1">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99999999999999" customHeight="1">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99999999999999" customHeight="1">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99999999999999" customHeight="1">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99999999999999" customHeight="1">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99999999999999" customHeight="1">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99999999999999" customHeight="1">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99999999999999" customHeight="1">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6">
        <f>+VLOOKUP(CONCATENATE(Table1[[#This Row],[Tabela]],Table1[[#This Row],[Campo]]),'2. Status Detalhe Campos FY24'!A:J,9,FALSE)</f>
        <v>0</v>
      </c>
    </row>
    <row r="1406" spans="2:24" ht="17.899999999999999" customHeight="1">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6">
        <f>+VLOOKUP(CONCATENATE(Table1[[#This Row],[Tabela]],Table1[[#This Row],[Campo]]),'2. Status Detalhe Campos FY24'!A:J,9,FALSE)</f>
        <v>0</v>
      </c>
    </row>
    <row r="1407" spans="2:24" ht="17.899999999999999" customHeight="1">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99999999999999" customHeight="1">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99999999999999" customHeight="1">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99999999999999" customHeight="1">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99999999999999" customHeight="1">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99999999999999" customHeight="1">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99999999999999" customHeight="1">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6">
        <f>+VLOOKUP(CONCATENATE(Table1[[#This Row],[Tabela]],Table1[[#This Row],[Campo]]),'2. Status Detalhe Campos FY24'!A:J,9,FALSE)</f>
        <v>0</v>
      </c>
    </row>
    <row r="1414" spans="2:24" ht="17.899999999999999" customHeight="1">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99999999999999" customHeight="1">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99999999999999" customHeight="1">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6">
        <f>+VLOOKUP(CONCATENATE(Table1[[#This Row],[Tabela]],Table1[[#This Row],[Campo]]),'2. Status Detalhe Campos FY24'!A:J,9,FALSE)</f>
        <v>0</v>
      </c>
    </row>
    <row r="1417" spans="2:24" ht="17.899999999999999" customHeight="1">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99999999999999" customHeight="1">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99999999999999" customHeight="1">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99999999999999" customHeight="1">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99999999999999" customHeight="1">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99999999999999" customHeight="1">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99999999999999" customHeight="1">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99999999999999" customHeight="1">
      <c r="B1424" s="38" t="s">
        <v>26</v>
      </c>
      <c r="C1424" s="38" t="s">
        <v>26</v>
      </c>
      <c r="D1424" s="19"/>
      <c r="E1424" s="111"/>
      <c r="F1424" s="39" t="s">
        <v>1860</v>
      </c>
      <c r="G1424" s="358" t="s">
        <v>1293</v>
      </c>
      <c r="H1424" s="58" t="str">
        <f>Table1[[#This Row],[Tabela]]&amp;Table1[[#This Row],[Campo]]</f>
        <v>lt007_instr_activityCOD_SOC</v>
      </c>
      <c r="I1424" s="2" t="s">
        <v>1840</v>
      </c>
      <c r="J1424" s="44">
        <f>VLOOKUP(Table1[[#This Row],[Status]],Auxiliar!$B$16:$C$24,2,0)</f>
        <v>2</v>
      </c>
      <c r="K1424" s="20"/>
      <c r="L1424" s="45"/>
      <c r="M1424" s="20"/>
      <c r="N1424" s="47">
        <v>45723</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6">
        <f>+VLOOKUP(CONCATENATE(Table1[[#This Row],[Tabela]],Table1[[#This Row],[Campo]]),'2. Status Detalhe Campos FY24'!A:J,9,FALSE)</f>
        <v>0</v>
      </c>
    </row>
    <row r="1425" spans="2:24" ht="17.899999999999999" customHeight="1">
      <c r="B1425" s="38" t="s">
        <v>26</v>
      </c>
      <c r="C1425" s="38" t="s">
        <v>26</v>
      </c>
      <c r="D1425" s="19"/>
      <c r="E1425" s="111"/>
      <c r="F1425" s="39" t="s">
        <v>1860</v>
      </c>
      <c r="G1425" s="358" t="s">
        <v>1298</v>
      </c>
      <c r="H1425" s="58" t="str">
        <f>Table1[[#This Row],[Tabela]]&amp;Table1[[#This Row],[Campo]]</f>
        <v>lt007_instr_activityDT_RFRNC</v>
      </c>
      <c r="I1425" s="2" t="s">
        <v>1840</v>
      </c>
      <c r="J1425" s="44">
        <f>VLOOKUP(Table1[[#This Row],[Status]],Auxiliar!$B$16:$C$24,2,0)</f>
        <v>2</v>
      </c>
      <c r="K1425" s="20"/>
      <c r="L1425" s="45"/>
      <c r="M1425" s="20"/>
      <c r="N1425" s="47">
        <v>45723</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6">
        <f>+VLOOKUP(CONCATENATE(Table1[[#This Row],[Tabela]],Table1[[#This Row],[Campo]]),'2. Status Detalhe Campos FY24'!A:J,9,FALSE)</f>
        <v>0</v>
      </c>
    </row>
    <row r="1426" spans="2:24" ht="17.899999999999999" customHeight="1">
      <c r="B1426" s="38" t="s">
        <v>26</v>
      </c>
      <c r="C1426" s="38" t="s">
        <v>26</v>
      </c>
      <c r="D1426" s="19"/>
      <c r="E1426" s="111"/>
      <c r="F1426" s="39" t="s">
        <v>1860</v>
      </c>
      <c r="G1426" s="358" t="s">
        <v>1307</v>
      </c>
      <c r="H1426" s="58" t="str">
        <f>Table1[[#This Row],[Tabela]]&amp;Table1[[#This Row],[Campo]]</f>
        <v>lt007_instr_activityINSTRMNT_ID</v>
      </c>
      <c r="I1426" s="2" t="s">
        <v>1840</v>
      </c>
      <c r="J1426" s="44">
        <f>VLOOKUP(Table1[[#This Row],[Status]],Auxiliar!$B$16:$C$24,2,0)</f>
        <v>2</v>
      </c>
      <c r="K1426" s="20"/>
      <c r="L1426" s="45"/>
      <c r="M1426" s="20"/>
      <c r="N1426" s="47">
        <v>45723</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6">
        <f>+VLOOKUP(CONCATENATE(Table1[[#This Row],[Tabela]],Table1[[#This Row],[Campo]]),'2. Status Detalhe Campos FY24'!A:J,9,FALSE)</f>
        <v>0</v>
      </c>
    </row>
    <row r="1427" spans="2:24" ht="17.899999999999999" customHeight="1">
      <c r="B1427" s="38" t="s">
        <v>26</v>
      </c>
      <c r="C1427" s="38" t="s">
        <v>26</v>
      </c>
      <c r="D1427" s="19"/>
      <c r="E1427" s="111"/>
      <c r="F1427" s="39" t="s">
        <v>1860</v>
      </c>
      <c r="G1427" s="358"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99999999999999" customHeight="1">
      <c r="B1428" s="38" t="s">
        <v>26</v>
      </c>
      <c r="C1428" s="38" t="s">
        <v>26</v>
      </c>
      <c r="D1428" s="19"/>
      <c r="E1428" s="111"/>
      <c r="F1428" s="39" t="s">
        <v>1860</v>
      </c>
      <c r="G1428" s="358"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99999999999999" customHeight="1">
      <c r="B1429" s="38" t="s">
        <v>26</v>
      </c>
      <c r="C1429" s="38" t="s">
        <v>26</v>
      </c>
      <c r="D1429" s="19"/>
      <c r="E1429" s="111"/>
      <c r="F1429" s="39" t="s">
        <v>1860</v>
      </c>
      <c r="G1429" s="358" t="s">
        <v>2294</v>
      </c>
      <c r="H1429" s="58" t="str">
        <f>Table1[[#This Row],[Tabela]]&amp;Table1[[#This Row],[Campo]]</f>
        <v>lt007_instr_activityFLG_DNSH_CMPLNC</v>
      </c>
      <c r="I1429" s="2" t="s">
        <v>1840</v>
      </c>
      <c r="J1429" s="44">
        <f>VLOOKUP(Table1[[#This Row],[Status]],Auxiliar!$B$16:$C$24,2,0)</f>
        <v>2</v>
      </c>
      <c r="K1429" s="20"/>
      <c r="L1429" s="45"/>
      <c r="M1429" s="20"/>
      <c r="N1429" s="47">
        <v>45723</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99999999999999" customHeight="1">
      <c r="B1430" s="38" t="s">
        <v>26</v>
      </c>
      <c r="C1430" s="38" t="s">
        <v>26</v>
      </c>
      <c r="D1430" s="19"/>
      <c r="E1430" s="111"/>
      <c r="F1430" s="39" t="s">
        <v>1860</v>
      </c>
      <c r="G1430" s="358" t="s">
        <v>2295</v>
      </c>
      <c r="H1430" s="58" t="str">
        <f>Table1[[#This Row],[Tabela]]&amp;Table1[[#This Row],[Campo]]</f>
        <v>lt007_instr_activityDNSH_DTL</v>
      </c>
      <c r="I1430" s="2" t="s">
        <v>1840</v>
      </c>
      <c r="J1430" s="44">
        <f>VLOOKUP(Table1[[#This Row],[Status]],Auxiliar!$B$16:$C$24,2,0)</f>
        <v>2</v>
      </c>
      <c r="K1430" s="20"/>
      <c r="L1430" s="45"/>
      <c r="M1430" s="20"/>
      <c r="N1430" s="47">
        <v>45723</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99999999999999" customHeight="1">
      <c r="B1431" s="38" t="s">
        <v>26</v>
      </c>
      <c r="C1431" s="38" t="s">
        <v>26</v>
      </c>
      <c r="D1431" s="12" t="s">
        <v>31</v>
      </c>
      <c r="E1431" s="111" t="s">
        <v>38</v>
      </c>
      <c r="F1431" s="2" t="s">
        <v>1860</v>
      </c>
      <c r="G1431" s="12" t="s">
        <v>418</v>
      </c>
      <c r="H1431" s="58" t="str">
        <f>Table1[[#This Row],[Tabela]]&amp;Table1[[#This Row],[Campo]]</f>
        <v>lt007_instr_activitysstnbl_indctr</v>
      </c>
      <c r="I1431" s="2" t="s">
        <v>2319</v>
      </c>
      <c r="J1431" s="44">
        <f>VLOOKUP(Table1[[#This Row],[Status]],Auxiliar!$B$16:$C$24,2,0)</f>
        <v>3</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0.05</v>
      </c>
      <c r="X1431" s="166">
        <f>+VLOOKUP(CONCATENATE(Table1[[#This Row],[Tabela]],Table1[[#This Row],[Campo]]),'2. Status Detalhe Campos FY24'!A:J,9,FALSE)</f>
        <v>0</v>
      </c>
    </row>
    <row r="1432" spans="2:24" ht="17.899999999999999" customHeight="1">
      <c r="B1432" s="38" t="s">
        <v>26</v>
      </c>
      <c r="C1432" s="38" t="s">
        <v>26</v>
      </c>
      <c r="D1432" s="12" t="s">
        <v>31</v>
      </c>
      <c r="E1432" s="111" t="s">
        <v>38</v>
      </c>
      <c r="F1432" s="2" t="s">
        <v>1860</v>
      </c>
      <c r="G1432" s="12" t="s">
        <v>419</v>
      </c>
      <c r="H1432" s="58" t="str">
        <f>Table1[[#This Row],[Tabela]]&amp;Table1[[#This Row],[Campo]]</f>
        <v>lt007_instr_activitysstnbl_ctgry</v>
      </c>
      <c r="I1432" s="2" t="s">
        <v>2320</v>
      </c>
      <c r="J1432" s="44">
        <f>VLOOKUP(Table1[[#This Row],[Status]],Auxiliar!$B$16:$C$24,2,0)</f>
        <v>7</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2.5000000000000001E-2</v>
      </c>
      <c r="X1432" s="166">
        <f>+VLOOKUP(CONCATENATE(Table1[[#This Row],[Tabela]],Table1[[#This Row],[Campo]]),'2. Status Detalhe Campos FY24'!A:J,9,FALSE)</f>
        <v>0</v>
      </c>
    </row>
    <row r="1433" spans="2:24" ht="17.899999999999999" customHeight="1">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6">
        <f>+VLOOKUP(CONCATENATE(Table1[[#This Row],[Tabela]],Table1[[#This Row],[Campo]]),'2. Status Detalhe Campos FY24'!A:J,9,FALSE)</f>
        <v>0</v>
      </c>
    </row>
    <row r="1434" spans="2:24" ht="17.899999999999999" customHeight="1">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6">
        <f>+VLOOKUP(CONCATENATE(Table1[[#This Row],[Tabela]],Table1[[#This Row],[Campo]]),'2. Status Detalhe Campos FY24'!A:J,9,FALSE)</f>
        <v>0</v>
      </c>
    </row>
    <row r="1435" spans="2:24" ht="17.899999999999999" customHeight="1">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6">
        <f>+VLOOKUP(CONCATENATE(Table1[[#This Row],[Tabela]],Table1[[#This Row],[Campo]]),'2. Status Detalhe Campos FY24'!A:J,9,FALSE)</f>
        <v>0</v>
      </c>
    </row>
    <row r="1436" spans="2:24" ht="17.899999999999999" customHeight="1">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6">
        <f>+VLOOKUP(CONCATENATE(Table1[[#This Row],[Tabela]],Table1[[#This Row],[Campo]]),'2. Status Detalhe Campos FY24'!A:J,9,FALSE)</f>
        <v>0</v>
      </c>
    </row>
    <row r="1437" spans="2:24" ht="17.899999999999999" customHeight="1">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6">
        <f>+VLOOKUP(CONCATENATE(Table1[[#This Row],[Tabela]],Table1[[#This Row],[Campo]]),'2. Status Detalhe Campos FY24'!A:J,9,FALSE)</f>
        <v>0</v>
      </c>
    </row>
    <row r="1438" spans="2:24" ht="17.899999999999999" customHeight="1">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6">
        <f>+VLOOKUP(CONCATENATE(Table1[[#This Row],[Tabela]],Table1[[#This Row],[Campo]]),'2. Status Detalhe Campos FY24'!A:J,9,FALSE)</f>
        <v>0</v>
      </c>
    </row>
    <row r="1439" spans="2:24" ht="17.899999999999999" customHeight="1">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99999999999999" customHeight="1">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99999999999999" customHeight="1">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99999999999999" customHeight="1">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99999999999999" customHeight="1">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99999999999999" customHeight="1">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99999999999999" customHeight="1">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99999999999999" customHeight="1">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99999999999999" customHeight="1">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99999999999999" customHeight="1">
      <c r="B1448" s="38" t="s">
        <v>26</v>
      </c>
      <c r="C1448" s="38" t="s">
        <v>26</v>
      </c>
      <c r="D1448" s="19" t="s">
        <v>399</v>
      </c>
      <c r="E1448" s="111" t="s">
        <v>38</v>
      </c>
      <c r="F1448" s="31" t="s">
        <v>335</v>
      </c>
      <c r="G1448" s="358" t="s">
        <v>2192</v>
      </c>
      <c r="H1448" s="58" t="str">
        <f>Table1[[#This Row],[Tabela]]&amp;Table1[[#This Row],[Campo]]</f>
        <v>lt003_entityentty_nm</v>
      </c>
      <c r="I1448" s="2" t="s">
        <v>1840</v>
      </c>
      <c r="J1448" s="44">
        <f>VLOOKUP(Table1[[#This Row],[Status]],Auxiliar!$B$16:$C$24,2,0)</f>
        <v>2</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0.5</v>
      </c>
      <c r="X1448" s="166">
        <f>+VLOOKUP(CONCATENATE(Table1[[#This Row],[Tabela]],Table1[[#This Row],[Campo]]),'2. Status Detalhe Campos FY24'!A:J,9,FALSE)</f>
        <v>0</v>
      </c>
    </row>
    <row r="1449" spans="2:24" ht="17.899999999999999" customHeight="1">
      <c r="B1449" s="38" t="s">
        <v>26</v>
      </c>
      <c r="C1449" s="38" t="s">
        <v>26</v>
      </c>
      <c r="D1449" s="19" t="s">
        <v>399</v>
      </c>
      <c r="E1449" s="111" t="s">
        <v>38</v>
      </c>
      <c r="F1449" s="31" t="s">
        <v>335</v>
      </c>
      <c r="G1449" s="358"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6">
        <f>+VLOOKUP(CONCATENATE(Table1[[#This Row],[Tabela]],Table1[[#This Row],[Campo]]),'2. Status Detalhe Campos FY24'!A:J,9,FALSE)</f>
        <v>0</v>
      </c>
    </row>
    <row r="1450" spans="2:24" ht="17.899999999999999" customHeight="1">
      <c r="B1450" s="38" t="s">
        <v>26</v>
      </c>
      <c r="C1450" s="38" t="s">
        <v>26</v>
      </c>
      <c r="D1450" s="19" t="s">
        <v>399</v>
      </c>
      <c r="E1450" s="111" t="s">
        <v>38</v>
      </c>
      <c r="F1450" s="31" t="s">
        <v>335</v>
      </c>
      <c r="G1450" s="358"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6">
        <f>+VLOOKUP(CONCATENATE(Table1[[#This Row],[Tabela]],Table1[[#This Row],[Campo]]),'2. Status Detalhe Campos FY24'!A:J,9,FALSE)</f>
        <v>0</v>
      </c>
    </row>
    <row r="1451" spans="2:24" ht="17.899999999999999" customHeight="1">
      <c r="B1451" s="38" t="s">
        <v>26</v>
      </c>
      <c r="C1451" s="38" t="s">
        <v>26</v>
      </c>
      <c r="D1451" s="19" t="s">
        <v>399</v>
      </c>
      <c r="E1451" s="111" t="s">
        <v>38</v>
      </c>
      <c r="F1451" s="31" t="s">
        <v>335</v>
      </c>
      <c r="G1451" s="358"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99999999999999" customHeight="1">
      <c r="B1452" s="38" t="s">
        <v>26</v>
      </c>
      <c r="C1452" s="38" t="s">
        <v>26</v>
      </c>
      <c r="D1452" s="19" t="s">
        <v>399</v>
      </c>
      <c r="E1452" s="111" t="s">
        <v>38</v>
      </c>
      <c r="F1452" s="31" t="s">
        <v>335</v>
      </c>
      <c r="G1452" s="358" t="s">
        <v>2196</v>
      </c>
      <c r="H1452" s="58" t="str">
        <f>Table1[[#This Row],[Tabela]]&amp;Table1[[#This Row],[Campo]]</f>
        <v>lt003_entitytxnmy_elgbl_capex_w</v>
      </c>
      <c r="I1452" s="2" t="s">
        <v>1840</v>
      </c>
      <c r="J1452" s="44">
        <f>VLOOKUP(Table1[[#This Row],[Status]],Auxiliar!$B$16:$C$24,2,0)</f>
        <v>2</v>
      </c>
      <c r="K1452" s="20" t="s">
        <v>1173</v>
      </c>
      <c r="L1452" s="45" t="s">
        <v>1174</v>
      </c>
      <c r="M1452" s="20" t="s">
        <v>1175</v>
      </c>
      <c r="N1452" s="47">
        <v>45723</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0.5</v>
      </c>
      <c r="X1452" s="166">
        <f>+VLOOKUP(CONCATENATE(Table1[[#This Row],[Tabela]],Table1[[#This Row],[Campo]]),'2. Status Detalhe Campos FY24'!A:J,9,FALSE)</f>
        <v>0</v>
      </c>
    </row>
    <row r="1453" spans="2:24" ht="17.899999999999999" customHeight="1">
      <c r="B1453" s="38" t="s">
        <v>26</v>
      </c>
      <c r="C1453" s="38" t="s">
        <v>26</v>
      </c>
      <c r="D1453" s="19" t="s">
        <v>399</v>
      </c>
      <c r="E1453" s="111" t="s">
        <v>38</v>
      </c>
      <c r="F1453" s="31" t="s">
        <v>335</v>
      </c>
      <c r="G1453" s="358" t="s">
        <v>2197</v>
      </c>
      <c r="H1453" s="58" t="str">
        <f>Table1[[#This Row],[Tabela]]&amp;Table1[[#This Row],[Campo]]</f>
        <v>lt003_entitytxnmy_elgbl_trnvr_w</v>
      </c>
      <c r="I1453" s="2" t="s">
        <v>1840</v>
      </c>
      <c r="J1453" s="44">
        <f>VLOOKUP(Table1[[#This Row],[Status]],Auxiliar!$B$16:$C$24,2,0)</f>
        <v>2</v>
      </c>
      <c r="K1453" s="20" t="s">
        <v>1173</v>
      </c>
      <c r="L1453" s="45" t="s">
        <v>1174</v>
      </c>
      <c r="M1453" s="20" t="s">
        <v>1175</v>
      </c>
      <c r="N1453" s="47">
        <v>45723</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0.5</v>
      </c>
      <c r="X1453" s="166">
        <f>+VLOOKUP(CONCATENATE(Table1[[#This Row],[Tabela]],Table1[[#This Row],[Campo]]),'2. Status Detalhe Campos FY24'!A:J,9,FALSE)</f>
        <v>0</v>
      </c>
    </row>
    <row r="1454" spans="2:24" ht="17.899999999999999" customHeight="1">
      <c r="B1454" s="38" t="s">
        <v>26</v>
      </c>
      <c r="C1454" s="38" t="s">
        <v>26</v>
      </c>
      <c r="D1454" s="19" t="s">
        <v>399</v>
      </c>
      <c r="E1454" s="111" t="s">
        <v>38</v>
      </c>
      <c r="F1454" s="31" t="s">
        <v>335</v>
      </c>
      <c r="G1454" s="358" t="s">
        <v>2198</v>
      </c>
      <c r="H1454" s="58" t="str">
        <f>Table1[[#This Row],[Tabela]]&amp;Table1[[#This Row],[Campo]]</f>
        <v>lt003_entitytxnmy_elgbl_capex_p</v>
      </c>
      <c r="I1454" s="2" t="s">
        <v>1840</v>
      </c>
      <c r="J1454" s="44">
        <f>VLOOKUP(Table1[[#This Row],[Status]],Auxiliar!$B$16:$C$24,2,0)</f>
        <v>2</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0.5</v>
      </c>
      <c r="X1454" s="166">
        <f>+VLOOKUP(CONCATENATE(Table1[[#This Row],[Tabela]],Table1[[#This Row],[Campo]]),'2. Status Detalhe Campos FY24'!A:J,9,FALSE)</f>
        <v>0</v>
      </c>
    </row>
    <row r="1455" spans="2:24" ht="17.899999999999999" customHeight="1">
      <c r="B1455" s="38" t="s">
        <v>26</v>
      </c>
      <c r="C1455" s="38" t="s">
        <v>26</v>
      </c>
      <c r="D1455" s="19" t="s">
        <v>399</v>
      </c>
      <c r="E1455" s="111" t="s">
        <v>38</v>
      </c>
      <c r="F1455" s="31" t="s">
        <v>335</v>
      </c>
      <c r="G1455" s="358" t="s">
        <v>2199</v>
      </c>
      <c r="H1455" s="58" t="str">
        <f>Table1[[#This Row],[Tabela]]&amp;Table1[[#This Row],[Campo]]</f>
        <v>lt003_entitytxnmy_elgbl_trnvr_p</v>
      </c>
      <c r="I1455" s="2" t="s">
        <v>1840</v>
      </c>
      <c r="J1455" s="44">
        <f>VLOOKUP(Table1[[#This Row],[Status]],Auxiliar!$B$16:$C$24,2,0)</f>
        <v>2</v>
      </c>
      <c r="K1455" s="20" t="s">
        <v>1173</v>
      </c>
      <c r="L1455" s="45" t="s">
        <v>1174</v>
      </c>
      <c r="M1455" s="20" t="s">
        <v>1175</v>
      </c>
      <c r="N1455" s="47">
        <v>45723</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0.5</v>
      </c>
      <c r="X1455" s="166">
        <f>+VLOOKUP(CONCATENATE(Table1[[#This Row],[Tabela]],Table1[[#This Row],[Campo]]),'2. Status Detalhe Campos FY24'!A:J,9,FALSE)</f>
        <v>0</v>
      </c>
    </row>
    <row r="1456" spans="2:24" ht="17.899999999999999" customHeight="1">
      <c r="B1456" s="38" t="s">
        <v>26</v>
      </c>
      <c r="C1456" s="38" t="s">
        <v>26</v>
      </c>
      <c r="D1456" s="19" t="s">
        <v>399</v>
      </c>
      <c r="E1456" s="111" t="s">
        <v>38</v>
      </c>
      <c r="F1456" s="31" t="s">
        <v>335</v>
      </c>
      <c r="G1456" s="358" t="s">
        <v>2200</v>
      </c>
      <c r="H1456" s="58" t="str">
        <f>Table1[[#This Row],[Tabela]]&amp;Table1[[#This Row],[Campo]]</f>
        <v>lt003_entitytxnmy_elgbl_capex_b</v>
      </c>
      <c r="I1456" s="2" t="s">
        <v>1840</v>
      </c>
      <c r="J1456" s="44">
        <f>VLOOKUP(Table1[[#This Row],[Status]],Auxiliar!$B$16:$C$24,2,0)</f>
        <v>2</v>
      </c>
      <c r="K1456" s="20" t="s">
        <v>1173</v>
      </c>
      <c r="L1456" s="45" t="s">
        <v>1174</v>
      </c>
      <c r="M1456" s="20" t="s">
        <v>1175</v>
      </c>
      <c r="N1456" s="47">
        <v>45723</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0.5</v>
      </c>
      <c r="X1456" s="166">
        <f>+VLOOKUP(CONCATENATE(Table1[[#This Row],[Tabela]],Table1[[#This Row],[Campo]]),'2. Status Detalhe Campos FY24'!A:J,9,FALSE)</f>
        <v>0</v>
      </c>
    </row>
    <row r="1457" spans="2:24" ht="17.899999999999999" customHeight="1">
      <c r="B1457" s="38" t="s">
        <v>26</v>
      </c>
      <c r="C1457" s="38" t="s">
        <v>26</v>
      </c>
      <c r="D1457" s="19" t="s">
        <v>399</v>
      </c>
      <c r="E1457" s="111" t="s">
        <v>38</v>
      </c>
      <c r="F1457" s="31" t="s">
        <v>335</v>
      </c>
      <c r="G1457" s="358" t="s">
        <v>2201</v>
      </c>
      <c r="H1457" s="58" t="str">
        <f>Table1[[#This Row],[Tabela]]&amp;Table1[[#This Row],[Campo]]</f>
        <v>lt003_entitytxnmy_elgbl_trnvr_b</v>
      </c>
      <c r="I1457" s="2" t="s">
        <v>1840</v>
      </c>
      <c r="J1457" s="44">
        <f>VLOOKUP(Table1[[#This Row],[Status]],Auxiliar!$B$16:$C$24,2,0)</f>
        <v>2</v>
      </c>
      <c r="K1457" s="20" t="s">
        <v>1173</v>
      </c>
      <c r="L1457" s="45" t="s">
        <v>1174</v>
      </c>
      <c r="M1457" s="20" t="s">
        <v>1175</v>
      </c>
      <c r="N1457" s="47">
        <v>45723</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0.5</v>
      </c>
      <c r="X1457" s="166">
        <f>+VLOOKUP(CONCATENATE(Table1[[#This Row],[Tabela]],Table1[[#This Row],[Campo]]),'2. Status Detalhe Campos FY24'!A:J,9,FALSE)</f>
        <v>0</v>
      </c>
    </row>
    <row r="1458" spans="2:24" ht="17.899999999999999" customHeight="1">
      <c r="B1458" s="38" t="s">
        <v>26</v>
      </c>
      <c r="C1458" s="38" t="s">
        <v>26</v>
      </c>
      <c r="D1458" s="19" t="s">
        <v>399</v>
      </c>
      <c r="E1458" s="111" t="s">
        <v>38</v>
      </c>
      <c r="F1458" s="31" t="s">
        <v>335</v>
      </c>
      <c r="G1458" s="358" t="s">
        <v>2202</v>
      </c>
      <c r="H1458" s="58" t="str">
        <f>Table1[[#This Row],[Tabela]]&amp;Table1[[#This Row],[Campo]]</f>
        <v>lt003_entitytxnmy_elgbl_capex_ce</v>
      </c>
      <c r="I1458" s="2" t="s">
        <v>1840</v>
      </c>
      <c r="J1458" s="44">
        <f>VLOOKUP(Table1[[#This Row],[Status]],Auxiliar!$B$16:$C$24,2,0)</f>
        <v>2</v>
      </c>
      <c r="K1458" s="20" t="s">
        <v>1173</v>
      </c>
      <c r="L1458" s="45" t="s">
        <v>1174</v>
      </c>
      <c r="M1458" s="20" t="s">
        <v>1175</v>
      </c>
      <c r="N1458" s="47">
        <v>45723</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0.5</v>
      </c>
      <c r="X1458" s="166">
        <f>+VLOOKUP(CONCATENATE(Table1[[#This Row],[Tabela]],Table1[[#This Row],[Campo]]),'2. Status Detalhe Campos FY24'!A:J,9,FALSE)</f>
        <v>0</v>
      </c>
    </row>
    <row r="1459" spans="2:24" ht="17.899999999999999" customHeight="1">
      <c r="B1459" s="38" t="s">
        <v>26</v>
      </c>
      <c r="C1459" s="38" t="s">
        <v>26</v>
      </c>
      <c r="D1459" s="19" t="s">
        <v>399</v>
      </c>
      <c r="E1459" s="111" t="s">
        <v>38</v>
      </c>
      <c r="F1459" s="31" t="s">
        <v>335</v>
      </c>
      <c r="G1459" s="358" t="s">
        <v>2203</v>
      </c>
      <c r="H1459" s="58" t="str">
        <f>Table1[[#This Row],[Tabela]]&amp;Table1[[#This Row],[Campo]]</f>
        <v>lt003_entitytxnmy_elgbl_trnvr_ce</v>
      </c>
      <c r="I1459" s="2" t="s">
        <v>1840</v>
      </c>
      <c r="J1459" s="44">
        <f>VLOOKUP(Table1[[#This Row],[Status]],Auxiliar!$B$16:$C$24,2,0)</f>
        <v>2</v>
      </c>
      <c r="K1459" s="20" t="s">
        <v>1173</v>
      </c>
      <c r="L1459" s="45" t="s">
        <v>1174</v>
      </c>
      <c r="M1459" s="20" t="s">
        <v>1175</v>
      </c>
      <c r="N1459" s="47">
        <v>45723</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0.5</v>
      </c>
      <c r="X1459" s="166">
        <f>+VLOOKUP(CONCATENATE(Table1[[#This Row],[Tabela]],Table1[[#This Row],[Campo]]),'2. Status Detalhe Campos FY24'!A:J,9,FALSE)</f>
        <v>0</v>
      </c>
    </row>
    <row r="1460" spans="2:24" ht="17.899999999999999" customHeight="1">
      <c r="B1460" s="38" t="s">
        <v>26</v>
      </c>
      <c r="C1460" s="38" t="s">
        <v>26</v>
      </c>
      <c r="D1460" s="19" t="s">
        <v>399</v>
      </c>
      <c r="E1460" s="111" t="s">
        <v>38</v>
      </c>
      <c r="F1460" s="31" t="s">
        <v>335</v>
      </c>
      <c r="G1460" s="358" t="s">
        <v>2204</v>
      </c>
      <c r="H1460" s="58" t="str">
        <f>Table1[[#This Row],[Tabela]]&amp;Table1[[#This Row],[Campo]]</f>
        <v>lt003_entitypure_capex_p</v>
      </c>
      <c r="I1460" s="2" t="s">
        <v>1840</v>
      </c>
      <c r="J1460" s="44">
        <f>VLOOKUP(Table1[[#This Row],[Status]],Auxiliar!$B$16:$C$24,2,0)</f>
        <v>2</v>
      </c>
      <c r="K1460" s="20" t="s">
        <v>1173</v>
      </c>
      <c r="L1460" s="45" t="s">
        <v>1174</v>
      </c>
      <c r="M1460" s="20" t="s">
        <v>1175</v>
      </c>
      <c r="N1460" s="47">
        <v>45723</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0.5</v>
      </c>
      <c r="X1460" s="166">
        <f>+VLOOKUP(CONCATENATE(Table1[[#This Row],[Tabela]],Table1[[#This Row],[Campo]]),'2. Status Detalhe Campos FY24'!A:J,9,FALSE)</f>
        <v>0</v>
      </c>
    </row>
    <row r="1461" spans="2:24" ht="17.899999999999999" customHeight="1">
      <c r="B1461" s="38" t="s">
        <v>26</v>
      </c>
      <c r="C1461" s="38" t="s">
        <v>26</v>
      </c>
      <c r="D1461" s="19" t="s">
        <v>399</v>
      </c>
      <c r="E1461" s="111" t="s">
        <v>38</v>
      </c>
      <c r="F1461" s="31" t="s">
        <v>335</v>
      </c>
      <c r="G1461" s="358" t="s">
        <v>2205</v>
      </c>
      <c r="H1461" s="58" t="str">
        <f>Table1[[#This Row],[Tabela]]&amp;Table1[[#This Row],[Campo]]</f>
        <v>lt003_entitypure_trnvr_p</v>
      </c>
      <c r="I1461" s="2" t="s">
        <v>1840</v>
      </c>
      <c r="J1461" s="44">
        <f>VLOOKUP(Table1[[#This Row],[Status]],Auxiliar!$B$16:$C$24,2,0)</f>
        <v>2</v>
      </c>
      <c r="K1461" s="20" t="s">
        <v>1173</v>
      </c>
      <c r="L1461" s="45" t="s">
        <v>1174</v>
      </c>
      <c r="M1461" s="20" t="s">
        <v>1175</v>
      </c>
      <c r="N1461" s="47">
        <v>45723</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0.5</v>
      </c>
      <c r="X1461" s="166">
        <f>+VLOOKUP(CONCATENATE(Table1[[#This Row],[Tabela]],Table1[[#This Row],[Campo]]),'2. Status Detalhe Campos FY24'!A:J,9,FALSE)</f>
        <v>0</v>
      </c>
    </row>
    <row r="1462" spans="2:24" ht="17.899999999999999" customHeight="1">
      <c r="B1462" s="38" t="s">
        <v>26</v>
      </c>
      <c r="C1462" s="38" t="s">
        <v>26</v>
      </c>
      <c r="D1462" s="19" t="s">
        <v>399</v>
      </c>
      <c r="E1462" s="111" t="s">
        <v>38</v>
      </c>
      <c r="F1462" s="31" t="s">
        <v>335</v>
      </c>
      <c r="G1462" s="358" t="s">
        <v>2206</v>
      </c>
      <c r="H1462" s="58" t="str">
        <f>Table1[[#This Row],[Tabela]]&amp;Table1[[#This Row],[Campo]]</f>
        <v>lt003_entitypure_capex_b</v>
      </c>
      <c r="I1462" s="2" t="s">
        <v>1840</v>
      </c>
      <c r="J1462" s="44">
        <f>VLOOKUP(Table1[[#This Row],[Status]],Auxiliar!$B$16:$C$24,2,0)</f>
        <v>2</v>
      </c>
      <c r="K1462" s="20" t="s">
        <v>1173</v>
      </c>
      <c r="L1462" s="45" t="s">
        <v>1174</v>
      </c>
      <c r="M1462" s="20" t="s">
        <v>1175</v>
      </c>
      <c r="N1462" s="47">
        <v>45723</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0.5</v>
      </c>
      <c r="X1462" s="166">
        <f>+VLOOKUP(CONCATENATE(Table1[[#This Row],[Tabela]],Table1[[#This Row],[Campo]]),'2. Status Detalhe Campos FY24'!A:J,9,FALSE)</f>
        <v>0</v>
      </c>
    </row>
    <row r="1463" spans="2:24" ht="17.899999999999999" customHeight="1">
      <c r="B1463" s="38" t="s">
        <v>26</v>
      </c>
      <c r="C1463" s="38" t="s">
        <v>26</v>
      </c>
      <c r="D1463" s="19" t="s">
        <v>399</v>
      </c>
      <c r="E1463" s="111" t="s">
        <v>38</v>
      </c>
      <c r="F1463" s="31" t="s">
        <v>335</v>
      </c>
      <c r="G1463" s="358" t="s">
        <v>2207</v>
      </c>
      <c r="H1463" s="58" t="str">
        <f>Table1[[#This Row],[Tabela]]&amp;Table1[[#This Row],[Campo]]</f>
        <v>lt003_entitypure_trnvr_b</v>
      </c>
      <c r="I1463" s="2" t="s">
        <v>1840</v>
      </c>
      <c r="J1463" s="44">
        <f>VLOOKUP(Table1[[#This Row],[Status]],Auxiliar!$B$16:$C$24,2,0)</f>
        <v>2</v>
      </c>
      <c r="K1463" s="20" t="s">
        <v>1173</v>
      </c>
      <c r="L1463" s="45" t="s">
        <v>1174</v>
      </c>
      <c r="M1463" s="20" t="s">
        <v>1175</v>
      </c>
      <c r="N1463" s="47">
        <v>45723</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0.5</v>
      </c>
      <c r="X1463" s="166">
        <f>+VLOOKUP(CONCATENATE(Table1[[#This Row],[Tabela]],Table1[[#This Row],[Campo]]),'2. Status Detalhe Campos FY24'!A:J,9,FALSE)</f>
        <v>0</v>
      </c>
    </row>
    <row r="1464" spans="2:24" ht="17.899999999999999" customHeight="1">
      <c r="B1464" s="38" t="s">
        <v>26</v>
      </c>
      <c r="C1464" s="38" t="s">
        <v>26</v>
      </c>
      <c r="D1464" s="19" t="s">
        <v>399</v>
      </c>
      <c r="E1464" s="111" t="s">
        <v>38</v>
      </c>
      <c r="F1464" s="31" t="s">
        <v>335</v>
      </c>
      <c r="G1464" s="358" t="s">
        <v>2208</v>
      </c>
      <c r="H1464" s="58" t="str">
        <f>Table1[[#This Row],[Tabela]]&amp;Table1[[#This Row],[Campo]]</f>
        <v>lt003_entitypure_capex_w</v>
      </c>
      <c r="I1464" s="2" t="s">
        <v>1840</v>
      </c>
      <c r="J1464" s="44">
        <f>VLOOKUP(Table1[[#This Row],[Status]],Auxiliar!$B$16:$C$24,2,0)</f>
        <v>2</v>
      </c>
      <c r="K1464" s="20" t="s">
        <v>1173</v>
      </c>
      <c r="L1464" s="45" t="s">
        <v>1174</v>
      </c>
      <c r="M1464" s="20" t="s">
        <v>1175</v>
      </c>
      <c r="N1464" s="47">
        <v>45723</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0.5</v>
      </c>
      <c r="X1464" s="166">
        <f>+VLOOKUP(CONCATENATE(Table1[[#This Row],[Tabela]],Table1[[#This Row],[Campo]]),'2. Status Detalhe Campos FY24'!A:J,9,FALSE)</f>
        <v>0</v>
      </c>
    </row>
    <row r="1465" spans="2:24" ht="17.899999999999999" customHeight="1">
      <c r="B1465" s="38" t="s">
        <v>26</v>
      </c>
      <c r="C1465" s="38" t="s">
        <v>26</v>
      </c>
      <c r="D1465" s="19" t="s">
        <v>399</v>
      </c>
      <c r="E1465" s="111" t="s">
        <v>38</v>
      </c>
      <c r="F1465" s="31" t="s">
        <v>335</v>
      </c>
      <c r="G1465" s="358" t="s">
        <v>2209</v>
      </c>
      <c r="H1465" s="58" t="str">
        <f>Table1[[#This Row],[Tabela]]&amp;Table1[[#This Row],[Campo]]</f>
        <v>lt003_entitypure_trnvr_w</v>
      </c>
      <c r="I1465" s="2" t="s">
        <v>1840</v>
      </c>
      <c r="J1465" s="44">
        <f>VLOOKUP(Table1[[#This Row],[Status]],Auxiliar!$B$16:$C$24,2,0)</f>
        <v>2</v>
      </c>
      <c r="K1465" s="20" t="s">
        <v>1173</v>
      </c>
      <c r="L1465" s="45" t="s">
        <v>1174</v>
      </c>
      <c r="M1465" s="20" t="s">
        <v>1175</v>
      </c>
      <c r="N1465" s="47">
        <v>45723</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0.5</v>
      </c>
      <c r="X1465" s="166">
        <f>+VLOOKUP(CONCATENATE(Table1[[#This Row],[Tabela]],Table1[[#This Row],[Campo]]),'2. Status Detalhe Campos FY24'!A:J,9,FALSE)</f>
        <v>0</v>
      </c>
    </row>
    <row r="1466" spans="2:24" ht="17.899999999999999" customHeight="1">
      <c r="B1466" s="38" t="s">
        <v>26</v>
      </c>
      <c r="C1466" s="38" t="s">
        <v>26</v>
      </c>
      <c r="D1466" s="19" t="s">
        <v>399</v>
      </c>
      <c r="E1466" s="111" t="s">
        <v>38</v>
      </c>
      <c r="F1466" s="31" t="s">
        <v>335</v>
      </c>
      <c r="G1466" s="358" t="s">
        <v>2210</v>
      </c>
      <c r="H1466" s="58" t="str">
        <f>Table1[[#This Row],[Tabela]]&amp;Table1[[#This Row],[Campo]]</f>
        <v>lt003_entitypure_capex_ce</v>
      </c>
      <c r="I1466" s="2" t="s">
        <v>1840</v>
      </c>
      <c r="J1466" s="44">
        <f>VLOOKUP(Table1[[#This Row],[Status]],Auxiliar!$B$16:$C$24,2,0)</f>
        <v>2</v>
      </c>
      <c r="K1466" s="20" t="s">
        <v>1173</v>
      </c>
      <c r="L1466" s="45" t="s">
        <v>1174</v>
      </c>
      <c r="M1466" s="20" t="s">
        <v>1175</v>
      </c>
      <c r="N1466" s="47">
        <v>45723</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0.5</v>
      </c>
      <c r="X1466" s="166">
        <f>+VLOOKUP(CONCATENATE(Table1[[#This Row],[Tabela]],Table1[[#This Row],[Campo]]),'2. Status Detalhe Campos FY24'!A:J,9,FALSE)</f>
        <v>0</v>
      </c>
    </row>
    <row r="1467" spans="2:24" ht="17.899999999999999" customHeight="1">
      <c r="B1467" s="38" t="s">
        <v>26</v>
      </c>
      <c r="C1467" s="38" t="s">
        <v>26</v>
      </c>
      <c r="D1467" s="19" t="s">
        <v>399</v>
      </c>
      <c r="E1467" s="111" t="s">
        <v>38</v>
      </c>
      <c r="F1467" s="31" t="s">
        <v>335</v>
      </c>
      <c r="G1467" s="358" t="s">
        <v>2211</v>
      </c>
      <c r="H1467" s="58" t="str">
        <f>Table1[[#This Row],[Tabela]]&amp;Table1[[#This Row],[Campo]]</f>
        <v>lt003_entitypure_trnvr_ce</v>
      </c>
      <c r="I1467" s="2" t="s">
        <v>1840</v>
      </c>
      <c r="J1467" s="44">
        <f>VLOOKUP(Table1[[#This Row],[Status]],Auxiliar!$B$16:$C$24,2,0)</f>
        <v>2</v>
      </c>
      <c r="K1467" s="20" t="s">
        <v>1173</v>
      </c>
      <c r="L1467" s="45" t="s">
        <v>1174</v>
      </c>
      <c r="M1467" s="20" t="s">
        <v>1175</v>
      </c>
      <c r="N1467" s="47">
        <v>45723</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0.5</v>
      </c>
      <c r="X1467" s="166">
        <f>+VLOOKUP(CONCATENATE(Table1[[#This Row],[Tabela]],Table1[[#This Row],[Campo]]),'2. Status Detalhe Campos FY24'!A:J,9,FALSE)</f>
        <v>0</v>
      </c>
    </row>
    <row r="1468" spans="2:24" ht="17.899999999999999" customHeight="1">
      <c r="B1468" s="38" t="s">
        <v>26</v>
      </c>
      <c r="C1468" s="38" t="s">
        <v>26</v>
      </c>
      <c r="D1468" s="19" t="s">
        <v>399</v>
      </c>
      <c r="E1468" s="111" t="s">
        <v>38</v>
      </c>
      <c r="F1468" s="31" t="s">
        <v>335</v>
      </c>
      <c r="G1468" s="358" t="s">
        <v>2212</v>
      </c>
      <c r="H1468" s="58" t="str">
        <f>Table1[[#This Row],[Tabela]]&amp;Table1[[#This Row],[Campo]]</f>
        <v>lt003_entityenblng_capex_w</v>
      </c>
      <c r="I1468" s="2" t="s">
        <v>1840</v>
      </c>
      <c r="J1468" s="44">
        <f>VLOOKUP(Table1[[#This Row],[Status]],Auxiliar!$B$16:$C$24,2,0)</f>
        <v>2</v>
      </c>
      <c r="K1468" s="20" t="s">
        <v>1173</v>
      </c>
      <c r="L1468" s="45" t="s">
        <v>1174</v>
      </c>
      <c r="M1468" s="20" t="s">
        <v>1175</v>
      </c>
      <c r="N1468" s="47">
        <v>45723</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0.5</v>
      </c>
      <c r="X1468" s="166">
        <f>+VLOOKUP(CONCATENATE(Table1[[#This Row],[Tabela]],Table1[[#This Row],[Campo]]),'2. Status Detalhe Campos FY24'!A:J,9,FALSE)</f>
        <v>0</v>
      </c>
    </row>
    <row r="1469" spans="2:24" ht="17.899999999999999" customHeight="1">
      <c r="B1469" s="38" t="s">
        <v>26</v>
      </c>
      <c r="C1469" s="38" t="s">
        <v>26</v>
      </c>
      <c r="D1469" s="19" t="s">
        <v>399</v>
      </c>
      <c r="E1469" s="111" t="s">
        <v>38</v>
      </c>
      <c r="F1469" s="31" t="s">
        <v>335</v>
      </c>
      <c r="G1469" s="358" t="s">
        <v>2213</v>
      </c>
      <c r="H1469" s="58" t="str">
        <f>Table1[[#This Row],[Tabela]]&amp;Table1[[#This Row],[Campo]]</f>
        <v>lt003_entityenblng_trnvr_w</v>
      </c>
      <c r="I1469" s="2" t="s">
        <v>1840</v>
      </c>
      <c r="J1469" s="44">
        <f>VLOOKUP(Table1[[#This Row],[Status]],Auxiliar!$B$16:$C$24,2,0)</f>
        <v>2</v>
      </c>
      <c r="K1469" s="20" t="s">
        <v>1173</v>
      </c>
      <c r="L1469" s="45" t="s">
        <v>1174</v>
      </c>
      <c r="M1469" s="20" t="s">
        <v>1175</v>
      </c>
      <c r="N1469" s="47">
        <v>45723</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0.5</v>
      </c>
      <c r="X1469" s="166">
        <f>+VLOOKUP(CONCATENATE(Table1[[#This Row],[Tabela]],Table1[[#This Row],[Campo]]),'2. Status Detalhe Campos FY24'!A:J,9,FALSE)</f>
        <v>0</v>
      </c>
    </row>
    <row r="1470" spans="2:24" ht="17.899999999999999" customHeight="1">
      <c r="B1470" s="38" t="s">
        <v>26</v>
      </c>
      <c r="C1470" s="38" t="s">
        <v>26</v>
      </c>
      <c r="D1470" s="19" t="s">
        <v>399</v>
      </c>
      <c r="E1470" s="111" t="s">
        <v>38</v>
      </c>
      <c r="F1470" s="31" t="s">
        <v>335</v>
      </c>
      <c r="G1470" s="358" t="s">
        <v>2214</v>
      </c>
      <c r="H1470" s="58" t="str">
        <f>Table1[[#This Row],[Tabela]]&amp;Table1[[#This Row],[Campo]]</f>
        <v>lt003_entityenblng_capex_ce</v>
      </c>
      <c r="I1470" s="2" t="s">
        <v>1840</v>
      </c>
      <c r="J1470" s="44">
        <f>VLOOKUP(Table1[[#This Row],[Status]],Auxiliar!$B$16:$C$24,2,0)</f>
        <v>2</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0.5</v>
      </c>
      <c r="X1470" s="166">
        <f>+VLOOKUP(CONCATENATE(Table1[[#This Row],[Tabela]],Table1[[#This Row],[Campo]]),'2. Status Detalhe Campos FY24'!A:J,9,FALSE)</f>
        <v>0</v>
      </c>
    </row>
    <row r="1471" spans="2:24" ht="17.899999999999999" customHeight="1">
      <c r="B1471" s="38" t="s">
        <v>26</v>
      </c>
      <c r="C1471" s="38" t="s">
        <v>26</v>
      </c>
      <c r="D1471" s="19" t="s">
        <v>399</v>
      </c>
      <c r="E1471" s="111" t="s">
        <v>38</v>
      </c>
      <c r="F1471" s="31" t="s">
        <v>335</v>
      </c>
      <c r="G1471" s="358" t="s">
        <v>2215</v>
      </c>
      <c r="H1471" s="58" t="str">
        <f>Table1[[#This Row],[Tabela]]&amp;Table1[[#This Row],[Campo]]</f>
        <v>lt003_entityenblng_trnvr_ce</v>
      </c>
      <c r="I1471" s="2" t="s">
        <v>1840</v>
      </c>
      <c r="J1471" s="44">
        <f>VLOOKUP(Table1[[#This Row],[Status]],Auxiliar!$B$16:$C$24,2,0)</f>
        <v>2</v>
      </c>
      <c r="K1471" s="20" t="s">
        <v>1173</v>
      </c>
      <c r="L1471" s="45" t="s">
        <v>1174</v>
      </c>
      <c r="M1471" s="20" t="s">
        <v>1175</v>
      </c>
      <c r="N1471" s="47">
        <v>45723</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0.5</v>
      </c>
      <c r="X1471" s="166">
        <f>+VLOOKUP(CONCATENATE(Table1[[#This Row],[Tabela]],Table1[[#This Row],[Campo]]),'2. Status Detalhe Campos FY24'!A:J,9,FALSE)</f>
        <v>0</v>
      </c>
    </row>
    <row r="1472" spans="2:24" ht="17.899999999999999" customHeight="1">
      <c r="B1472" s="38" t="s">
        <v>26</v>
      </c>
      <c r="C1472" s="38" t="s">
        <v>26</v>
      </c>
      <c r="D1472" s="337" t="s">
        <v>1272</v>
      </c>
      <c r="E1472" s="111" t="s">
        <v>1274</v>
      </c>
      <c r="F1472" s="39" t="s">
        <v>368</v>
      </c>
      <c r="G1472" s="341" t="s">
        <v>374</v>
      </c>
      <c r="H1472" s="342"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6">
        <f>+VLOOKUP(CONCATENATE(Table1[[#This Row],[Tabela]],Table1[[#This Row],[Campo]]),'2. Status Detalhe Campos FY24'!A:J,9,FALSE)</f>
        <v>0</v>
      </c>
    </row>
    <row r="1473" spans="2:24" ht="17.899999999999999" customHeight="1">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6">
        <f>+VLOOKUP(CONCATENATE(Table1[[#This Row],[Tabela]],Table1[[#This Row],[Campo]]),'2. Status Detalhe Campos FY24'!A:J,9,FALSE)</f>
        <v>0</v>
      </c>
    </row>
    <row r="1474" spans="2:24" ht="17.899999999999999" customHeight="1">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6">
        <f>+VLOOKUP(CONCATENATE(Table1[[#This Row],[Tabela]],Table1[[#This Row],[Campo]]),'2. Status Detalhe Campos FY24'!A:J,9,FALSE)</f>
        <v>0</v>
      </c>
    </row>
    <row r="1475" spans="2:24" ht="17.899999999999999" customHeight="1">
      <c r="B1475" s="38" t="s">
        <v>26</v>
      </c>
      <c r="C1475" s="38" t="s">
        <v>26</v>
      </c>
      <c r="D1475" s="337" t="s">
        <v>1272</v>
      </c>
      <c r="E1475" s="111" t="s">
        <v>1273</v>
      </c>
      <c r="F1475" s="39" t="s">
        <v>368</v>
      </c>
      <c r="G1475" s="341" t="s">
        <v>373</v>
      </c>
      <c r="H1475" s="342"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99999999999999" customHeight="1">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99999999999999" customHeight="1">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99999999999999" customHeight="1">
      <c r="B1478" s="38" t="s">
        <v>26</v>
      </c>
      <c r="C1478" s="38" t="s">
        <v>26</v>
      </c>
      <c r="D1478" s="40"/>
      <c r="E1478" s="46"/>
      <c r="F1478" s="42" t="s">
        <v>368</v>
      </c>
      <c r="G1478" s="360"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6">
        <f>+VLOOKUP(CONCATENATE(Table1[[#This Row],[Tabela]],Table1[[#This Row],[Campo]]),'2. Status Detalhe Campos FY24'!A:J,9,FALSE)</f>
        <v>0</v>
      </c>
    </row>
    <row r="1479" spans="2:24" ht="17.899999999999999" customHeight="1">
      <c r="B1479" s="38" t="s">
        <v>26</v>
      </c>
      <c r="C1479" s="38" t="s">
        <v>26</v>
      </c>
      <c r="D1479" s="40"/>
      <c r="E1479" s="46"/>
      <c r="F1479" s="42" t="s">
        <v>368</v>
      </c>
      <c r="G1479" s="360"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6">
        <f>+VLOOKUP(CONCATENATE(Table1[[#This Row],[Tabela]],Table1[[#This Row],[Campo]]),'2. Status Detalhe Campos FY24'!A:J,9,FALSE)</f>
        <v>0</v>
      </c>
    </row>
    <row r="1480" spans="2:24" ht="17.899999999999999" customHeight="1">
      <c r="B1480" s="38" t="s">
        <v>26</v>
      </c>
      <c r="C1480" s="38" t="s">
        <v>26</v>
      </c>
      <c r="D1480" s="40"/>
      <c r="E1480" s="46"/>
      <c r="F1480" s="42" t="s">
        <v>368</v>
      </c>
      <c r="G1480" s="360"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6">
        <f>+VLOOKUP(CONCATENATE(Table1[[#This Row],[Tabela]],Table1[[#This Row],[Campo]]),'2. Status Detalhe Campos FY24'!A:J,9,FALSE)</f>
        <v>0</v>
      </c>
    </row>
    <row r="1481" spans="2:24" ht="17.899999999999999" customHeight="1">
      <c r="B1481" s="38" t="s">
        <v>26</v>
      </c>
      <c r="C1481" s="38" t="s">
        <v>26</v>
      </c>
      <c r="D1481" s="40"/>
      <c r="E1481" s="46"/>
      <c r="F1481" s="42" t="s">
        <v>368</v>
      </c>
      <c r="G1481" s="360" t="s">
        <v>2247</v>
      </c>
      <c r="H1481" s="58" t="str">
        <f>Table1[[#This Row],[Tabela]]&amp;Table1[[#This Row],[Campo]]</f>
        <v>lt004_protectionTYP_EMSSNS_LBL</v>
      </c>
      <c r="I1481" s="2" t="s">
        <v>1840</v>
      </c>
      <c r="J1481" s="44">
        <f>VLOOKUP(Table1[[#This Row],[Status]],Auxiliar!$B$16:$C$24,2,0)</f>
        <v>2</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99999999999999" customHeight="1">
      <c r="B1482" s="38" t="s">
        <v>26</v>
      </c>
      <c r="C1482" s="38" t="s">
        <v>26</v>
      </c>
      <c r="D1482" s="40"/>
      <c r="E1482" s="46"/>
      <c r="F1482" s="42" t="s">
        <v>368</v>
      </c>
      <c r="G1482" s="360"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99999999999999" customHeight="1">
      <c r="B1483" s="38" t="s">
        <v>26</v>
      </c>
      <c r="C1483" s="38" t="s">
        <v>26</v>
      </c>
      <c r="D1483" s="40"/>
      <c r="E1483" s="46"/>
      <c r="F1483" s="42" t="s">
        <v>368</v>
      </c>
      <c r="G1483" s="360" t="s">
        <v>2249</v>
      </c>
      <c r="H1483" s="58" t="str">
        <f>Table1[[#This Row],[Tabela]]&amp;Table1[[#This Row],[Campo]]</f>
        <v>lt004_protectionVHCL_EMSSNS_LBL</v>
      </c>
      <c r="I1483" s="2" t="s">
        <v>1840</v>
      </c>
      <c r="J1483" s="44">
        <f>VLOOKUP(Table1[[#This Row],[Status]],Auxiliar!$B$16:$C$24,2,0)</f>
        <v>2</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99999999999999" customHeight="1">
      <c r="B1484" s="38" t="s">
        <v>26</v>
      </c>
      <c r="C1484" s="38" t="s">
        <v>26</v>
      </c>
      <c r="D1484" s="40"/>
      <c r="E1484" s="46"/>
      <c r="F1484" s="42" t="s">
        <v>368</v>
      </c>
      <c r="G1484" s="360"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99999999999999" customHeight="1">
      <c r="B1485" s="38" t="s">
        <v>26</v>
      </c>
      <c r="C1485" s="38" t="s">
        <v>26</v>
      </c>
      <c r="D1485" s="40"/>
      <c r="E1485" s="46"/>
      <c r="F1485" s="42" t="s">
        <v>368</v>
      </c>
      <c r="G1485" s="360"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99999999999999" customHeight="1">
      <c r="B1486" s="38" t="s">
        <v>26</v>
      </c>
      <c r="C1486" s="38" t="s">
        <v>26</v>
      </c>
      <c r="D1486" s="40"/>
      <c r="E1486" s="46"/>
      <c r="F1486" s="42" t="s">
        <v>368</v>
      </c>
      <c r="G1486" s="360" t="s">
        <v>2252</v>
      </c>
      <c r="H1486" s="58" t="str">
        <f>Table1[[#This Row],[Tabela]]&amp;Table1[[#This Row],[Campo]]</f>
        <v>lt004_protectionVHCL_EMSSNS_SCR</v>
      </c>
      <c r="I1486" s="2" t="s">
        <v>1840</v>
      </c>
      <c r="J1486" s="44">
        <f>VLOOKUP(Table1[[#This Row],[Status]],Auxiliar!$B$16:$C$24,2,0)</f>
        <v>2</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99999999999999" customHeight="1">
      <c r="B1487" s="38" t="s">
        <v>26</v>
      </c>
      <c r="C1487" s="38" t="s">
        <v>26</v>
      </c>
      <c r="D1487" s="40"/>
      <c r="E1487" s="46"/>
      <c r="F1487" s="42" t="s">
        <v>368</v>
      </c>
      <c r="G1487" s="360" t="s">
        <v>2253</v>
      </c>
      <c r="H1487" s="58" t="str">
        <f>Table1[[#This Row],[Tabela]]&amp;Table1[[#This Row],[Campo]]</f>
        <v>lt004_protectionINSRNC_ID</v>
      </c>
      <c r="I1487" s="2" t="s">
        <v>1840</v>
      </c>
      <c r="J1487" s="44">
        <f>VLOOKUP(Table1[[#This Row],[Status]],Auxiliar!$B$16:$C$24,2,0)</f>
        <v>2</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99999999999999" customHeight="1">
      <c r="B1488" s="38" t="s">
        <v>26</v>
      </c>
      <c r="C1488" s="38" t="s">
        <v>26</v>
      </c>
      <c r="D1488" s="40"/>
      <c r="E1488" s="46"/>
      <c r="F1488" s="42" t="s">
        <v>368</v>
      </c>
      <c r="G1488" s="360" t="s">
        <v>2254</v>
      </c>
      <c r="H1488" s="58" t="str">
        <f>Table1[[#This Row],[Tabela]]&amp;Table1[[#This Row],[Campo]]</f>
        <v>lt004_protectionTYP_HZRDS_INSRD</v>
      </c>
      <c r="I1488" s="2" t="s">
        <v>1840</v>
      </c>
      <c r="J1488" s="44">
        <f>VLOOKUP(Table1[[#This Row],[Status]],Auxiliar!$B$16:$C$24,2,0)</f>
        <v>2</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99999999999999" customHeight="1">
      <c r="B1489" s="38" t="s">
        <v>26</v>
      </c>
      <c r="C1489" s="38" t="s">
        <v>26</v>
      </c>
      <c r="D1489" s="40"/>
      <c r="E1489" s="46"/>
      <c r="F1489" s="42" t="s">
        <v>368</v>
      </c>
      <c r="G1489" s="360" t="s">
        <v>2255</v>
      </c>
      <c r="H1489" s="58" t="str">
        <f>Table1[[#This Row],[Tabela]]&amp;Table1[[#This Row],[Campo]]</f>
        <v>lt004_protectionAMNT_CVRD_INSRNC</v>
      </c>
      <c r="I1489" s="2" t="s">
        <v>1840</v>
      </c>
      <c r="J1489" s="44">
        <f>VLOOKUP(Table1[[#This Row],[Status]],Auxiliar!$B$16:$C$24,2,0)</f>
        <v>2</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99999999999999" customHeight="1">
      <c r="B1490" s="38" t="s">
        <v>26</v>
      </c>
      <c r="C1490" s="38" t="s">
        <v>26</v>
      </c>
      <c r="D1490" s="40"/>
      <c r="E1490" s="46"/>
      <c r="F1490" s="42" t="s">
        <v>368</v>
      </c>
      <c r="G1490" s="360" t="s">
        <v>2256</v>
      </c>
      <c r="H1490" s="58" t="str">
        <f>Table1[[#This Row],[Tabela]]&amp;Table1[[#This Row],[Campo]]</f>
        <v>lt004_protectionDT_MTRTY_INSRNC</v>
      </c>
      <c r="I1490" s="2" t="s">
        <v>1840</v>
      </c>
      <c r="J1490" s="44">
        <f>VLOOKUP(Table1[[#This Row],[Status]],Auxiliar!$B$16:$C$24,2,0)</f>
        <v>2</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99999999999999" customHeight="1">
      <c r="B1491" s="38" t="s">
        <v>26</v>
      </c>
      <c r="C1491" s="38" t="s">
        <v>26</v>
      </c>
      <c r="D1491" s="40"/>
      <c r="E1491" s="46"/>
      <c r="F1491" s="42" t="s">
        <v>368</v>
      </c>
      <c r="G1491" s="360" t="s">
        <v>2257</v>
      </c>
      <c r="H1491" s="58" t="str">
        <f>Table1[[#This Row],[Tabela]]&amp;Table1[[#This Row],[Campo]]</f>
        <v>lt004_protectionFLG_FRST_HM</v>
      </c>
      <c r="I1491" s="2" t="s">
        <v>1840</v>
      </c>
      <c r="J1491" s="44">
        <f>VLOOKUP(Table1[[#This Row],[Status]],Auxiliar!$B$16:$C$24,2,0)</f>
        <v>2</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99999999999999" customHeight="1">
      <c r="B1492" s="38" t="s">
        <v>26</v>
      </c>
      <c r="C1492" s="38" t="s">
        <v>26</v>
      </c>
      <c r="D1492" s="40"/>
      <c r="E1492" s="46"/>
      <c r="F1492" s="42" t="s">
        <v>368</v>
      </c>
      <c r="G1492" s="360"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99999999999999" customHeight="1">
      <c r="B1493" s="38" t="s">
        <v>26</v>
      </c>
      <c r="C1493" s="38" t="s">
        <v>26</v>
      </c>
      <c r="D1493" s="40"/>
      <c r="E1493" s="46"/>
      <c r="F1493" s="42" t="s">
        <v>368</v>
      </c>
      <c r="G1493" s="360"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99999999999999" customHeight="1">
      <c r="B1494" s="38" t="s">
        <v>26</v>
      </c>
      <c r="C1494" s="38" t="s">
        <v>26</v>
      </c>
      <c r="D1494" s="40"/>
      <c r="E1494" s="46"/>
      <c r="F1494" s="42" t="s">
        <v>368</v>
      </c>
      <c r="G1494" s="360" t="s">
        <v>2260</v>
      </c>
      <c r="H1494" s="58" t="str">
        <f>Table1[[#This Row],[Tabela]]&amp;Table1[[#This Row],[Campo]]</f>
        <v>lt004_protectionRL_ESTT_CRTFCTN</v>
      </c>
      <c r="I1494" s="2" t="s">
        <v>1840</v>
      </c>
      <c r="J1494" s="44">
        <f>VLOOKUP(Table1[[#This Row],[Status]],Auxiliar!$B$16:$C$24,2,0)</f>
        <v>2</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99999999999999" customHeight="1">
      <c r="B1495" s="38" t="s">
        <v>26</v>
      </c>
      <c r="C1495" s="38" t="s">
        <v>26</v>
      </c>
      <c r="D1495" s="40"/>
      <c r="E1495" s="46"/>
      <c r="F1495" s="42" t="s">
        <v>368</v>
      </c>
      <c r="G1495" s="360"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99999999999999" customHeight="1">
      <c r="B1496" s="38" t="s">
        <v>26</v>
      </c>
      <c r="C1496" s="38" t="s">
        <v>26</v>
      </c>
      <c r="D1496" s="40"/>
      <c r="E1496" s="46"/>
      <c r="F1496" s="42" t="s">
        <v>368</v>
      </c>
      <c r="G1496" s="360" t="s">
        <v>2262</v>
      </c>
      <c r="H1496" s="58" t="str">
        <f>Table1[[#This Row],[Tabela]]&amp;Table1[[#This Row],[Campo]]</f>
        <v>lt004_protectionDT_RGSTRTN</v>
      </c>
      <c r="I1496" s="2" t="s">
        <v>1840</v>
      </c>
      <c r="J1496" s="44">
        <f>VLOOKUP(Table1[[#This Row],[Status]],Auxiliar!$B$16:$C$24,2,0)</f>
        <v>2</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99999999999999" customHeight="1">
      <c r="B1497" s="38" t="s">
        <v>26</v>
      </c>
      <c r="C1497" s="38" t="s">
        <v>26</v>
      </c>
      <c r="D1497" s="40"/>
      <c r="E1497" s="46"/>
      <c r="F1497" s="42" t="s">
        <v>368</v>
      </c>
      <c r="G1497" s="360" t="s">
        <v>2263</v>
      </c>
      <c r="H1497" s="58" t="str">
        <f>Table1[[#This Row],[Tabela]]&amp;Table1[[#This Row],[Campo]]</f>
        <v>lt004_protectionPRMRY_ENRGY_DMND_NN_RNWBL</v>
      </c>
      <c r="I1497" s="2" t="s">
        <v>1840</v>
      </c>
      <c r="J1497" s="44">
        <f>VLOOKUP(Table1[[#This Row],[Status]],Auxiliar!$B$16:$C$24,2,0)</f>
        <v>2</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99999999999999" customHeight="1">
      <c r="B1498" s="38" t="s">
        <v>26</v>
      </c>
      <c r="C1498" s="38" t="s">
        <v>26</v>
      </c>
      <c r="D1498" s="40"/>
      <c r="E1498" s="46"/>
      <c r="F1498" s="42" t="s">
        <v>368</v>
      </c>
      <c r="G1498" s="360"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99999999999999" customHeight="1">
      <c r="B1499" s="38" t="s">
        <v>26</v>
      </c>
      <c r="C1499" s="38" t="s">
        <v>26</v>
      </c>
      <c r="D1499" s="40"/>
      <c r="E1499" s="46"/>
      <c r="F1499" s="42" t="s">
        <v>368</v>
      </c>
      <c r="G1499" s="492"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99999999999999" customHeight="1">
      <c r="B1500" s="38" t="s">
        <v>26</v>
      </c>
      <c r="C1500" s="38" t="s">
        <v>26</v>
      </c>
      <c r="D1500" s="40"/>
      <c r="E1500" s="46"/>
      <c r="F1500" s="42" t="s">
        <v>368</v>
      </c>
      <c r="G1500" s="360"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99999999999999" customHeight="1">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6">
        <f>+VLOOKUP(CONCATENATE(Table1[[#This Row],[Tabela]],Table1[[#This Row],[Campo]]),'2. Status Detalhe Campos FY24'!A:J,9,FALSE)</f>
        <v>0</v>
      </c>
    </row>
    <row r="1502" spans="2:24" ht="17.899999999999999" customHeight="1">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9"/>
      <c r="R1502" s="151"/>
      <c r="S1502" s="151"/>
      <c r="T1502" s="151"/>
      <c r="U1502" s="151"/>
      <c r="V1502" s="151"/>
      <c r="W1502" s="2">
        <f>VLOOKUP(Table1[[#This Row],[Status]],Auxiliar!$B$16:$D$24,3,0)*Table1[[#This Row],[Estimação (horas)]]</f>
        <v>0.1</v>
      </c>
      <c r="X1502" s="166">
        <f>+VLOOKUP(CONCATENATE(Table1[[#This Row],[Tabela]],Table1[[#This Row],[Campo]]),'2. Status Detalhe Campos FY24'!A:J,9,FALSE)</f>
        <v>0</v>
      </c>
    </row>
    <row r="1503" spans="2:24" ht="17.899999999999999" customHeight="1">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9"/>
      <c r="R1503" s="151"/>
      <c r="S1503" s="151"/>
      <c r="T1503" s="151"/>
      <c r="U1503" s="151"/>
      <c r="V1503" s="151"/>
      <c r="W1503" s="2">
        <f>VLOOKUP(Table1[[#This Row],[Status]],Auxiliar!$B$16:$D$24,3,0)*Table1[[#This Row],[Estimação (horas)]]</f>
        <v>0.1</v>
      </c>
      <c r="X1503" s="166">
        <f>+VLOOKUP(CONCATENATE(Table1[[#This Row],[Tabela]],Table1[[#This Row],[Campo]]),'2. Status Detalhe Campos FY24'!A:J,9,FALSE)</f>
        <v>0</v>
      </c>
    </row>
    <row r="1504" spans="2:24" ht="17.899999999999999" customHeight="1">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9"/>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99999999999999" customHeight="1">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99999999999999" customHeight="1">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99999999999999" customHeight="1">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99999999999999" customHeight="1">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99999999999999" customHeight="1">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99999999999999" customHeight="1">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99999999999999" customHeight="1">
      <c r="B1511" s="38" t="s">
        <v>26</v>
      </c>
      <c r="C1511" s="38" t="s">
        <v>26</v>
      </c>
      <c r="D1511" s="19" t="s">
        <v>399</v>
      </c>
      <c r="E1511" s="111" t="s">
        <v>38</v>
      </c>
      <c r="F1511" s="2" t="s">
        <v>441</v>
      </c>
      <c r="G1511" s="12" t="s">
        <v>442</v>
      </c>
      <c r="H1511" s="58" t="str">
        <f>Table1[[#This Row],[Tabela]]&amp;Table1[[#This Row],[Campo]]</f>
        <v>lt006_instr_protprtctn_allctd_vl</v>
      </c>
      <c r="I1511" s="2" t="s">
        <v>1840</v>
      </c>
      <c r="J1511" s="44">
        <f>VLOOKUP(Table1[[#This Row],[Status]],Auxiliar!$B$16:$C$24,2,0)</f>
        <v>2</v>
      </c>
      <c r="K1511" s="20" t="s">
        <v>1173</v>
      </c>
      <c r="L1511" s="45" t="s">
        <v>1174</v>
      </c>
      <c r="M1511" s="20" t="s">
        <v>1175</v>
      </c>
      <c r="N1511" s="47">
        <v>45358</v>
      </c>
      <c r="O1511" s="112">
        <v>0.1</v>
      </c>
      <c r="P1511" s="2"/>
      <c r="Q1511" s="199"/>
      <c r="R1511" s="151"/>
      <c r="S1511" s="151"/>
      <c r="T1511" s="151"/>
      <c r="U1511" s="151"/>
      <c r="V1511" s="151"/>
      <c r="W1511" s="2">
        <f>VLOOKUP(Table1[[#This Row],[Status]],Auxiliar!$B$16:$D$24,3,0)*Table1[[#This Row],[Estimação (horas)]]</f>
        <v>0.05</v>
      </c>
      <c r="X1511" s="166">
        <f>+VLOOKUP(CONCATENATE(Table1[[#This Row],[Tabela]],Table1[[#This Row],[Campo]]),'2. Status Detalhe Campos FY24'!A:J,9,FALSE)</f>
        <v>0</v>
      </c>
    </row>
    <row r="1512" spans="2:24" ht="17.899999999999999" customHeight="1">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9"/>
      <c r="R1512" s="151"/>
      <c r="S1512" s="151"/>
      <c r="T1512" s="151"/>
      <c r="U1512" s="151"/>
      <c r="V1512" s="151"/>
      <c r="W1512" s="2">
        <f>VLOOKUP(Table1[[#This Row],[Status]],Auxiliar!$B$16:$D$24,3,0)*Table1[[#This Row],[Estimação (horas)]]</f>
        <v>2.5000000000000001E-2</v>
      </c>
      <c r="X1512" s="166">
        <f>+VLOOKUP(CONCATENATE(Table1[[#This Row],[Tabela]],Table1[[#This Row],[Campo]]),'2. Status Detalhe Campos FY24'!A:J,9,FALSE)</f>
        <v>0</v>
      </c>
    </row>
    <row r="1513" spans="2:24" ht="17.899999999999999" customHeight="1">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99999999999999" customHeight="1">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9"/>
      <c r="R1514" s="151"/>
      <c r="S1514" s="151"/>
      <c r="T1514" s="151"/>
      <c r="U1514" s="151"/>
      <c r="V1514" s="151"/>
      <c r="W1514" s="2">
        <f>VLOOKUP(Table1[[#This Row],[Status]],Auxiliar!$B$16:$D$24,3,0)*Table1[[#This Row],[Estimação (horas)]]</f>
        <v>0</v>
      </c>
      <c r="X1514" s="166">
        <f>+VLOOKUP(CONCATENATE(Table1[[#This Row],[Tabela]],Table1[[#This Row],[Campo]]),'2. Status Detalhe Campos FY24'!A:J,9,FALSE)</f>
        <v>0</v>
      </c>
    </row>
    <row r="1515" spans="2:24" ht="17.899999999999999" customHeight="1">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9"/>
      <c r="R1515" s="151"/>
      <c r="S1515" s="151"/>
      <c r="T1515" s="151"/>
      <c r="U1515" s="151"/>
      <c r="V1515" s="151"/>
      <c r="W1515" s="2">
        <f>VLOOKUP(Table1[[#This Row],[Status]],Auxiliar!$B$16:$D$24,3,0)*Table1[[#This Row],[Estimação (horas)]]</f>
        <v>0</v>
      </c>
      <c r="X1515" s="166">
        <f>+VLOOKUP(CONCATENATE(Table1[[#This Row],[Tabela]],Table1[[#This Row],[Campo]]),'2. Status Detalhe Campos FY24'!A:J,9,FALSE)</f>
        <v>0</v>
      </c>
    </row>
    <row r="1516" spans="2:24" ht="17.899999999999999" customHeight="1">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9"/>
      <c r="R1516" s="151"/>
      <c r="S1516" s="151"/>
      <c r="T1516" s="151"/>
      <c r="U1516" s="151"/>
      <c r="V1516" s="151"/>
      <c r="W1516" s="2">
        <f>VLOOKUP(Table1[[#This Row],[Status]],Auxiliar!$B$16:$D$24,3,0)*Table1[[#This Row],[Estimação (horas)]]</f>
        <v>0</v>
      </c>
      <c r="X1516" s="166">
        <f>+VLOOKUP(CONCATENATE(Table1[[#This Row],[Tabela]],Table1[[#This Row],[Campo]]),'2. Status Detalhe Campos FY24'!A:J,9,FALSE)</f>
        <v>0</v>
      </c>
    </row>
    <row r="1517" spans="2:24" ht="17.899999999999999" customHeight="1">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99999999999999" customHeight="1">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99999999999999" customHeight="1">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99999999999999" customHeight="1">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99999999999999" customHeight="1">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5" customHeight="1">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5" customHeight="1">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5" customHeight="1">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9"/>
      <c r="R1524" s="151"/>
      <c r="S1524" s="151"/>
      <c r="T1524" s="151"/>
      <c r="U1524" s="151"/>
      <c r="V1524" s="151"/>
      <c r="W1524" s="2" t="e">
        <f>VLOOKUP(Table1[[#This Row],[Status]],Auxiliar!$B$16:$D$24,3,0)*Table1[[#This Row],[Estimação (horas)]]</f>
        <v>#N/A</v>
      </c>
      <c r="X1524" s="166">
        <f>+VLOOKUP(CONCATENATE(Table1[[#This Row],[Tabela]],Table1[[#This Row],[Campo]]),'2. Status Detalhe Campos FY24'!A:J,9,FALSE)</f>
        <v>0</v>
      </c>
    </row>
    <row r="1525" spans="2:24" ht="17.5" customHeight="1">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9"/>
      <c r="R1525" s="151"/>
      <c r="S1525" s="151"/>
      <c r="T1525" s="151"/>
      <c r="U1525" s="151"/>
      <c r="V1525" s="151"/>
      <c r="W1525" s="2" t="e">
        <f>VLOOKUP(Table1[[#This Row],[Status]],Auxiliar!$B$16:$D$24,3,0)*Table1[[#This Row],[Estimação (horas)]]</f>
        <v>#N/A</v>
      </c>
      <c r="X1525" s="166">
        <f>+VLOOKUP(CONCATENATE(Table1[[#This Row],[Tabela]],Table1[[#This Row],[Campo]]),'2. Status Detalhe Campos FY24'!A:J,9,FALSE)</f>
        <v>0</v>
      </c>
    </row>
    <row r="1526" spans="2:24" ht="17.5" customHeight="1">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9"/>
      <c r="R1526" s="151"/>
      <c r="S1526" s="151"/>
      <c r="T1526" s="151"/>
      <c r="U1526" s="151"/>
      <c r="V1526" s="151"/>
      <c r="W1526" s="2" t="e">
        <f>VLOOKUP(Table1[[#This Row],[Status]],Auxiliar!$B$16:$D$24,3,0)*Table1[[#This Row],[Estimação (horas)]]</f>
        <v>#N/A</v>
      </c>
      <c r="X1526" s="166">
        <f>+VLOOKUP(CONCATENATE(Table1[[#This Row],[Tabela]],Table1[[#This Row],[Campo]]),'2. Status Detalhe Campos FY24'!A:J,9,FALSE)</f>
        <v>0</v>
      </c>
    </row>
    <row r="1527" spans="2:24" ht="17.5" customHeight="1">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 customHeight="1">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 customHeight="1">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 customHeight="1">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 customHeight="1">
      <c r="B1531" s="19" t="s">
        <v>26</v>
      </c>
      <c r="C1531" s="19" t="s">
        <v>181</v>
      </c>
      <c r="D1531" s="12" t="s">
        <v>1218</v>
      </c>
      <c r="E1531" s="2" t="s">
        <v>38</v>
      </c>
      <c r="F1531" s="31" t="s">
        <v>2061</v>
      </c>
      <c r="G1531" s="348" t="s">
        <v>2069</v>
      </c>
      <c r="H1531" s="350" t="str">
        <f>Table1[[#This Row],[Tabela]]&amp;Table1[[#This Row],[Campo]]</f>
        <v>modesg_inp_project_financecodigo_unidade_operativa</v>
      </c>
      <c r="I1531" s="2" t="s">
        <v>612</v>
      </c>
      <c r="J1531" s="351">
        <f>VLOOKUP(Table1[[#This Row],[Status]],Auxiliar!$B$16:$C$24,2,0)</f>
        <v>1</v>
      </c>
      <c r="K1531" s="20" t="s">
        <v>1179</v>
      </c>
      <c r="L1531" s="20" t="s">
        <v>1174</v>
      </c>
      <c r="M1531" s="20" t="s">
        <v>1175</v>
      </c>
      <c r="N1531" s="47">
        <v>45688</v>
      </c>
      <c r="O1531" s="352" t="e">
        <f>INDEX(Auxiliar!$D$5:$F$11,MATCH(Table1[[#This Row],[Tipologia_Testes]],Auxiliar!$B$5:$B$11,0),MATCH(Table1[[#This Row],[Complexidade]],Auxiliar!$D$4:$F$4,0))</f>
        <v>#N/A</v>
      </c>
      <c r="P1531" s="349"/>
      <c r="Q1531" s="353"/>
      <c r="R1531" s="354"/>
      <c r="S1531" s="355"/>
      <c r="T1531" s="355"/>
      <c r="U1531" s="355"/>
      <c r="V1531" s="355"/>
      <c r="W1531" s="349" t="e">
        <f>VLOOKUP(Table1[[#This Row],[Status]],Auxiliar!$B$16:$D$24,3,0)*Table1[[#This Row],[Estimação (horas)]]</f>
        <v>#N/A</v>
      </c>
      <c r="X1531" s="166">
        <f>+VLOOKUP(CONCATENATE(Table1[[#This Row],[Tabela]],Table1[[#This Row],[Campo]]),'2. Status Detalhe Campos FY24'!A:J,9,FALSE)</f>
        <v>0</v>
      </c>
    </row>
    <row r="1532" spans="2:24" ht="18" customHeight="1">
      <c r="B1532" s="19" t="s">
        <v>26</v>
      </c>
      <c r="C1532" s="19" t="s">
        <v>181</v>
      </c>
      <c r="D1532" s="12" t="s">
        <v>1218</v>
      </c>
      <c r="E1532" s="2" t="s">
        <v>38</v>
      </c>
      <c r="F1532" s="31" t="s">
        <v>2061</v>
      </c>
      <c r="G1532" s="19" t="s">
        <v>2070</v>
      </c>
      <c r="H1532" s="350" t="str">
        <f>Table1[[#This Row],[Tabela]]&amp;Table1[[#This Row],[Campo]]</f>
        <v>modesg_inp_project_financenome_entidade_operativa</v>
      </c>
      <c r="I1532" s="2" t="s">
        <v>612</v>
      </c>
      <c r="J1532" s="351">
        <f>VLOOKUP(Table1[[#This Row],[Status]],Auxiliar!$B$16:$C$24,2,0)</f>
        <v>1</v>
      </c>
      <c r="K1532" s="20" t="s">
        <v>1179</v>
      </c>
      <c r="L1532" s="20" t="s">
        <v>1174</v>
      </c>
      <c r="M1532" s="20" t="s">
        <v>1175</v>
      </c>
      <c r="N1532" s="47">
        <v>45688</v>
      </c>
      <c r="O1532" s="352" t="e">
        <f>INDEX(Auxiliar!$D$5:$F$11,MATCH(Table1[[#This Row],[Tipologia_Testes]],Auxiliar!$B$5:$B$11,0),MATCH(Table1[[#This Row],[Complexidade]],Auxiliar!$D$4:$F$4,0))</f>
        <v>#N/A</v>
      </c>
      <c r="P1532" s="2"/>
      <c r="Q1532" s="199"/>
      <c r="R1532" s="151"/>
      <c r="S1532" s="151"/>
      <c r="T1532" s="151"/>
      <c r="U1532" s="151"/>
      <c r="V1532" s="151"/>
      <c r="W1532" s="2"/>
      <c r="X1532"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15" operator="containsText" id="{8983D8D5-C2D6-4B72-B323-1B9C72824199}">
            <xm:f>NOT(ISERROR(SEARCH(Auxiliar!$B$21,I10)))</xm:f>
            <xm:f>Auxiliar!$B$21</xm:f>
            <x14:dxf>
              <font>
                <b/>
                <i val="0"/>
                <color rgb="FFFFC000"/>
              </font>
              <fill>
                <patternFill>
                  <bgColor theme="9" tint="0.59996337778862885"/>
                </patternFill>
              </fill>
            </x14:dxf>
          </x14:cfRule>
          <x14:cfRule type="cellIs" priority="116" operator="equal" id="{851F9D3C-DE91-4C20-A255-DBA976D47256}">
            <xm:f>Auxiliar!$B$24</xm:f>
            <x14:dxf>
              <font>
                <b/>
                <i val="0"/>
                <color theme="1"/>
              </font>
              <fill>
                <patternFill patternType="darkUp">
                  <bgColor theme="0"/>
                </patternFill>
              </fill>
            </x14:dxf>
          </x14:cfRule>
          <x14:cfRule type="cellIs" priority="117" operator="equal" id="{AEB76678-92B6-4E42-BA0D-898B2AB889D7}">
            <xm:f>Auxiliar!$B$18</xm:f>
            <x14:dxf>
              <font>
                <b/>
                <i val="0"/>
                <color theme="0" tint="-0.499984740745262"/>
              </font>
              <fill>
                <patternFill>
                  <bgColor theme="0" tint="-4.9989318521683403E-2"/>
                </patternFill>
              </fill>
            </x14:dxf>
          </x14:cfRule>
          <x14:cfRule type="containsText" priority="118"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119"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120"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97" operator="containsText" id="{F0FC3167-D078-4732-B252-F6CF35A33118}">
            <xm:f>NOT(ISERROR(SEARCH(Auxiliar!$B$21,I193)))</xm:f>
            <xm:f>Auxiliar!$B$21</xm:f>
            <x14:dxf>
              <font>
                <b/>
                <i val="0"/>
                <color rgb="FFFFC000"/>
              </font>
              <fill>
                <patternFill>
                  <bgColor theme="9" tint="0.59996337778862885"/>
                </patternFill>
              </fill>
            </x14:dxf>
          </x14:cfRule>
          <x14:cfRule type="cellIs" priority="398" operator="equal" id="{0DF84132-7044-4342-A136-5BB25A806900}">
            <xm:f>Auxiliar!$B$24</xm:f>
            <x14:dxf>
              <font>
                <b/>
                <i val="0"/>
                <color theme="1"/>
              </font>
              <fill>
                <patternFill patternType="darkUp">
                  <bgColor theme="0"/>
                </patternFill>
              </fill>
            </x14:dxf>
          </x14:cfRule>
          <x14:cfRule type="cellIs" priority="399" operator="equal" id="{0AA668F3-08F2-48AD-824F-FDAAFE4C3390}">
            <xm:f>Auxiliar!$B$18</xm:f>
            <x14:dxf>
              <font>
                <b/>
                <i val="0"/>
                <color theme="0" tint="-0.499984740745262"/>
              </font>
              <fill>
                <patternFill>
                  <bgColor theme="0" tint="-4.9989318521683403E-2"/>
                </patternFill>
              </fill>
            </x14:dxf>
          </x14:cfRule>
          <x14:cfRule type="containsText" priority="400"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401"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402"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121" operator="containsText" id="{680189A3-E553-4E28-88AF-4BE37876E399}">
            <xm:f>NOT(ISERROR(SEARCH(Auxiliar!$B$21,I224)))</xm:f>
            <xm:f>Auxiliar!$B$21</xm:f>
            <x14:dxf>
              <font>
                <b/>
                <i val="0"/>
                <color rgb="FFFFC000"/>
              </font>
              <fill>
                <patternFill>
                  <bgColor theme="9" tint="0.59996337778862885"/>
                </patternFill>
              </fill>
            </x14:dxf>
          </x14:cfRule>
          <x14:cfRule type="cellIs" priority="122" operator="equal" id="{837D1480-3614-407B-A9D1-E2F5BA61EA3D}">
            <xm:f>Auxiliar!$B$24</xm:f>
            <x14:dxf>
              <font>
                <b/>
                <i val="0"/>
                <color theme="1"/>
              </font>
              <fill>
                <patternFill patternType="darkUp">
                  <bgColor theme="0"/>
                </patternFill>
              </fill>
            </x14:dxf>
          </x14:cfRule>
          <x14:cfRule type="cellIs" priority="123" operator="equal" id="{782D49B3-623A-4DF5-8308-75A6F81A19FD}">
            <xm:f>Auxiliar!$B$18</xm:f>
            <x14:dxf>
              <font>
                <b/>
                <i val="0"/>
                <color theme="0" tint="-0.499984740745262"/>
              </font>
              <fill>
                <patternFill>
                  <bgColor theme="0" tint="-4.9989318521683403E-2"/>
                </patternFill>
              </fill>
            </x14:dxf>
          </x14:cfRule>
          <x14:cfRule type="containsText" priority="124"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125"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126" operator="containsText" id="{26A20443-BC57-4315-9725-5F704346CF3C}">
            <xm:f>NOT(ISERROR(SEARCH(Auxiliar!$B$16,I224)))</xm:f>
            <xm:f>Auxiliar!$B$16</xm:f>
            <x14:dxf>
              <font>
                <b/>
                <i val="0"/>
                <color theme="7"/>
              </font>
              <fill>
                <patternFill>
                  <bgColor theme="7" tint="0.79998168889431442"/>
                </patternFill>
              </fill>
            </x14:dxf>
          </x14:cfRule>
          <xm:sqref>I663:I685 I245:I247 I224:I226 I318:I320 I291:I294</xm:sqref>
        </x14:conditionalFormatting>
        <x14:conditionalFormatting xmlns:xm="http://schemas.microsoft.com/office/excel/2006/main">
          <x14:cfRule type="containsText" priority="103" operator="containsText" id="{BA88C474-7CD5-48E4-BBD7-168BDC558FC6}">
            <xm:f>NOT(ISERROR(SEARCH(Auxiliar!$B$21,I393)))</xm:f>
            <xm:f>Auxiliar!$B$21</xm:f>
            <x14:dxf>
              <font>
                <b/>
                <i val="0"/>
                <color rgb="FFFFC000"/>
              </font>
              <fill>
                <patternFill>
                  <bgColor theme="9" tint="0.59996337778862885"/>
                </patternFill>
              </fill>
            </x14:dxf>
          </x14:cfRule>
          <x14:cfRule type="cellIs" priority="104" operator="equal" id="{09D83F8A-0668-4607-A721-73C22171BC18}">
            <xm:f>Auxiliar!$B$24</xm:f>
            <x14:dxf>
              <font>
                <b/>
                <i val="0"/>
                <color theme="1"/>
              </font>
              <fill>
                <patternFill patternType="darkUp">
                  <bgColor theme="0"/>
                </patternFill>
              </fill>
            </x14:dxf>
          </x14:cfRule>
          <x14:cfRule type="cellIs" priority="105" operator="equal" id="{630BCF05-930B-451C-86BD-163F900C7CF1}">
            <xm:f>Auxiliar!$B$18</xm:f>
            <x14:dxf>
              <font>
                <b/>
                <i val="0"/>
                <color theme="0" tint="-0.499984740745262"/>
              </font>
              <fill>
                <patternFill>
                  <bgColor theme="0" tint="-4.9989318521683403E-2"/>
                </patternFill>
              </fill>
            </x14:dxf>
          </x14:cfRule>
          <x14:cfRule type="containsText" priority="106"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107"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108"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61" operator="containsText" id="{F37540B4-F195-417D-8B16-937C79358CD4}">
            <xm:f>NOT(ISERROR(SEARCH(Auxiliar!$B$21,I802)))</xm:f>
            <xm:f>Auxiliar!$B$21</xm:f>
            <x14:dxf>
              <font>
                <b/>
                <i val="0"/>
                <color rgb="FFFFC000"/>
              </font>
              <fill>
                <patternFill>
                  <bgColor theme="9" tint="0.59996337778862885"/>
                </patternFill>
              </fill>
            </x14:dxf>
          </x14:cfRule>
          <x14:cfRule type="cellIs" priority="62" operator="equal" id="{CFAA4FF6-8EEE-4092-88A7-C231D2EF2BB4}">
            <xm:f>Auxiliar!$B$24</xm:f>
            <x14:dxf>
              <font>
                <b/>
                <i val="0"/>
                <color theme="1"/>
              </font>
              <fill>
                <patternFill patternType="darkUp">
                  <bgColor theme="0"/>
                </patternFill>
              </fill>
            </x14:dxf>
          </x14:cfRule>
          <x14:cfRule type="cellIs" priority="63" operator="equal" id="{7A0F1BFC-7107-4EA5-AA94-1C72B2105371}">
            <xm:f>Auxiliar!$B$18</xm:f>
            <x14:dxf>
              <font>
                <b/>
                <i val="0"/>
                <color theme="0" tint="-0.499984740745262"/>
              </font>
              <fill>
                <patternFill>
                  <bgColor theme="0" tint="-4.9989318521683403E-2"/>
                </patternFill>
              </fill>
            </x14:dxf>
          </x14:cfRule>
          <x14:cfRule type="containsText" priority="64"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65"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66"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57" operator="containsText" id="{6DE85724-2EE4-4C5C-BFE4-5CDF139191EE}">
            <xm:f>NOT(ISERROR(SEARCH(Auxiliar!$B$21,I1149)))</xm:f>
            <xm:f>Auxiliar!$B$21</xm:f>
            <x14:dxf>
              <font>
                <b/>
                <i val="0"/>
                <color rgb="FFFFC000"/>
              </font>
              <fill>
                <patternFill>
                  <bgColor theme="9" tint="0.59996337778862885"/>
                </patternFill>
              </fill>
            </x14:dxf>
          </x14:cfRule>
          <x14:cfRule type="cellIs" priority="158" operator="equal" id="{108BBB59-B3A9-4718-AE41-245162C547B8}">
            <xm:f>Auxiliar!$B$24</xm:f>
            <x14:dxf>
              <font>
                <b/>
                <i val="0"/>
                <color theme="1"/>
              </font>
              <fill>
                <patternFill patternType="darkUp">
                  <bgColor theme="0"/>
                </patternFill>
              </fill>
            </x14:dxf>
          </x14:cfRule>
          <x14:cfRule type="cellIs" priority="159" operator="equal" id="{9568F5E2-6C96-435A-A8A4-37A212A788A8}">
            <xm:f>Auxiliar!$B$18</xm:f>
            <x14:dxf>
              <font>
                <b/>
                <i val="0"/>
                <color theme="0" tint="-0.499984740745262"/>
              </font>
              <fill>
                <patternFill>
                  <bgColor theme="0" tint="-4.9989318521683403E-2"/>
                </patternFill>
              </fill>
            </x14:dxf>
          </x14:cfRule>
          <x14:cfRule type="containsText" priority="160"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61"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62"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85" operator="containsText" id="{2B892DA0-DAF7-421F-B66B-0FB6F4150541}">
            <xm:f>NOT(ISERROR(SEARCH(Auxiliar!$B$21,I1305)))</xm:f>
            <xm:f>Auxiliar!$B$21</xm:f>
            <x14:dxf>
              <font>
                <b/>
                <i val="0"/>
                <color rgb="FFFFC000"/>
              </font>
              <fill>
                <patternFill>
                  <bgColor theme="9" tint="0.59996337778862885"/>
                </patternFill>
              </fill>
            </x14:dxf>
          </x14:cfRule>
          <x14:cfRule type="cellIs" priority="86" operator="equal" id="{6F6FE95C-2911-46F9-A476-E59F486686B1}">
            <xm:f>Auxiliar!$B$24</xm:f>
            <x14:dxf>
              <font>
                <b/>
                <i val="0"/>
                <color theme="1"/>
              </font>
              <fill>
                <patternFill patternType="darkUp">
                  <bgColor theme="0"/>
                </patternFill>
              </fill>
            </x14:dxf>
          </x14:cfRule>
          <x14:cfRule type="cellIs" priority="87" operator="equal" id="{33721898-A6FE-4D41-9A0F-2B8F543A091F}">
            <xm:f>Auxiliar!$B$18</xm:f>
            <x14:dxf>
              <font>
                <b/>
                <i val="0"/>
                <color theme="0" tint="-0.499984740745262"/>
              </font>
              <fill>
                <patternFill>
                  <bgColor theme="0" tint="-4.9989318521683403E-2"/>
                </patternFill>
              </fill>
            </x14:dxf>
          </x14:cfRule>
          <x14:cfRule type="containsText" priority="88"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89"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90"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931"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I1290:J1304 I1333:J1333 I419:J662 I686:J691 I698:J706 J692:J697 J707:J712 I713:J801 I824:J1148 I1436:J1472 I1405:J1430 J1431:J1435</xm:sqref>
        </x14:conditionalFormatting>
        <x14:conditionalFormatting xmlns:xm="http://schemas.microsoft.com/office/excel/2006/main">
          <x14:cfRule type="containsText" priority="373" operator="containsText" id="{818B4E3F-A611-4A6A-A815-B804D1E3C747}">
            <xm:f>NOT(ISERROR(SEARCH(Auxiliar!$B$21,I1334)))</xm:f>
            <xm:f>Auxiliar!$B$21</xm:f>
            <x14:dxf>
              <font>
                <b/>
                <i val="0"/>
                <color rgb="FFFFC000"/>
              </font>
              <fill>
                <patternFill>
                  <bgColor theme="9" tint="0.59996337778862885"/>
                </patternFill>
              </fill>
            </x14:dxf>
          </x14:cfRule>
          <x14:cfRule type="cellIs" priority="374" operator="equal" id="{49F42230-2FF0-42CE-B047-38469DF4FF91}">
            <xm:f>Auxiliar!$B$24</xm:f>
            <x14:dxf>
              <font>
                <b/>
                <i val="0"/>
                <color theme="1"/>
              </font>
              <fill>
                <patternFill patternType="darkUp">
                  <bgColor theme="0"/>
                </patternFill>
              </fill>
            </x14:dxf>
          </x14:cfRule>
          <x14:cfRule type="cellIs" priority="375" operator="equal" id="{340814F4-4DC4-4851-925E-2EA110D79ECA}">
            <xm:f>Auxiliar!$B$18</xm:f>
            <x14:dxf>
              <font>
                <b/>
                <i val="0"/>
                <color theme="0" tint="-0.499984740745262"/>
              </font>
              <fill>
                <patternFill>
                  <bgColor theme="0" tint="-4.9989318521683403E-2"/>
                </patternFill>
              </fill>
            </x14:dxf>
          </x14:cfRule>
          <x14:cfRule type="containsText" priority="376"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377"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378"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127" operator="containsText" id="{780D834D-C977-4B94-81EF-A8A47D289907}">
            <xm:f>NOT(ISERROR(SEARCH(Auxiliar!$B$21,I1433)))</xm:f>
            <xm:f>Auxiliar!$B$21</xm:f>
            <x14:dxf>
              <font>
                <b/>
                <i val="0"/>
                <color rgb="FFFFC000"/>
              </font>
              <fill>
                <patternFill>
                  <bgColor theme="9" tint="0.59996337778862885"/>
                </patternFill>
              </fill>
            </x14:dxf>
          </x14:cfRule>
          <x14:cfRule type="cellIs" priority="128" operator="equal" id="{A6EB2312-FB92-41F7-9CCA-3B81CF6C2FD3}">
            <xm:f>Auxiliar!$B$24</xm:f>
            <x14:dxf>
              <font>
                <b/>
                <i val="0"/>
                <color theme="1"/>
              </font>
              <fill>
                <patternFill patternType="darkUp">
                  <bgColor theme="0"/>
                </patternFill>
              </fill>
            </x14:dxf>
          </x14:cfRule>
          <x14:cfRule type="cellIs" priority="129" operator="equal" id="{BB030E3C-F572-4B6B-8325-D47BA2E295D4}">
            <xm:f>Auxiliar!$B$18</xm:f>
            <x14:dxf>
              <font>
                <b/>
                <i val="0"/>
                <color theme="0" tint="-0.499984740745262"/>
              </font>
              <fill>
                <patternFill>
                  <bgColor theme="0" tint="-4.9989318521683403E-2"/>
                </patternFill>
              </fill>
            </x14:dxf>
          </x14:cfRule>
          <x14:cfRule type="containsText" priority="130"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131"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132"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67" operator="containsText" id="{6DA62849-05D4-40B1-87CE-BD01F462C809}">
            <xm:f>NOT(ISERROR(SEARCH(Auxiliar!$B$21,I1473)))</xm:f>
            <xm:f>Auxiliar!$B$21</xm:f>
            <x14:dxf>
              <font>
                <b/>
                <i val="0"/>
                <color rgb="FFFFC000"/>
              </font>
              <fill>
                <patternFill>
                  <bgColor theme="9" tint="0.59996337778862885"/>
                </patternFill>
              </fill>
            </x14:dxf>
          </x14:cfRule>
          <x14:cfRule type="cellIs" priority="68" operator="equal" id="{1E79D505-B910-4D78-97DA-7353733B54BB}">
            <xm:f>Auxiliar!$B$24</xm:f>
            <x14:dxf>
              <font>
                <b/>
                <i val="0"/>
                <color theme="1"/>
              </font>
              <fill>
                <patternFill patternType="darkUp">
                  <bgColor theme="0"/>
                </patternFill>
              </fill>
            </x14:dxf>
          </x14:cfRule>
          <x14:cfRule type="cellIs" priority="69" operator="equal" id="{00DE0B36-B6EA-4EC5-9098-B394F10BE65F}">
            <xm:f>Auxiliar!$B$18</xm:f>
            <x14:dxf>
              <font>
                <b/>
                <i val="0"/>
                <color theme="0" tint="-0.499984740745262"/>
              </font>
              <fill>
                <patternFill>
                  <bgColor theme="0" tint="-4.9989318521683403E-2"/>
                </patternFill>
              </fill>
            </x14:dxf>
          </x14:cfRule>
          <x14:cfRule type="containsText" priority="70"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71"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72" operator="containsText" id="{F5F0373A-93E7-41AB-B49D-1026D0BC279A}">
            <xm:f>NOT(ISERROR(SEARCH(Auxiliar!$B$16,I1473)))</xm:f>
            <xm:f>Auxiliar!$B$16</xm:f>
            <x14:dxf>
              <font>
                <b/>
                <i val="0"/>
                <color theme="7"/>
              </font>
              <fill>
                <patternFill>
                  <bgColor theme="7" tint="0.79998168889431442"/>
                </patternFill>
              </fill>
            </x14:dxf>
          </x14:cfRule>
          <xm:sqref>I1473:I1483 I1486:I1502</xm:sqref>
        </x14:conditionalFormatting>
        <x14:conditionalFormatting xmlns:xm="http://schemas.microsoft.com/office/excel/2006/main">
          <x14:cfRule type="containsText" priority="145" operator="containsText" id="{910038CB-D1D6-461C-9800-1C7E617EFE24}">
            <xm:f>NOT(ISERROR(SEARCH(Auxiliar!$B$21,I1511)))</xm:f>
            <xm:f>Auxiliar!$B$21</xm:f>
            <x14:dxf>
              <font>
                <b/>
                <i val="0"/>
                <color rgb="FFFFC000"/>
              </font>
              <fill>
                <patternFill>
                  <bgColor theme="9" tint="0.59996337778862885"/>
                </patternFill>
              </fill>
            </x14:dxf>
          </x14:cfRule>
          <x14:cfRule type="cellIs" priority="146" operator="equal" id="{25D71A38-C4F5-4732-B7AB-6520ECA4FB07}">
            <xm:f>Auxiliar!$B$24</xm:f>
            <x14:dxf>
              <font>
                <b/>
                <i val="0"/>
                <color theme="1"/>
              </font>
              <fill>
                <patternFill patternType="darkUp">
                  <bgColor theme="0"/>
                </patternFill>
              </fill>
            </x14:dxf>
          </x14:cfRule>
          <x14:cfRule type="cellIs" priority="147" operator="equal" id="{8B1AAD81-3C08-40FA-906E-0B19D6772275}">
            <xm:f>Auxiliar!$B$18</xm:f>
            <x14:dxf>
              <font>
                <b/>
                <i val="0"/>
                <color theme="0" tint="-0.499984740745262"/>
              </font>
              <fill>
                <patternFill>
                  <bgColor theme="0" tint="-4.9989318521683403E-2"/>
                </patternFill>
              </fill>
            </x14:dxf>
          </x14:cfRule>
          <x14:cfRule type="containsText" priority="148"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149"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150"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205"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781" operator="containsText" id="{22EE3303-E871-4FDC-B876-3AC40B4BB29E}">
            <xm:f>NOT(ISERROR(SEARCH(Auxiliar!$B$21,I9)))</xm:f>
            <xm:f>Auxiliar!$B$21</xm:f>
            <x14:dxf>
              <font>
                <b/>
                <i val="0"/>
                <color rgb="FFFFC000"/>
              </font>
              <fill>
                <patternFill>
                  <bgColor theme="9" tint="0.59996337778862885"/>
                </patternFill>
              </fill>
            </x14:dxf>
          </x14:cfRule>
          <x14:cfRule type="cellIs" priority="782" operator="equal" id="{A75C795E-F66D-4DC2-A9AF-15BDCED7DA25}">
            <xm:f>Auxiliar!$B$24</xm:f>
            <x14:dxf>
              <font>
                <b/>
                <i val="0"/>
                <color theme="1"/>
              </font>
              <fill>
                <patternFill patternType="darkUp">
                  <bgColor theme="0"/>
                </patternFill>
              </fill>
            </x14:dxf>
          </x14:cfRule>
          <x14:cfRule type="cellIs" priority="783" operator="equal" id="{68C7A1CE-73C7-4D91-A2AC-1493C4E277DD}">
            <xm:f>Auxiliar!$B$18</xm:f>
            <x14:dxf>
              <font>
                <b/>
                <i val="0"/>
                <color theme="0" tint="-0.499984740745262"/>
              </font>
              <fill>
                <patternFill>
                  <bgColor theme="0" tint="-4.9989318521683403E-2"/>
                </patternFill>
              </fill>
            </x14:dxf>
          </x14:cfRule>
          <x14:cfRule type="containsText" priority="78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8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86"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65" operator="containsText" id="{6928D489-0130-4A60-BE2B-1D9108B02454}">
            <xm:f>NOT(ISERROR(SEARCH(Auxiliar!$B$21,I196)))</xm:f>
            <xm:f>Auxiliar!$B$21</xm:f>
            <x14:dxf>
              <font>
                <b/>
                <i val="0"/>
                <color rgb="FFFFC000"/>
              </font>
              <fill>
                <patternFill>
                  <bgColor theme="9" tint="0.59996337778862885"/>
                </patternFill>
              </fill>
            </x14:dxf>
          </x14:cfRule>
          <x14:cfRule type="cellIs" priority="866" operator="equal" id="{E2F14AF0-878C-4184-86EE-1EC72D11FF82}">
            <xm:f>Auxiliar!$B$24</xm:f>
            <x14:dxf>
              <font>
                <b/>
                <i val="0"/>
                <color theme="1"/>
              </font>
              <fill>
                <patternFill patternType="darkUp">
                  <bgColor theme="0"/>
                </patternFill>
              </fill>
            </x14:dxf>
          </x14:cfRule>
          <x14:cfRule type="cellIs" priority="867" operator="equal" id="{662C2D77-73A6-422E-B043-D39190EAAFD3}">
            <xm:f>Auxiliar!$B$18</xm:f>
            <x14:dxf>
              <font>
                <b/>
                <i val="0"/>
                <color theme="0" tint="-0.499984740745262"/>
              </font>
              <fill>
                <patternFill>
                  <bgColor theme="0" tint="-4.9989318521683403E-2"/>
                </patternFill>
              </fill>
            </x14:dxf>
          </x14:cfRule>
          <x14:cfRule type="containsText" priority="868"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69"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70"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932" operator="equal" id="{461BEC2A-3AB6-4974-9160-0CC657CD83C0}">
            <xm:f>Auxiliar!$B$24</xm:f>
            <x14:dxf>
              <font>
                <b/>
                <i val="0"/>
                <color theme="1"/>
              </font>
              <fill>
                <patternFill patternType="darkUp">
                  <bgColor theme="0"/>
                </patternFill>
              </fill>
            </x14:dxf>
          </x14:cfRule>
          <x14:cfRule type="cellIs" priority="1399" operator="equal" id="{5CC18A3F-CC0C-4983-A19C-E91C49A3DB8A}">
            <xm:f>Auxiliar!$B$18</xm:f>
            <x14:dxf>
              <font>
                <b/>
                <i val="0"/>
                <color theme="0" tint="-0.499984740745262"/>
              </font>
              <fill>
                <patternFill>
                  <bgColor theme="0" tint="-4.9989318521683403E-2"/>
                </patternFill>
              </fill>
            </x14:dxf>
          </x14:cfRule>
          <x14:cfRule type="containsText" priority="1400"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401"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402"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I1290:J1304 I1333:J1333 I419:J662 I686:J691 I698:J706 J692:J697 J707:J712 I713:J801 I824:J1148 I1436:J1472 I1405:J1430 J1431:J1435</xm:sqref>
        </x14:conditionalFormatting>
        <x14:conditionalFormatting xmlns:xm="http://schemas.microsoft.com/office/excel/2006/main">
          <x14:cfRule type="cellIs" priority="152" operator="equal" id="{CCD751C7-B7A2-4F98-8B22-D6FDAB936BE9}">
            <xm:f>Auxiliar!$B$24</xm:f>
            <x14:dxf>
              <font>
                <b/>
                <i val="0"/>
                <color theme="1"/>
              </font>
              <fill>
                <patternFill patternType="darkUp">
                  <bgColor theme="0"/>
                </patternFill>
              </fill>
            </x14:dxf>
          </x14:cfRule>
          <x14:cfRule type="cellIs" priority="153" operator="equal" id="{4D1BE949-1D0D-486A-8EBA-CAC34A73CAEF}">
            <xm:f>Auxiliar!$B$18</xm:f>
            <x14:dxf>
              <font>
                <b/>
                <i val="0"/>
                <color theme="0" tint="-0.499984740745262"/>
              </font>
              <fill>
                <patternFill>
                  <bgColor theme="0" tint="-4.9989318521683403E-2"/>
                </patternFill>
              </fill>
            </x14:dxf>
          </x14:cfRule>
          <x14:cfRule type="containsText" priority="154"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155"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156"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151"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206" operator="equal" id="{76582525-4532-4825-BBF1-E67A9D75C9D5}">
            <xm:f>Auxiliar!$B$24</xm:f>
            <x14:dxf>
              <font>
                <b/>
                <i val="0"/>
                <color theme="1"/>
              </font>
              <fill>
                <patternFill patternType="darkUp">
                  <bgColor theme="0"/>
                </patternFill>
              </fill>
            </x14:dxf>
          </x14:cfRule>
          <x14:cfRule type="cellIs" priority="207" operator="equal" id="{93C49E19-F144-4F91-BF43-40521F41D17C}">
            <xm:f>Auxiliar!$B$18</xm:f>
            <x14:dxf>
              <font>
                <b/>
                <i val="0"/>
                <color theme="0" tint="-0.499984740745262"/>
              </font>
              <fill>
                <patternFill>
                  <bgColor theme="0" tint="-4.9989318521683403E-2"/>
                </patternFill>
              </fill>
            </x14:dxf>
          </x14:cfRule>
          <x14:cfRule type="containsText" priority="208"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209"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210"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757" operator="containsText" id="{B9BA2292-98F1-4845-8262-A781D9352444}">
            <xm:f>NOT(ISERROR(SEARCH(Auxiliar!$B$21,J193)))</xm:f>
            <xm:f>Auxiliar!$B$21</xm:f>
            <x14:dxf>
              <font>
                <b/>
                <i val="0"/>
                <color rgb="FFFFC000"/>
              </font>
              <fill>
                <patternFill>
                  <bgColor theme="9" tint="0.59996337778862885"/>
                </patternFill>
              </fill>
            </x14:dxf>
          </x14:cfRule>
          <x14:cfRule type="cellIs" priority="758" operator="equal" id="{D32B9961-C82B-426A-A975-2475FFC80C76}">
            <xm:f>Auxiliar!$B$24</xm:f>
            <x14:dxf>
              <font>
                <b/>
                <i val="0"/>
                <color theme="1"/>
              </font>
              <fill>
                <patternFill patternType="darkUp">
                  <bgColor theme="0"/>
                </patternFill>
              </fill>
            </x14:dxf>
          </x14:cfRule>
          <x14:cfRule type="cellIs" priority="759" operator="equal" id="{EE9F5D7D-A515-4B4F-859E-E804329C9CE0}">
            <xm:f>Auxiliar!$B$18</xm:f>
            <x14:dxf>
              <font>
                <b/>
                <i val="0"/>
                <color theme="0" tint="-0.499984740745262"/>
              </font>
              <fill>
                <patternFill>
                  <bgColor theme="0" tint="-4.9989318521683403E-2"/>
                </patternFill>
              </fill>
            </x14:dxf>
          </x14:cfRule>
          <x14:cfRule type="containsText" priority="760"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61"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62"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47" operator="containsText" id="{68B7879D-8888-41E7-95DE-17E280293E9E}">
            <xm:f>NOT(ISERROR(SEARCH(Auxiliar!$B$21,J393)))</xm:f>
            <xm:f>Auxiliar!$B$21</xm:f>
            <x14:dxf>
              <font>
                <b/>
                <i val="0"/>
                <color rgb="FFFFC000"/>
              </font>
              <fill>
                <patternFill>
                  <bgColor theme="9" tint="0.59996337778862885"/>
                </patternFill>
              </fill>
            </x14:dxf>
          </x14:cfRule>
          <x14:cfRule type="cellIs" priority="248" operator="equal" id="{E7918B5B-09E9-4D9E-8DEF-22B78ADEF4EC}">
            <xm:f>Auxiliar!$B$24</xm:f>
            <x14:dxf>
              <font>
                <b/>
                <i val="0"/>
                <color theme="1"/>
              </font>
              <fill>
                <patternFill patternType="darkUp">
                  <bgColor theme="0"/>
                </patternFill>
              </fill>
            </x14:dxf>
          </x14:cfRule>
          <x14:cfRule type="cellIs" priority="249" operator="equal" id="{C9734D25-1591-44F4-B84A-F9635F7E3A1E}">
            <xm:f>Auxiliar!$B$18</xm:f>
            <x14:dxf>
              <font>
                <b/>
                <i val="0"/>
                <color theme="0" tint="-0.499984740745262"/>
              </font>
              <fill>
                <patternFill>
                  <bgColor theme="0" tint="-4.9989318521683403E-2"/>
                </patternFill>
              </fill>
            </x14:dxf>
          </x14:cfRule>
          <x14:cfRule type="containsText" priority="250"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51"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52"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93" operator="containsText" id="{EE480963-A851-4287-A599-BA2BEAF698FD}">
            <xm:f>NOT(ISERROR(SEARCH(Auxiliar!$B$21,J802)))</xm:f>
            <xm:f>Auxiliar!$B$21</xm:f>
            <x14:dxf>
              <font>
                <b/>
                <i val="0"/>
                <color rgb="FFFFC000"/>
              </font>
              <fill>
                <patternFill>
                  <bgColor theme="9" tint="0.59996337778862885"/>
                </patternFill>
              </fill>
            </x14:dxf>
          </x14:cfRule>
          <x14:cfRule type="cellIs" priority="194" operator="equal" id="{E65463CC-CED3-418A-850B-2AEC62B95131}">
            <xm:f>Auxiliar!$B$24</xm:f>
            <x14:dxf>
              <font>
                <b/>
                <i val="0"/>
                <color theme="1"/>
              </font>
              <fill>
                <patternFill patternType="darkUp">
                  <bgColor theme="0"/>
                </patternFill>
              </fill>
            </x14:dxf>
          </x14:cfRule>
          <x14:cfRule type="cellIs" priority="195" operator="equal" id="{BFBBF7BF-D3FA-4006-A560-667BD910E543}">
            <xm:f>Auxiliar!$B$18</xm:f>
            <x14:dxf>
              <font>
                <b/>
                <i val="0"/>
                <color theme="0" tint="-0.499984740745262"/>
              </font>
              <fill>
                <patternFill>
                  <bgColor theme="0" tint="-4.9989318521683403E-2"/>
                </patternFill>
              </fill>
            </x14:dxf>
          </x14:cfRule>
          <x14:cfRule type="containsText" priority="196"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97"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98"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99" operator="containsText" id="{38F96929-C4AA-431E-B12A-0DCF4864D5CD}">
            <xm:f>NOT(ISERROR(SEARCH(Auxiliar!$B$21,J1532)))</xm:f>
            <xm:f>Auxiliar!$B$21</xm:f>
            <x14:dxf>
              <font>
                <b/>
                <i val="0"/>
                <color rgb="FFFFC000"/>
              </font>
              <fill>
                <patternFill>
                  <bgColor theme="9" tint="0.59996337778862885"/>
                </patternFill>
              </fill>
            </x14:dxf>
          </x14:cfRule>
          <x14:cfRule type="cellIs" priority="200" operator="equal" id="{A23AEDE7-80C2-459D-94A3-CF50BC8E067F}">
            <xm:f>Auxiliar!$B$24</xm:f>
            <x14:dxf>
              <font>
                <b/>
                <i val="0"/>
                <color theme="1"/>
              </font>
              <fill>
                <patternFill patternType="darkUp">
                  <bgColor theme="0"/>
                </patternFill>
              </fill>
            </x14:dxf>
          </x14:cfRule>
          <x14:cfRule type="cellIs" priority="201" operator="equal" id="{BD63F02A-7953-4EFD-A25E-5F5A4519C878}">
            <xm:f>Auxiliar!$B$18</xm:f>
            <x14:dxf>
              <font>
                <b/>
                <i val="0"/>
                <color theme="0" tint="-0.499984740745262"/>
              </font>
              <fill>
                <patternFill>
                  <bgColor theme="0" tint="-4.9989318521683403E-2"/>
                </patternFill>
              </fill>
            </x14:dxf>
          </x14:cfRule>
          <x14:cfRule type="containsText" priority="202"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203"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204"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9" operator="containsText" id="{77581729-4EE6-45A3-AE6D-5E19FA5E2B42}">
            <xm:f>NOT(ISERROR(SEARCH(Auxiliar!$B$21,I1431)))</xm:f>
            <xm:f>Auxiliar!$B$21</xm:f>
            <x14:dxf>
              <font>
                <b/>
                <i val="0"/>
                <color rgb="FFFFC000"/>
              </font>
              <fill>
                <patternFill>
                  <bgColor theme="9" tint="0.59996337778862885"/>
                </patternFill>
              </fill>
            </x14:dxf>
          </x14:cfRule>
          <x14:cfRule type="cellIs" priority="20" operator="equal" id="{7CE8A404-F56D-4CC1-AD1B-3B569C7239AB}">
            <xm:f>Auxiliar!$B$24</xm:f>
            <x14:dxf>
              <font>
                <b/>
                <i val="0"/>
                <color theme="1"/>
              </font>
              <fill>
                <patternFill patternType="darkUp">
                  <bgColor theme="0"/>
                </patternFill>
              </fill>
            </x14:dxf>
          </x14:cfRule>
          <x14:cfRule type="cellIs" priority="21" operator="equal" id="{53DE703A-A0B4-44E4-A43C-619B6B39D8BE}">
            <xm:f>Auxiliar!$B$18</xm:f>
            <x14:dxf>
              <font>
                <b/>
                <i val="0"/>
                <color theme="0" tint="-0.499984740745262"/>
              </font>
              <fill>
                <patternFill>
                  <bgColor theme="0" tint="-4.9989318521683403E-2"/>
                </patternFill>
              </fill>
            </x14:dxf>
          </x14:cfRule>
          <x14:cfRule type="containsText" priority="22" operator="containsText" id="{A729F50B-2D3F-447B-B1D8-8F4CAD35C5EE}">
            <xm:f>NOT(ISERROR(SEARCH(Auxiliar!$B$22,I1431)))</xm:f>
            <xm:f>Auxiliar!$B$22</xm:f>
            <x14:dxf>
              <font>
                <b/>
                <i val="0"/>
                <color rgb="FFC00000"/>
              </font>
              <fill>
                <patternFill>
                  <bgColor theme="4" tint="0.79998168889431442"/>
                </patternFill>
              </fill>
            </x14:dxf>
          </x14:cfRule>
          <x14:cfRule type="containsText" priority="23" operator="containsText" id="{BBE5BDFB-7388-49A8-AE70-C5EE6AF88931}">
            <xm:f>NOT(ISERROR(SEARCH(Auxiliar!$B$19,I1431)))</xm:f>
            <xm:f>Auxiliar!$B$19</xm:f>
            <x14:dxf>
              <font>
                <b/>
                <i val="0"/>
                <color theme="9" tint="-0.499984740745262"/>
              </font>
              <fill>
                <patternFill>
                  <bgColor theme="9" tint="0.79998168889431442"/>
                </patternFill>
              </fill>
            </x14:dxf>
          </x14:cfRule>
          <x14:cfRule type="containsText" priority="24" operator="containsText" id="{D0343BD4-FB92-4758-A48E-225188CA74AB}">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37" operator="containsText" id="{B2D23FBA-A51D-48EA-8F07-0EE4D8A4D4F5}">
            <xm:f>NOT(ISERROR(SEARCH(Auxiliar!$B$21,I692)))</xm:f>
            <xm:f>Auxiliar!$B$21</xm:f>
            <x14:dxf>
              <font>
                <b/>
                <i val="0"/>
                <color rgb="FFFFC000"/>
              </font>
              <fill>
                <patternFill>
                  <bgColor theme="9" tint="0.59996337778862885"/>
                </patternFill>
              </fill>
            </x14:dxf>
          </x14:cfRule>
          <x14:cfRule type="cellIs" priority="38" operator="equal" id="{142E032A-CC22-40A8-8963-A9419EFD1875}">
            <xm:f>Auxiliar!$B$24</xm:f>
            <x14:dxf>
              <font>
                <b/>
                <i val="0"/>
                <color theme="1"/>
              </font>
              <fill>
                <patternFill patternType="darkUp">
                  <bgColor theme="0"/>
                </patternFill>
              </fill>
            </x14:dxf>
          </x14:cfRule>
          <x14:cfRule type="cellIs" priority="39" operator="equal" id="{5E9F3038-1A0C-40B9-BA0C-6B6DB3E11D9A}">
            <xm:f>Auxiliar!$B$18</xm:f>
            <x14:dxf>
              <font>
                <b/>
                <i val="0"/>
                <color theme="0" tint="-0.499984740745262"/>
              </font>
              <fill>
                <patternFill>
                  <bgColor theme="0" tint="-4.9989318521683403E-2"/>
                </patternFill>
              </fill>
            </x14:dxf>
          </x14:cfRule>
          <x14:cfRule type="containsText" priority="40"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41"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42"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3" operator="containsText" id="{467E6DCD-B2BF-4E18-8034-F3514A283A82}">
            <xm:f>NOT(ISERROR(SEARCH(Auxiliar!$B$21,I1484)))</xm:f>
            <xm:f>Auxiliar!$B$21</xm:f>
            <x14:dxf>
              <font>
                <b/>
                <i val="0"/>
                <color rgb="FFFFC000"/>
              </font>
              <fill>
                <patternFill>
                  <bgColor theme="9" tint="0.59996337778862885"/>
                </patternFill>
              </fill>
            </x14:dxf>
          </x14:cfRule>
          <x14:cfRule type="cellIs" priority="14" operator="equal" id="{5BAE6283-FC73-4A20-9ACB-6FC78FD87AE5}">
            <xm:f>Auxiliar!$B$24</xm:f>
            <x14:dxf>
              <font>
                <b/>
                <i val="0"/>
                <color theme="1"/>
              </font>
              <fill>
                <patternFill patternType="darkUp">
                  <bgColor theme="0"/>
                </patternFill>
              </fill>
            </x14:dxf>
          </x14:cfRule>
          <x14:cfRule type="cellIs" priority="15" operator="equal" id="{F786D52B-8A76-4448-B668-4B7F3898B687}">
            <xm:f>Auxiliar!$B$18</xm:f>
            <x14:dxf>
              <font>
                <b/>
                <i val="0"/>
                <color theme="0" tint="-0.499984740745262"/>
              </font>
              <fill>
                <patternFill>
                  <bgColor theme="0" tint="-4.9989318521683403E-2"/>
                </patternFill>
              </fill>
            </x14:dxf>
          </x14:cfRule>
          <x14:cfRule type="containsText" priority="16"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7"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8"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7" operator="containsText" id="{6ACA82F4-8AAC-4CBC-A404-6528E4325C90}">
            <xm:f>NOT(ISERROR(SEARCH(Auxiliar!$B$21,I1287)))</xm:f>
            <xm:f>Auxiliar!$B$21</xm:f>
            <x14:dxf>
              <font>
                <b/>
                <i val="0"/>
                <color rgb="FFFFC000"/>
              </font>
              <fill>
                <patternFill>
                  <bgColor theme="9" tint="0.59996337778862885"/>
                </patternFill>
              </fill>
            </x14:dxf>
          </x14:cfRule>
          <x14:cfRule type="cellIs" priority="8" operator="equal" id="{90AD1FEA-B6A4-4478-B0D5-7E0394916CF4}">
            <xm:f>Auxiliar!$B$24</xm:f>
            <x14:dxf>
              <font>
                <b/>
                <i val="0"/>
                <color theme="1"/>
              </font>
              <fill>
                <patternFill patternType="darkUp">
                  <bgColor theme="0"/>
                </patternFill>
              </fill>
            </x14:dxf>
          </x14:cfRule>
          <x14:cfRule type="cellIs" priority="9" operator="equal" id="{D60CC847-21DD-43D1-81BA-C1F154F6CCF8}">
            <xm:f>Auxiliar!$B$18</xm:f>
            <x14:dxf>
              <font>
                <b/>
                <i val="0"/>
                <color theme="0" tint="-0.499984740745262"/>
              </font>
              <fill>
                <patternFill>
                  <bgColor theme="0" tint="-4.9989318521683403E-2"/>
                </patternFill>
              </fill>
            </x14:dxf>
          </x14:cfRule>
          <x14:cfRule type="containsText" priority="10" operator="containsText" id="{8D50E2B7-4B98-4112-BD7A-3797B26DAAD1}">
            <xm:f>NOT(ISERROR(SEARCH(Auxiliar!$B$22,I1287)))</xm:f>
            <xm:f>Auxiliar!$B$22</xm:f>
            <x14:dxf>
              <font>
                <b/>
                <i val="0"/>
                <color rgb="FFC00000"/>
              </font>
              <fill>
                <patternFill>
                  <bgColor theme="4" tint="0.79998168889431442"/>
                </patternFill>
              </fill>
            </x14:dxf>
          </x14:cfRule>
          <x14:cfRule type="containsText" priority="11" operator="containsText" id="{FDEC89E8-B4E6-45FA-AD63-EE4B9CCBE17F}">
            <xm:f>NOT(ISERROR(SEARCH(Auxiliar!$B$19,I1287)))</xm:f>
            <xm:f>Auxiliar!$B$19</xm:f>
            <x14:dxf>
              <font>
                <b/>
                <i val="0"/>
                <color theme="9" tint="-0.499984740745262"/>
              </font>
              <fill>
                <patternFill>
                  <bgColor theme="9" tint="0.79998168889431442"/>
                </patternFill>
              </fill>
            </x14:dxf>
          </x14:cfRule>
          <x14:cfRule type="containsText" priority="12" operator="containsText" id="{8DAC0F35-FEF8-473D-A5C4-4FC7D1780067}">
            <xm:f>NOT(ISERROR(SEARCH(Auxiliar!$B$16,I1287)))</xm:f>
            <xm:f>Auxiliar!$B$16</xm:f>
            <x14:dxf>
              <font>
                <b/>
                <i val="0"/>
                <color theme="7"/>
              </font>
              <fill>
                <patternFill>
                  <bgColor theme="7" tint="0.79998168889431442"/>
                </patternFill>
              </fill>
            </x14:dxf>
          </x14:cfRule>
          <xm:sqref>I1287:I1289</xm:sqref>
        </x14:conditionalFormatting>
        <x14:conditionalFormatting xmlns:xm="http://schemas.microsoft.com/office/excel/2006/main">
          <x14:cfRule type="containsText" priority="1" operator="containsText" id="{4B6347D6-0BAE-4FEF-ACDD-F90BB791EFBB}">
            <xm:f>NOT(ISERROR(SEARCH(Auxiliar!$B$21,I1432)))</xm:f>
            <xm:f>Auxiliar!$B$21</xm:f>
            <x14:dxf>
              <font>
                <b/>
                <i val="0"/>
                <color rgb="FFFFC000"/>
              </font>
              <fill>
                <patternFill>
                  <bgColor theme="9" tint="0.59996337778862885"/>
                </patternFill>
              </fill>
            </x14:dxf>
          </x14:cfRule>
          <x14:cfRule type="cellIs" priority="2" operator="equal" id="{A4CA70F8-8D7F-429E-A1BC-DDACDF720DEF}">
            <xm:f>Auxiliar!$B$24</xm:f>
            <x14:dxf>
              <font>
                <b/>
                <i val="0"/>
                <color theme="1"/>
              </font>
              <fill>
                <patternFill patternType="darkUp">
                  <bgColor theme="0"/>
                </patternFill>
              </fill>
            </x14:dxf>
          </x14:cfRule>
          <x14:cfRule type="cellIs" priority="3" operator="equal" id="{C6054DD6-7C89-4F3E-8643-802F402AF048}">
            <xm:f>Auxiliar!$B$18</xm:f>
            <x14:dxf>
              <font>
                <b/>
                <i val="0"/>
                <color theme="0" tint="-0.499984740745262"/>
              </font>
              <fill>
                <patternFill>
                  <bgColor theme="0" tint="-4.9989318521683403E-2"/>
                </patternFill>
              </fill>
            </x14:dxf>
          </x14:cfRule>
          <x14:cfRule type="containsText" priority="4" operator="containsText" id="{57E2DD4A-55FC-43B7-B5E3-D2DC74130D7F}">
            <xm:f>NOT(ISERROR(SEARCH(Auxiliar!$B$22,I1432)))</xm:f>
            <xm:f>Auxiliar!$B$22</xm:f>
            <x14:dxf>
              <font>
                <b/>
                <i val="0"/>
                <color rgb="FFC00000"/>
              </font>
              <fill>
                <patternFill>
                  <bgColor theme="4" tint="0.79998168889431442"/>
                </patternFill>
              </fill>
            </x14:dxf>
          </x14:cfRule>
          <x14:cfRule type="containsText" priority="5" operator="containsText" id="{C7F46EE6-FA93-4283-B8BB-F16ADAD750D8}">
            <xm:f>NOT(ISERROR(SEARCH(Auxiliar!$B$19,I1432)))</xm:f>
            <xm:f>Auxiliar!$B$19</xm:f>
            <x14:dxf>
              <font>
                <b/>
                <i val="0"/>
                <color theme="9" tint="-0.499984740745262"/>
              </font>
              <fill>
                <patternFill>
                  <bgColor theme="9" tint="0.79998168889431442"/>
                </patternFill>
              </fill>
            </x14:dxf>
          </x14:cfRule>
          <x14:cfRule type="containsText" priority="6" operator="containsText" id="{3A3AC1CD-0A6B-450A-A26B-18BA493105E6}">
            <xm:f>NOT(ISERROR(SEARCH(Auxiliar!$B$16,I1432)))</xm:f>
            <xm:f>Auxiliar!$B$16</xm:f>
            <x14:dxf>
              <font>
                <b/>
                <i val="0"/>
                <color theme="7"/>
              </font>
              <fill>
                <patternFill>
                  <bgColor theme="7" tint="0.79998168889431442"/>
                </patternFill>
              </fill>
            </x14:dxf>
          </x14:cfRule>
          <xm:sqref>I1432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8.83203125" customWidth="1"/>
    <col min="3" max="3" width="19.08203125" customWidth="1"/>
    <col min="4" max="4" width="11.4140625" customWidth="1"/>
    <col min="5" max="5" width="11.9140625" customWidth="1"/>
    <col min="6" max="6" width="13.9140625" customWidth="1"/>
    <col min="7" max="7" width="19.58203125" customWidth="1"/>
    <col min="8" max="8" width="18.83203125" customWidth="1"/>
    <col min="9" max="9" width="10.83203125" customWidth="1"/>
    <col min="10" max="10" width="11.66406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1931</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2320</v>
      </c>
      <c r="H10" t="s">
        <v>2319</v>
      </c>
      <c r="I10" t="s">
        <v>1144</v>
      </c>
    </row>
    <row r="11" spans="2:9">
      <c r="B11" t="s">
        <v>1146</v>
      </c>
      <c r="C11" s="482">
        <v>32</v>
      </c>
      <c r="D11" s="482">
        <v>531</v>
      </c>
      <c r="E11" s="482">
        <v>51</v>
      </c>
      <c r="F11" s="482">
        <v>1</v>
      </c>
      <c r="G11" s="482">
        <v>98</v>
      </c>
      <c r="H11" s="482">
        <v>2</v>
      </c>
      <c r="I11" s="482">
        <v>715</v>
      </c>
    </row>
    <row r="18" spans="2:3">
      <c r="B18" s="50"/>
    </row>
    <row r="20" spans="2:3">
      <c r="B20" s="49" t="s">
        <v>8</v>
      </c>
      <c r="C20" t="s">
        <v>26</v>
      </c>
    </row>
    <row r="21" spans="2:3">
      <c r="B21" s="49" t="s">
        <v>10</v>
      </c>
      <c r="C21" t="s">
        <v>40</v>
      </c>
    </row>
    <row r="23" spans="2:3">
      <c r="B23" s="49" t="s">
        <v>1148</v>
      </c>
      <c r="C23" t="s">
        <v>1146</v>
      </c>
    </row>
    <row r="24" spans="2:3">
      <c r="B24" s="50" t="s">
        <v>611</v>
      </c>
      <c r="C24" s="482">
        <v>32</v>
      </c>
    </row>
    <row r="25" spans="2:3">
      <c r="B25" s="50" t="s">
        <v>612</v>
      </c>
      <c r="C25" s="482">
        <v>531</v>
      </c>
    </row>
    <row r="26" spans="2:3">
      <c r="B26" s="50" t="s">
        <v>1840</v>
      </c>
      <c r="C26" s="482">
        <v>51</v>
      </c>
    </row>
    <row r="27" spans="2:3">
      <c r="B27" s="50" t="s">
        <v>614</v>
      </c>
      <c r="C27" s="482">
        <v>1</v>
      </c>
    </row>
    <row r="28" spans="2:3">
      <c r="B28" s="50" t="s">
        <v>2320</v>
      </c>
      <c r="C28" s="482">
        <v>98</v>
      </c>
    </row>
    <row r="29" spans="2:3">
      <c r="B29" s="50" t="s">
        <v>2319</v>
      </c>
      <c r="C29" s="482">
        <v>2</v>
      </c>
    </row>
    <row r="30" spans="2:3">
      <c r="B30" s="50" t="s">
        <v>1144</v>
      </c>
      <c r="C30" s="482">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7">
      <c r="B49" s="49" t="s">
        <v>1146</v>
      </c>
      <c r="C49" s="49" t="s">
        <v>1147</v>
      </c>
    </row>
    <row r="50" spans="2:7">
      <c r="B50" s="49" t="s">
        <v>1148</v>
      </c>
      <c r="C50" t="s">
        <v>611</v>
      </c>
      <c r="D50" t="s">
        <v>612</v>
      </c>
      <c r="E50" t="s">
        <v>2319</v>
      </c>
      <c r="F50" t="s">
        <v>2324</v>
      </c>
      <c r="G50" t="s">
        <v>1144</v>
      </c>
    </row>
    <row r="51" spans="2:7">
      <c r="B51" s="50" t="s">
        <v>74</v>
      </c>
      <c r="C51" s="482">
        <v>3</v>
      </c>
      <c r="D51" s="482">
        <v>17</v>
      </c>
      <c r="E51" s="482"/>
      <c r="F51" s="482"/>
      <c r="G51" s="482">
        <v>20</v>
      </c>
    </row>
    <row r="52" spans="2:7">
      <c r="B52" s="50" t="s">
        <v>123</v>
      </c>
      <c r="C52" s="482"/>
      <c r="D52" s="482">
        <v>72</v>
      </c>
      <c r="E52" s="482">
        <v>1</v>
      </c>
      <c r="F52" s="482">
        <v>3</v>
      </c>
      <c r="G52" s="482">
        <v>76</v>
      </c>
    </row>
    <row r="53" spans="2:7">
      <c r="B53" s="50" t="s">
        <v>94</v>
      </c>
      <c r="C53" s="482">
        <v>2</v>
      </c>
      <c r="D53" s="482">
        <v>31</v>
      </c>
      <c r="E53" s="482"/>
      <c r="F53" s="482"/>
      <c r="G53" s="482">
        <v>33</v>
      </c>
    </row>
    <row r="54" spans="2:7">
      <c r="B54" s="50" t="s">
        <v>88</v>
      </c>
      <c r="C54" s="482">
        <v>1</v>
      </c>
      <c r="D54" s="482">
        <v>14</v>
      </c>
      <c r="E54" s="482"/>
      <c r="F54" s="482"/>
      <c r="G54" s="482">
        <v>15</v>
      </c>
    </row>
    <row r="55" spans="2:7">
      <c r="B55" s="50" t="s">
        <v>55</v>
      </c>
      <c r="C55" s="482">
        <v>4</v>
      </c>
      <c r="D55" s="482">
        <v>14</v>
      </c>
      <c r="E55" s="482"/>
      <c r="F55" s="482"/>
      <c r="G55" s="482">
        <v>18</v>
      </c>
    </row>
    <row r="56" spans="2:7">
      <c r="B56" s="50" t="s">
        <v>37</v>
      </c>
      <c r="C56" s="482">
        <v>2</v>
      </c>
      <c r="D56" s="482">
        <v>44</v>
      </c>
      <c r="E56" s="482"/>
      <c r="F56" s="482"/>
      <c r="G56" s="482">
        <v>46</v>
      </c>
    </row>
    <row r="57" spans="2:7">
      <c r="B57" s="50" t="s">
        <v>1144</v>
      </c>
      <c r="C57" s="482">
        <v>12</v>
      </c>
      <c r="D57" s="482">
        <v>192</v>
      </c>
      <c r="E57" s="482">
        <v>1</v>
      </c>
      <c r="F57" s="482">
        <v>3</v>
      </c>
      <c r="G57" s="482">
        <v>208</v>
      </c>
    </row>
    <row r="62" spans="2:7">
      <c r="B62" s="49" t="s">
        <v>8</v>
      </c>
      <c r="C62" t="s" vm="1">
        <v>26</v>
      </c>
    </row>
    <row r="63" spans="2:7">
      <c r="B63" s="49" t="s">
        <v>9</v>
      </c>
      <c r="C63" t="s" vm="2">
        <v>1145</v>
      </c>
    </row>
    <row r="64" spans="2:7">
      <c r="B64" s="49" t="s">
        <v>10</v>
      </c>
      <c r="C64" t="s" vm="3">
        <v>40</v>
      </c>
    </row>
    <row r="66" spans="2:3">
      <c r="B66" s="49" t="s">
        <v>1148</v>
      </c>
      <c r="C66" t="s">
        <v>1146</v>
      </c>
    </row>
    <row r="67" spans="2:3">
      <c r="B67" s="50" t="s">
        <v>611</v>
      </c>
      <c r="C67" s="482">
        <v>12</v>
      </c>
    </row>
    <row r="68" spans="2:3">
      <c r="B68" s="50" t="s">
        <v>612</v>
      </c>
      <c r="C68" s="482">
        <v>192</v>
      </c>
    </row>
    <row r="69" spans="2:3">
      <c r="B69" s="50" t="s">
        <v>2324</v>
      </c>
      <c r="C69" s="482">
        <v>3</v>
      </c>
    </row>
    <row r="70" spans="2:3">
      <c r="B70" s="50" t="s">
        <v>2319</v>
      </c>
      <c r="C70" s="482">
        <v>1</v>
      </c>
    </row>
    <row r="71" spans="2:3">
      <c r="B71" s="50" t="s">
        <v>1144</v>
      </c>
      <c r="C71" s="482">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2324</v>
      </c>
      <c r="G88" t="s">
        <v>1144</v>
      </c>
    </row>
    <row r="89" spans="2:16">
      <c r="B89" s="50" t="s">
        <v>2097</v>
      </c>
      <c r="C89" s="482">
        <v>3</v>
      </c>
      <c r="D89" s="482"/>
      <c r="E89" s="482"/>
      <c r="F89" s="482">
        <v>45</v>
      </c>
      <c r="G89" s="482">
        <v>48</v>
      </c>
    </row>
    <row r="90" spans="2:16">
      <c r="B90" s="50" t="s">
        <v>2080</v>
      </c>
      <c r="C90" s="482">
        <v>2</v>
      </c>
      <c r="D90" s="482"/>
      <c r="E90" s="482"/>
      <c r="F90" s="482">
        <v>15</v>
      </c>
      <c r="G90" s="482">
        <v>17</v>
      </c>
    </row>
    <row r="91" spans="2:16">
      <c r="B91" s="50" t="s">
        <v>331</v>
      </c>
      <c r="C91" s="482"/>
      <c r="D91" s="482">
        <v>15</v>
      </c>
      <c r="E91" s="482"/>
      <c r="F91" s="482"/>
      <c r="G91" s="482">
        <v>15</v>
      </c>
    </row>
    <row r="92" spans="2:16">
      <c r="B92" s="50" t="s">
        <v>325</v>
      </c>
      <c r="C92" s="482"/>
      <c r="D92" s="482">
        <v>53</v>
      </c>
      <c r="E92" s="482">
        <v>1</v>
      </c>
      <c r="F92" s="482"/>
      <c r="G92" s="482">
        <v>54</v>
      </c>
    </row>
    <row r="93" spans="2:16">
      <c r="B93" s="50" t="s">
        <v>311</v>
      </c>
      <c r="C93" s="482"/>
      <c r="D93" s="482">
        <v>18</v>
      </c>
      <c r="E93" s="482"/>
      <c r="F93" s="482"/>
      <c r="G93" s="482">
        <v>18</v>
      </c>
    </row>
    <row r="94" spans="2:16">
      <c r="B94" s="50" t="s">
        <v>2155</v>
      </c>
      <c r="C94" s="482"/>
      <c r="D94" s="482">
        <v>5</v>
      </c>
      <c r="E94" s="482"/>
      <c r="F94" s="482"/>
      <c r="G94" s="482">
        <v>5</v>
      </c>
    </row>
    <row r="95" spans="2:16">
      <c r="B95" s="50" t="s">
        <v>216</v>
      </c>
      <c r="C95" s="482"/>
      <c r="D95" s="482">
        <v>6</v>
      </c>
      <c r="E95" s="482"/>
      <c r="F95" s="482"/>
      <c r="G95" s="482">
        <v>6</v>
      </c>
    </row>
    <row r="96" spans="2:16">
      <c r="B96" s="50" t="s">
        <v>2061</v>
      </c>
      <c r="C96" s="482"/>
      <c r="D96" s="482">
        <v>9</v>
      </c>
      <c r="E96" s="482"/>
      <c r="F96" s="482"/>
      <c r="G96" s="482">
        <v>9</v>
      </c>
    </row>
    <row r="97" spans="2:7">
      <c r="B97" s="50" t="s">
        <v>215</v>
      </c>
      <c r="C97" s="482"/>
      <c r="D97" s="482">
        <v>41</v>
      </c>
      <c r="E97" s="482"/>
      <c r="F97" s="482"/>
      <c r="G97" s="482">
        <v>41</v>
      </c>
    </row>
    <row r="98" spans="2:7">
      <c r="B98" s="50" t="s">
        <v>213</v>
      </c>
      <c r="C98" s="482">
        <v>3</v>
      </c>
      <c r="D98" s="482">
        <v>6</v>
      </c>
      <c r="E98" s="482"/>
      <c r="F98" s="482"/>
      <c r="G98" s="482">
        <v>9</v>
      </c>
    </row>
    <row r="99" spans="2:7">
      <c r="B99" s="50" t="s">
        <v>212</v>
      </c>
      <c r="C99" s="482"/>
      <c r="D99" s="482">
        <v>17</v>
      </c>
      <c r="E99" s="482"/>
      <c r="F99" s="482"/>
      <c r="G99" s="482">
        <v>17</v>
      </c>
    </row>
    <row r="100" spans="2:7">
      <c r="B100" s="50" t="s">
        <v>217</v>
      </c>
      <c r="C100" s="482"/>
      <c r="D100" s="482">
        <v>17</v>
      </c>
      <c r="E100" s="482"/>
      <c r="F100" s="482"/>
      <c r="G100" s="482">
        <v>17</v>
      </c>
    </row>
    <row r="101" spans="2:7">
      <c r="B101" s="50" t="s">
        <v>218</v>
      </c>
      <c r="C101" s="482">
        <v>7</v>
      </c>
      <c r="D101" s="482">
        <v>14</v>
      </c>
      <c r="E101" s="482"/>
      <c r="F101" s="482"/>
      <c r="G101" s="482">
        <v>21</v>
      </c>
    </row>
    <row r="102" spans="2:7">
      <c r="B102" s="50" t="s">
        <v>219</v>
      </c>
      <c r="C102" s="482">
        <v>1</v>
      </c>
      <c r="D102" s="482">
        <v>17</v>
      </c>
      <c r="E102" s="482"/>
      <c r="F102" s="482"/>
      <c r="G102" s="482">
        <v>18</v>
      </c>
    </row>
    <row r="103" spans="2:7">
      <c r="B103" s="50" t="s">
        <v>214</v>
      </c>
      <c r="C103" s="482"/>
      <c r="D103" s="482">
        <v>7</v>
      </c>
      <c r="E103" s="482"/>
      <c r="F103" s="482"/>
      <c r="G103" s="482">
        <v>7</v>
      </c>
    </row>
    <row r="104" spans="2:7">
      <c r="B104" s="50" t="s">
        <v>1144</v>
      </c>
      <c r="C104" s="482">
        <v>16</v>
      </c>
      <c r="D104" s="482">
        <v>225</v>
      </c>
      <c r="E104" s="482">
        <v>1</v>
      </c>
      <c r="F104" s="482">
        <v>60</v>
      </c>
      <c r="G104" s="482">
        <v>302</v>
      </c>
    </row>
    <row r="107" spans="2:7">
      <c r="B107" s="49" t="s">
        <v>8</v>
      </c>
      <c r="C107" t="s" vm="6">
        <v>2371</v>
      </c>
    </row>
    <row r="108" spans="2:7">
      <c r="B108" s="49" t="s">
        <v>9</v>
      </c>
      <c r="C108" t="s" vm="4">
        <v>1145</v>
      </c>
    </row>
    <row r="109" spans="2:7">
      <c r="B109" s="49" t="s">
        <v>10</v>
      </c>
      <c r="C109" t="s" vm="3">
        <v>40</v>
      </c>
    </row>
    <row r="111" spans="2:7">
      <c r="B111" s="49" t="s">
        <v>1148</v>
      </c>
      <c r="C111" t="s">
        <v>1146</v>
      </c>
    </row>
    <row r="112" spans="2:7">
      <c r="B112" s="50" t="s">
        <v>611</v>
      </c>
      <c r="C112" s="482">
        <v>16</v>
      </c>
    </row>
    <row r="113" spans="2:16">
      <c r="B113" s="50" t="s">
        <v>612</v>
      </c>
      <c r="C113" s="482">
        <v>225</v>
      </c>
    </row>
    <row r="114" spans="2:16">
      <c r="B114" s="50" t="s">
        <v>1840</v>
      </c>
      <c r="C114" s="482">
        <v>1</v>
      </c>
    </row>
    <row r="115" spans="2:16">
      <c r="B115" s="50" t="s">
        <v>2324</v>
      </c>
      <c r="C115" s="482">
        <v>60</v>
      </c>
    </row>
    <row r="116" spans="2:16">
      <c r="B116" s="50" t="s">
        <v>1144</v>
      </c>
      <c r="C116" s="482">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9">
      <c r="B129" s="49" t="s">
        <v>8</v>
      </c>
      <c r="C129" t="s" vm="1">
        <v>26</v>
      </c>
    </row>
    <row r="130" spans="2:9">
      <c r="B130" s="49" t="s">
        <v>9</v>
      </c>
      <c r="C130" t="s" vm="5">
        <v>26</v>
      </c>
    </row>
    <row r="131" spans="2:9">
      <c r="B131" s="49" t="s">
        <v>10</v>
      </c>
      <c r="C131" t="s" vm="3">
        <v>40</v>
      </c>
    </row>
    <row r="133" spans="2:9">
      <c r="B133" s="49" t="s">
        <v>1146</v>
      </c>
      <c r="C133" s="49" t="s">
        <v>1147</v>
      </c>
    </row>
    <row r="134" spans="2:9">
      <c r="B134" s="49" t="s">
        <v>1148</v>
      </c>
      <c r="C134" t="s">
        <v>611</v>
      </c>
      <c r="D134" t="s">
        <v>612</v>
      </c>
      <c r="E134" t="s">
        <v>1840</v>
      </c>
      <c r="F134" t="s">
        <v>2319</v>
      </c>
      <c r="G134" t="s">
        <v>614</v>
      </c>
      <c r="H134" t="s">
        <v>2324</v>
      </c>
      <c r="I134" t="s">
        <v>1144</v>
      </c>
    </row>
    <row r="135" spans="2:9">
      <c r="B135" s="50" t="s">
        <v>379</v>
      </c>
      <c r="C135" s="482"/>
      <c r="D135" s="482">
        <v>22</v>
      </c>
      <c r="E135" s="482">
        <v>12</v>
      </c>
      <c r="F135" s="482"/>
      <c r="G135" s="482">
        <v>1</v>
      </c>
      <c r="H135" s="482">
        <v>10</v>
      </c>
      <c r="I135" s="482">
        <v>45</v>
      </c>
    </row>
    <row r="136" spans="2:9">
      <c r="B136" s="50" t="s">
        <v>335</v>
      </c>
      <c r="C136" s="482"/>
      <c r="D136" s="482">
        <v>39</v>
      </c>
      <c r="E136" s="482">
        <v>21</v>
      </c>
      <c r="F136" s="482"/>
      <c r="G136" s="482"/>
      <c r="H136" s="482">
        <v>7</v>
      </c>
      <c r="I136" s="482">
        <v>67</v>
      </c>
    </row>
    <row r="137" spans="2:9">
      <c r="B137" s="50" t="s">
        <v>368</v>
      </c>
      <c r="C137" s="482">
        <v>4</v>
      </c>
      <c r="D137" s="482">
        <v>18</v>
      </c>
      <c r="E137" s="482">
        <v>11</v>
      </c>
      <c r="F137" s="482"/>
      <c r="G137" s="482"/>
      <c r="H137" s="482">
        <v>14</v>
      </c>
      <c r="I137" s="482">
        <v>47</v>
      </c>
    </row>
    <row r="138" spans="2:9">
      <c r="B138" s="50" t="s">
        <v>439</v>
      </c>
      <c r="C138" s="482"/>
      <c r="D138" s="482">
        <v>5</v>
      </c>
      <c r="E138" s="482"/>
      <c r="F138" s="482"/>
      <c r="G138" s="482"/>
      <c r="H138" s="482"/>
      <c r="I138" s="482">
        <v>5</v>
      </c>
    </row>
    <row r="139" spans="2:9">
      <c r="B139" s="50" t="s">
        <v>441</v>
      </c>
      <c r="C139" s="482"/>
      <c r="D139" s="482">
        <v>4</v>
      </c>
      <c r="E139" s="482">
        <v>1</v>
      </c>
      <c r="F139" s="482"/>
      <c r="G139" s="482"/>
      <c r="H139" s="482">
        <v>1</v>
      </c>
      <c r="I139" s="482">
        <v>6</v>
      </c>
    </row>
    <row r="140" spans="2:9">
      <c r="B140" s="50" t="s">
        <v>1860</v>
      </c>
      <c r="C140" s="482"/>
      <c r="D140" s="482">
        <v>2</v>
      </c>
      <c r="E140" s="482">
        <v>5</v>
      </c>
      <c r="F140" s="482">
        <v>1</v>
      </c>
      <c r="G140" s="482"/>
      <c r="H140" s="482">
        <v>3</v>
      </c>
      <c r="I140" s="482">
        <v>11</v>
      </c>
    </row>
    <row r="141" spans="2:9">
      <c r="B141" s="50" t="s">
        <v>392</v>
      </c>
      <c r="C141" s="482"/>
      <c r="D141" s="482">
        <v>9</v>
      </c>
      <c r="E141" s="482"/>
      <c r="F141" s="482"/>
      <c r="G141" s="482"/>
      <c r="H141" s="482"/>
      <c r="I141" s="482">
        <v>9</v>
      </c>
    </row>
    <row r="142" spans="2:9">
      <c r="B142" s="50" t="s">
        <v>1861</v>
      </c>
      <c r="C142" s="482"/>
      <c r="D142" s="482">
        <v>15</v>
      </c>
      <c r="E142" s="482"/>
      <c r="F142" s="482"/>
      <c r="G142" s="482"/>
      <c r="H142" s="482"/>
      <c r="I142" s="482">
        <v>15</v>
      </c>
    </row>
    <row r="143" spans="2:9">
      <c r="B143" s="50" t="s">
        <v>1144</v>
      </c>
      <c r="C143" s="482">
        <v>4</v>
      </c>
      <c r="D143" s="482">
        <v>114</v>
      </c>
      <c r="E143" s="482">
        <v>50</v>
      </c>
      <c r="F143" s="482">
        <v>1</v>
      </c>
      <c r="G143" s="482">
        <v>1</v>
      </c>
      <c r="H143" s="482">
        <v>35</v>
      </c>
      <c r="I143" s="482">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82">
        <v>114</v>
      </c>
    </row>
    <row r="156" spans="2:3">
      <c r="B156" s="50" t="s">
        <v>611</v>
      </c>
      <c r="C156" s="482">
        <v>4</v>
      </c>
    </row>
    <row r="157" spans="2:3">
      <c r="B157" s="50" t="s">
        <v>614</v>
      </c>
      <c r="C157" s="482">
        <v>1</v>
      </c>
    </row>
    <row r="158" spans="2:3">
      <c r="B158" s="50" t="s">
        <v>2324</v>
      </c>
      <c r="C158" s="482">
        <v>35</v>
      </c>
    </row>
    <row r="159" spans="2:3">
      <c r="B159" s="50" t="s">
        <v>1840</v>
      </c>
      <c r="C159" s="482">
        <v>50</v>
      </c>
    </row>
    <row r="160" spans="2:3">
      <c r="B160" s="50" t="s">
        <v>2319</v>
      </c>
      <c r="C160" s="482">
        <v>1</v>
      </c>
    </row>
    <row r="161" spans="2:3">
      <c r="B161" s="50" t="s">
        <v>1144</v>
      </c>
      <c r="C161" s="482">
        <v>205</v>
      </c>
    </row>
    <row r="169" spans="2:3">
      <c r="B169" s="49" t="s">
        <v>9</v>
      </c>
      <c r="C169" t="s">
        <v>26</v>
      </c>
    </row>
    <row r="170" spans="2:3">
      <c r="B170" s="49" t="s">
        <v>1935</v>
      </c>
      <c r="C170" t="s">
        <v>2322</v>
      </c>
    </row>
    <row r="172" spans="2:3">
      <c r="B172" s="49" t="s">
        <v>1148</v>
      </c>
      <c r="C172" t="s">
        <v>2372</v>
      </c>
    </row>
    <row r="173" spans="2:3">
      <c r="B173" s="50" t="s">
        <v>1840</v>
      </c>
      <c r="C173" s="482">
        <v>49</v>
      </c>
    </row>
    <row r="174" spans="2:3">
      <c r="B174" s="50" t="s">
        <v>614</v>
      </c>
      <c r="C174" s="482">
        <v>1</v>
      </c>
    </row>
    <row r="175" spans="2:3">
      <c r="B175" s="50" t="s">
        <v>2320</v>
      </c>
      <c r="C175" s="482">
        <v>21</v>
      </c>
    </row>
    <row r="176" spans="2:3">
      <c r="B176" s="50" t="s">
        <v>1144</v>
      </c>
      <c r="C176" s="482">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82">
        <v>4</v>
      </c>
    </row>
    <row r="206" spans="2:3">
      <c r="B206" s="50" t="s">
        <v>612</v>
      </c>
      <c r="C206" s="482">
        <v>114</v>
      </c>
    </row>
    <row r="207" spans="2:3">
      <c r="B207" s="50" t="s">
        <v>1840</v>
      </c>
      <c r="C207" s="482">
        <v>1</v>
      </c>
    </row>
    <row r="208" spans="2:3">
      <c r="B208" s="50" t="s">
        <v>2319</v>
      </c>
      <c r="C208" s="482">
        <v>1</v>
      </c>
    </row>
    <row r="209" spans="2:3">
      <c r="B209" s="50" t="s">
        <v>2320</v>
      </c>
      <c r="C209" s="482">
        <v>14</v>
      </c>
    </row>
    <row r="210" spans="2:3">
      <c r="B210" s="50" t="s">
        <v>1144</v>
      </c>
      <c r="C210" s="482">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16406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66406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82">
        <v>0</v>
      </c>
    </row>
    <row r="5" spans="1:2">
      <c r="A5" t="s">
        <v>2008</v>
      </c>
      <c r="B5" s="482">
        <v>1</v>
      </c>
    </row>
    <row r="6" spans="1:2">
      <c r="A6" t="s">
        <v>2009</v>
      </c>
      <c r="B6" s="482">
        <v>1</v>
      </c>
    </row>
    <row r="7" spans="1:2">
      <c r="A7" t="s">
        <v>2010</v>
      </c>
      <c r="B7" s="482">
        <v>1</v>
      </c>
    </row>
    <row r="8" spans="1:2">
      <c r="A8" t="s">
        <v>2011</v>
      </c>
      <c r="B8" s="482">
        <v>1</v>
      </c>
    </row>
    <row r="9" spans="1:2">
      <c r="A9" t="s">
        <v>2012</v>
      </c>
      <c r="B9" s="482">
        <v>1</v>
      </c>
    </row>
    <row r="10" spans="1:2">
      <c r="A10" t="s">
        <v>2013</v>
      </c>
      <c r="B10" s="482">
        <v>1</v>
      </c>
    </row>
    <row r="11" spans="1:2">
      <c r="A11" t="s">
        <v>2014</v>
      </c>
      <c r="B11" s="482">
        <v>1</v>
      </c>
    </row>
    <row r="12" spans="1:2">
      <c r="A12" t="s">
        <v>2015</v>
      </c>
      <c r="B12" s="482">
        <v>1</v>
      </c>
    </row>
    <row r="13" spans="1:2">
      <c r="A13" t="s">
        <v>2016</v>
      </c>
      <c r="B13" s="482">
        <v>1</v>
      </c>
    </row>
    <row r="14" spans="1:2">
      <c r="A14" t="s">
        <v>2017</v>
      </c>
      <c r="B14" s="482">
        <v>1</v>
      </c>
    </row>
    <row r="15" spans="1:2">
      <c r="A15" t="s">
        <v>2018</v>
      </c>
      <c r="B15" s="482">
        <v>1</v>
      </c>
    </row>
    <row r="16" spans="1:2">
      <c r="A16" t="s">
        <v>2019</v>
      </c>
      <c r="B16" s="482">
        <v>1</v>
      </c>
    </row>
    <row r="17" spans="1:2">
      <c r="A17" t="s">
        <v>2020</v>
      </c>
      <c r="B17" s="482">
        <v>1</v>
      </c>
    </row>
    <row r="18" spans="1:2">
      <c r="A18" t="s">
        <v>2021</v>
      </c>
      <c r="B18" s="482">
        <v>1</v>
      </c>
    </row>
    <row r="19" spans="1:2">
      <c r="A19" t="s">
        <v>2022</v>
      </c>
      <c r="B19" s="482">
        <v>1</v>
      </c>
    </row>
    <row r="20" spans="1:2">
      <c r="A20" t="s">
        <v>2023</v>
      </c>
      <c r="B20" s="482">
        <v>1</v>
      </c>
    </row>
    <row r="21" spans="1:2">
      <c r="A21" t="s">
        <v>2024</v>
      </c>
      <c r="B21" s="482">
        <v>1</v>
      </c>
    </row>
    <row r="22" spans="1:2">
      <c r="A22" t="s">
        <v>2381</v>
      </c>
      <c r="B22" s="482">
        <v>0</v>
      </c>
    </row>
    <row r="23" spans="1:2">
      <c r="A23" t="s">
        <v>2025</v>
      </c>
      <c r="B23" s="482">
        <v>1</v>
      </c>
    </row>
    <row r="24" spans="1:2">
      <c r="A24" t="s">
        <v>2026</v>
      </c>
      <c r="B24" s="482">
        <v>1</v>
      </c>
    </row>
    <row r="25" spans="1:2">
      <c r="A25" t="s">
        <v>2027</v>
      </c>
      <c r="B25" s="482">
        <v>1</v>
      </c>
    </row>
    <row r="26" spans="1:2">
      <c r="A26" t="s">
        <v>2028</v>
      </c>
      <c r="B26" s="482">
        <v>1</v>
      </c>
    </row>
    <row r="27" spans="1:2">
      <c r="A27" t="s">
        <v>2029</v>
      </c>
      <c r="B27" s="482">
        <v>1</v>
      </c>
    </row>
    <row r="28" spans="1:2">
      <c r="A28" t="s">
        <v>2030</v>
      </c>
      <c r="B28" s="482">
        <v>1</v>
      </c>
    </row>
    <row r="29" spans="1:2">
      <c r="A29" t="s">
        <v>2031</v>
      </c>
      <c r="B29" s="482">
        <v>1</v>
      </c>
    </row>
    <row r="30" spans="1:2">
      <c r="A30" t="s">
        <v>2032</v>
      </c>
      <c r="B30" s="482">
        <v>1</v>
      </c>
    </row>
    <row r="31" spans="1:2">
      <c r="A31" t="s">
        <v>654</v>
      </c>
      <c r="B31" s="482">
        <v>1</v>
      </c>
    </row>
    <row r="32" spans="1:2">
      <c r="A32" t="s">
        <v>2033</v>
      </c>
      <c r="B32" s="482">
        <v>1</v>
      </c>
    </row>
    <row r="33" spans="1:2">
      <c r="A33" t="s">
        <v>2034</v>
      </c>
      <c r="B33" s="482">
        <v>1</v>
      </c>
    </row>
    <row r="34" spans="1:2">
      <c r="A34" t="s">
        <v>2035</v>
      </c>
      <c r="B34" s="482">
        <v>1</v>
      </c>
    </row>
    <row r="35" spans="1:2">
      <c r="A35" t="s">
        <v>2036</v>
      </c>
      <c r="B35" s="482">
        <v>1</v>
      </c>
    </row>
    <row r="36" spans="1:2">
      <c r="A36" t="s">
        <v>2037</v>
      </c>
      <c r="B36" s="482">
        <v>1</v>
      </c>
    </row>
    <row r="37" spans="1:2">
      <c r="A37" t="s">
        <v>2038</v>
      </c>
      <c r="B37" s="482">
        <v>1</v>
      </c>
    </row>
    <row r="38" spans="1:2">
      <c r="A38" t="s">
        <v>2039</v>
      </c>
      <c r="B38" s="482">
        <v>1</v>
      </c>
    </row>
    <row r="39" spans="1:2">
      <c r="A39" t="s">
        <v>2040</v>
      </c>
      <c r="B39" s="482">
        <v>1</v>
      </c>
    </row>
    <row r="40" spans="1:2">
      <c r="A40" t="s">
        <v>655</v>
      </c>
      <c r="B40" s="482">
        <v>1</v>
      </c>
    </row>
    <row r="41" spans="1:2">
      <c r="A41" t="s">
        <v>656</v>
      </c>
      <c r="B41" s="482">
        <v>1</v>
      </c>
    </row>
    <row r="42" spans="1:2">
      <c r="A42" t="s">
        <v>657</v>
      </c>
      <c r="B42" s="482">
        <v>1</v>
      </c>
    </row>
    <row r="43" spans="1:2">
      <c r="A43" t="s">
        <v>658</v>
      </c>
      <c r="B43" s="482">
        <v>1</v>
      </c>
    </row>
    <row r="44" spans="1:2">
      <c r="A44" t="s">
        <v>2041</v>
      </c>
      <c r="B44" s="482">
        <v>1</v>
      </c>
    </row>
    <row r="45" spans="1:2">
      <c r="A45" t="s">
        <v>2042</v>
      </c>
      <c r="B45" s="482">
        <v>1</v>
      </c>
    </row>
    <row r="46" spans="1:2">
      <c r="A46" t="s">
        <v>2043</v>
      </c>
      <c r="B46" s="482">
        <v>1</v>
      </c>
    </row>
    <row r="47" spans="1:2">
      <c r="A47" t="s">
        <v>2044</v>
      </c>
      <c r="B47" s="482">
        <v>1</v>
      </c>
    </row>
    <row r="48" spans="1:2">
      <c r="A48" t="s">
        <v>2045</v>
      </c>
      <c r="B48" s="482">
        <v>1</v>
      </c>
    </row>
    <row r="49" spans="1:2">
      <c r="A49" t="s">
        <v>2046</v>
      </c>
      <c r="B49" s="482">
        <v>1</v>
      </c>
    </row>
    <row r="50" spans="1:2">
      <c r="A50" t="s">
        <v>2047</v>
      </c>
      <c r="B50" s="482">
        <v>1</v>
      </c>
    </row>
    <row r="51" spans="1:2">
      <c r="A51" t="s">
        <v>659</v>
      </c>
      <c r="B51" s="482">
        <v>1</v>
      </c>
    </row>
    <row r="52" spans="1:2">
      <c r="A52" t="s">
        <v>660</v>
      </c>
      <c r="B52" s="482">
        <v>1</v>
      </c>
    </row>
    <row r="53" spans="1:2">
      <c r="A53" t="s">
        <v>661</v>
      </c>
      <c r="B53" s="482">
        <v>1</v>
      </c>
    </row>
    <row r="54" spans="1:2">
      <c r="A54" t="s">
        <v>2176</v>
      </c>
      <c r="B54" s="482">
        <v>5</v>
      </c>
    </row>
    <row r="55" spans="1:2">
      <c r="A55" t="s">
        <v>662</v>
      </c>
      <c r="B55" s="482">
        <v>1</v>
      </c>
    </row>
    <row r="56" spans="1:2">
      <c r="A56" t="s">
        <v>663</v>
      </c>
      <c r="B56" s="482">
        <v>1</v>
      </c>
    </row>
    <row r="57" spans="1:2">
      <c r="A57" t="s">
        <v>664</v>
      </c>
      <c r="B57" s="482">
        <v>1</v>
      </c>
    </row>
    <row r="58" spans="1:2">
      <c r="A58" t="s">
        <v>665</v>
      </c>
      <c r="B58" s="482">
        <v>1</v>
      </c>
    </row>
    <row r="59" spans="1:2">
      <c r="A59" t="s">
        <v>2177</v>
      </c>
      <c r="B59" s="482">
        <v>2</v>
      </c>
    </row>
    <row r="60" spans="1:2">
      <c r="A60" t="s">
        <v>666</v>
      </c>
      <c r="B60" s="482">
        <v>1</v>
      </c>
    </row>
    <row r="61" spans="1:2">
      <c r="A61" t="s">
        <v>2178</v>
      </c>
      <c r="B61" s="482">
        <v>2</v>
      </c>
    </row>
    <row r="62" spans="1:2">
      <c r="A62" t="s">
        <v>2179</v>
      </c>
      <c r="B62" s="482">
        <v>2</v>
      </c>
    </row>
    <row r="63" spans="1:2">
      <c r="A63" t="s">
        <v>2180</v>
      </c>
      <c r="B63" s="482">
        <v>2</v>
      </c>
    </row>
    <row r="64" spans="1:2">
      <c r="A64" t="s">
        <v>2181</v>
      </c>
      <c r="B64" s="482">
        <v>2</v>
      </c>
    </row>
    <row r="65" spans="1:2">
      <c r="A65" t="s">
        <v>2182</v>
      </c>
      <c r="B65" s="482">
        <v>2</v>
      </c>
    </row>
    <row r="66" spans="1:2">
      <c r="A66" t="s">
        <v>667</v>
      </c>
      <c r="B66" s="482">
        <v>7</v>
      </c>
    </row>
    <row r="67" spans="1:2">
      <c r="A67" t="s">
        <v>668</v>
      </c>
      <c r="B67" s="482">
        <v>7</v>
      </c>
    </row>
    <row r="68" spans="1:2">
      <c r="A68" t="s">
        <v>669</v>
      </c>
      <c r="B68" s="482">
        <v>1</v>
      </c>
    </row>
    <row r="69" spans="1:2">
      <c r="A69" t="s">
        <v>670</v>
      </c>
      <c r="B69" s="482">
        <v>7</v>
      </c>
    </row>
    <row r="70" spans="1:2">
      <c r="A70" t="s">
        <v>671</v>
      </c>
      <c r="B70" s="482">
        <v>1</v>
      </c>
    </row>
    <row r="71" spans="1:2">
      <c r="A71" t="s">
        <v>672</v>
      </c>
      <c r="B71" s="482">
        <v>1</v>
      </c>
    </row>
    <row r="72" spans="1:2">
      <c r="A72" t="s">
        <v>673</v>
      </c>
      <c r="B72" s="482">
        <v>1</v>
      </c>
    </row>
    <row r="73" spans="1:2">
      <c r="A73" t="s">
        <v>2183</v>
      </c>
      <c r="B73" s="482">
        <v>2</v>
      </c>
    </row>
    <row r="74" spans="1:2">
      <c r="A74" t="s">
        <v>2184</v>
      </c>
      <c r="B74" s="482">
        <v>2</v>
      </c>
    </row>
    <row r="75" spans="1:2">
      <c r="A75" t="s">
        <v>2185</v>
      </c>
      <c r="B75" s="482">
        <v>2</v>
      </c>
    </row>
    <row r="76" spans="1:2">
      <c r="A76" t="s">
        <v>674</v>
      </c>
      <c r="B76" s="482">
        <v>1</v>
      </c>
    </row>
    <row r="77" spans="1:2">
      <c r="A77" t="s">
        <v>675</v>
      </c>
      <c r="B77" s="482">
        <v>1</v>
      </c>
    </row>
    <row r="78" spans="1:2">
      <c r="A78" t="s">
        <v>676</v>
      </c>
      <c r="B78" s="482">
        <v>1</v>
      </c>
    </row>
    <row r="79" spans="1:2">
      <c r="A79" t="s">
        <v>677</v>
      </c>
      <c r="B79" s="482">
        <v>1</v>
      </c>
    </row>
    <row r="80" spans="1:2">
      <c r="A80" t="s">
        <v>2186</v>
      </c>
      <c r="B80" s="482">
        <v>2</v>
      </c>
    </row>
    <row r="81" spans="1:2">
      <c r="A81" t="s">
        <v>2187</v>
      </c>
      <c r="B81" s="482">
        <v>2</v>
      </c>
    </row>
    <row r="82" spans="1:2">
      <c r="A82" t="s">
        <v>678</v>
      </c>
      <c r="B82" s="482">
        <v>7</v>
      </c>
    </row>
    <row r="83" spans="1:2">
      <c r="A83" t="s">
        <v>679</v>
      </c>
      <c r="B83" s="482">
        <v>7</v>
      </c>
    </row>
    <row r="84" spans="1:2">
      <c r="A84" t="s">
        <v>680</v>
      </c>
      <c r="B84" s="482">
        <v>7</v>
      </c>
    </row>
    <row r="85" spans="1:2">
      <c r="A85" t="s">
        <v>2188</v>
      </c>
      <c r="B85" s="482">
        <v>7</v>
      </c>
    </row>
    <row r="86" spans="1:2">
      <c r="A86" t="s">
        <v>2189</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2190</v>
      </c>
      <c r="B92" s="482">
        <v>2</v>
      </c>
    </row>
    <row r="93" spans="1:2">
      <c r="A93" t="s">
        <v>686</v>
      </c>
      <c r="B93" s="482">
        <v>1</v>
      </c>
    </row>
    <row r="94" spans="1:2">
      <c r="A94" t="s">
        <v>687</v>
      </c>
      <c r="B94" s="482">
        <v>1</v>
      </c>
    </row>
    <row r="95" spans="1:2">
      <c r="A95" t="s">
        <v>2191</v>
      </c>
      <c r="B95" s="482">
        <v>7</v>
      </c>
    </row>
    <row r="96" spans="1:2">
      <c r="A96" t="s">
        <v>688</v>
      </c>
      <c r="B96" s="482">
        <v>1</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2216</v>
      </c>
      <c r="B103" s="482">
        <v>7</v>
      </c>
    </row>
    <row r="104" spans="1:2">
      <c r="A104" t="s">
        <v>2217</v>
      </c>
      <c r="B104" s="482">
        <v>7</v>
      </c>
    </row>
    <row r="105" spans="1:2">
      <c r="A105" t="s">
        <v>695</v>
      </c>
      <c r="B105" s="482">
        <v>1</v>
      </c>
    </row>
    <row r="106" spans="1:2">
      <c r="A106" t="s">
        <v>696</v>
      </c>
      <c r="B106" s="482">
        <v>1</v>
      </c>
    </row>
    <row r="107" spans="1:2">
      <c r="A107" t="s">
        <v>697</v>
      </c>
      <c r="B107" s="482">
        <v>1</v>
      </c>
    </row>
    <row r="108" spans="1:2">
      <c r="A108" t="s">
        <v>2218</v>
      </c>
      <c r="B108" s="482">
        <v>2</v>
      </c>
    </row>
    <row r="109" spans="1:2">
      <c r="A109" t="s">
        <v>2219</v>
      </c>
      <c r="B109" s="482">
        <v>2</v>
      </c>
    </row>
    <row r="110" spans="1:2">
      <c r="A110" t="s">
        <v>698</v>
      </c>
      <c r="B110" s="482">
        <v>1</v>
      </c>
    </row>
    <row r="111" spans="1:2">
      <c r="A111" t="s">
        <v>699</v>
      </c>
      <c r="B111" s="482">
        <v>1</v>
      </c>
    </row>
    <row r="112" spans="1:2">
      <c r="A112" t="s">
        <v>2220</v>
      </c>
      <c r="B112" s="482">
        <v>2</v>
      </c>
    </row>
    <row r="113" spans="1:2">
      <c r="A113" t="s">
        <v>2221</v>
      </c>
      <c r="B113" s="482">
        <v>2</v>
      </c>
    </row>
    <row r="114" spans="1:2">
      <c r="A114" t="s">
        <v>700</v>
      </c>
      <c r="B114" s="482">
        <v>1</v>
      </c>
    </row>
    <row r="115" spans="1:2">
      <c r="A115" t="s">
        <v>2222</v>
      </c>
      <c r="B115" s="482">
        <v>2</v>
      </c>
    </row>
    <row r="116" spans="1:2">
      <c r="A116" t="s">
        <v>701</v>
      </c>
      <c r="B116" s="482">
        <v>1</v>
      </c>
    </row>
    <row r="117" spans="1:2">
      <c r="A117" t="s">
        <v>702</v>
      </c>
      <c r="B117" s="482">
        <v>7</v>
      </c>
    </row>
    <row r="118" spans="1:2">
      <c r="A118" t="s">
        <v>703</v>
      </c>
      <c r="B118" s="482">
        <v>7</v>
      </c>
    </row>
    <row r="119" spans="1:2">
      <c r="A119" t="s">
        <v>704</v>
      </c>
      <c r="B119" s="482">
        <v>7</v>
      </c>
    </row>
    <row r="120" spans="1:2">
      <c r="A120" t="s">
        <v>705</v>
      </c>
      <c r="B120" s="482">
        <v>1</v>
      </c>
    </row>
    <row r="121" spans="1:2">
      <c r="A121" t="s">
        <v>706</v>
      </c>
      <c r="B121" s="482">
        <v>1</v>
      </c>
    </row>
    <row r="122" spans="1:2">
      <c r="A122" t="s">
        <v>707</v>
      </c>
      <c r="B122" s="482">
        <v>1</v>
      </c>
    </row>
    <row r="123" spans="1:2">
      <c r="A123" t="s">
        <v>708</v>
      </c>
      <c r="B123" s="482">
        <v>1</v>
      </c>
    </row>
    <row r="124" spans="1:2">
      <c r="A124" t="s">
        <v>2223</v>
      </c>
      <c r="B124" s="482">
        <v>7</v>
      </c>
    </row>
    <row r="125" spans="1:2">
      <c r="A125" t="s">
        <v>709</v>
      </c>
      <c r="B125" s="482">
        <v>1</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7</v>
      </c>
    </row>
    <row r="134" spans="1:2">
      <c r="A134" t="s">
        <v>718</v>
      </c>
      <c r="B134" s="482">
        <v>1</v>
      </c>
    </row>
    <row r="135" spans="1:2">
      <c r="A135" t="s">
        <v>2224</v>
      </c>
      <c r="B135" s="482">
        <v>2</v>
      </c>
    </row>
    <row r="136" spans="1:2">
      <c r="A136" t="s">
        <v>719</v>
      </c>
      <c r="B136" s="482">
        <v>1</v>
      </c>
    </row>
    <row r="137" spans="1:2">
      <c r="A137" t="s">
        <v>720</v>
      </c>
      <c r="B137" s="482">
        <v>1</v>
      </c>
    </row>
    <row r="138" spans="1:2">
      <c r="A138" t="s">
        <v>2225</v>
      </c>
      <c r="B138" s="482">
        <v>2</v>
      </c>
    </row>
    <row r="139" spans="1:2">
      <c r="A139" t="s">
        <v>2226</v>
      </c>
      <c r="B139" s="482">
        <v>2</v>
      </c>
    </row>
    <row r="140" spans="1:2">
      <c r="A140" t="s">
        <v>2227</v>
      </c>
      <c r="B140" s="482">
        <v>2</v>
      </c>
    </row>
    <row r="141" spans="1:2">
      <c r="A141" t="s">
        <v>2228</v>
      </c>
      <c r="B141" s="482">
        <v>2</v>
      </c>
    </row>
    <row r="142" spans="1:2">
      <c r="A142" t="s">
        <v>721</v>
      </c>
      <c r="B142" s="482">
        <v>1</v>
      </c>
    </row>
    <row r="143" spans="1:2">
      <c r="A143" t="s">
        <v>722</v>
      </c>
      <c r="B143" s="482">
        <v>1</v>
      </c>
    </row>
    <row r="144" spans="1:2">
      <c r="A144" t="s">
        <v>2229</v>
      </c>
      <c r="B144" s="482">
        <v>2</v>
      </c>
    </row>
    <row r="145" spans="1:2">
      <c r="A145" t="s">
        <v>2230</v>
      </c>
      <c r="B145" s="482">
        <v>2</v>
      </c>
    </row>
    <row r="146" spans="1:2">
      <c r="A146" t="s">
        <v>2231</v>
      </c>
      <c r="B146" s="482">
        <v>2</v>
      </c>
    </row>
    <row r="147" spans="1:2">
      <c r="A147" t="s">
        <v>723</v>
      </c>
      <c r="B147" s="482">
        <v>1</v>
      </c>
    </row>
    <row r="148" spans="1:2">
      <c r="A148" t="s">
        <v>724</v>
      </c>
      <c r="B148" s="482">
        <v>1</v>
      </c>
    </row>
    <row r="149" spans="1:2">
      <c r="A149" t="s">
        <v>725</v>
      </c>
      <c r="B149" s="482">
        <v>1</v>
      </c>
    </row>
    <row r="150" spans="1:2">
      <c r="A150" t="s">
        <v>726</v>
      </c>
      <c r="B150" s="482">
        <v>1</v>
      </c>
    </row>
    <row r="151" spans="1:2">
      <c r="A151" t="s">
        <v>2232</v>
      </c>
      <c r="B151" s="482">
        <v>2</v>
      </c>
    </row>
    <row r="152" spans="1:2">
      <c r="A152" t="s">
        <v>727</v>
      </c>
      <c r="B152" s="482">
        <v>1</v>
      </c>
    </row>
    <row r="153" spans="1:2">
      <c r="A153" t="s">
        <v>728</v>
      </c>
      <c r="B153" s="482">
        <v>1</v>
      </c>
    </row>
    <row r="154" spans="1:2">
      <c r="A154" t="s">
        <v>2233</v>
      </c>
      <c r="B154" s="482">
        <v>2</v>
      </c>
    </row>
    <row r="155" spans="1:2">
      <c r="A155" t="s">
        <v>2234</v>
      </c>
      <c r="B155" s="482">
        <v>2</v>
      </c>
    </row>
    <row r="156" spans="1:2">
      <c r="A156" t="s">
        <v>2235</v>
      </c>
      <c r="B156" s="482">
        <v>2</v>
      </c>
    </row>
    <row r="157" spans="1:2">
      <c r="A157" t="s">
        <v>2236</v>
      </c>
      <c r="B157" s="482">
        <v>2</v>
      </c>
    </row>
    <row r="158" spans="1:2">
      <c r="A158" t="s">
        <v>729</v>
      </c>
      <c r="B158" s="482">
        <v>1</v>
      </c>
    </row>
    <row r="159" spans="1:2">
      <c r="A159" t="s">
        <v>730</v>
      </c>
      <c r="B159" s="482">
        <v>1</v>
      </c>
    </row>
    <row r="160" spans="1:2">
      <c r="A160" t="s">
        <v>2237</v>
      </c>
      <c r="B160" s="482">
        <v>2</v>
      </c>
    </row>
    <row r="161" spans="1:2">
      <c r="A161" t="s">
        <v>2238</v>
      </c>
      <c r="B161" s="482">
        <v>2</v>
      </c>
    </row>
    <row r="162" spans="1:2">
      <c r="A162" t="s">
        <v>2239</v>
      </c>
      <c r="B162" s="482">
        <v>2</v>
      </c>
    </row>
    <row r="163" spans="1:2">
      <c r="A163" t="s">
        <v>2267</v>
      </c>
      <c r="B163" s="482">
        <v>2</v>
      </c>
    </row>
    <row r="164" spans="1:2">
      <c r="A164" t="s">
        <v>2268</v>
      </c>
      <c r="B164" s="482">
        <v>7</v>
      </c>
    </row>
    <row r="165" spans="1:2">
      <c r="A165" t="s">
        <v>731</v>
      </c>
      <c r="B165" s="482">
        <v>1</v>
      </c>
    </row>
    <row r="166" spans="1:2">
      <c r="A166" t="s">
        <v>2269</v>
      </c>
      <c r="B166" s="482">
        <v>2</v>
      </c>
    </row>
    <row r="167" spans="1:2">
      <c r="A167" t="s">
        <v>732</v>
      </c>
      <c r="B167" s="482">
        <v>1</v>
      </c>
    </row>
    <row r="168" spans="1:2">
      <c r="A168" t="s">
        <v>2270</v>
      </c>
      <c r="B168" s="482">
        <v>2</v>
      </c>
    </row>
    <row r="169" spans="1:2">
      <c r="A169" t="s">
        <v>733</v>
      </c>
      <c r="B169" s="482">
        <v>1</v>
      </c>
    </row>
    <row r="170" spans="1:2">
      <c r="A170" t="s">
        <v>734</v>
      </c>
      <c r="B170" s="482">
        <v>1</v>
      </c>
    </row>
    <row r="171" spans="1:2">
      <c r="A171" t="s">
        <v>735</v>
      </c>
      <c r="B171" s="482">
        <v>1</v>
      </c>
    </row>
    <row r="172" spans="1:2">
      <c r="A172" t="s">
        <v>736</v>
      </c>
      <c r="B172" s="482">
        <v>7</v>
      </c>
    </row>
    <row r="173" spans="1:2">
      <c r="A173" t="s">
        <v>2271</v>
      </c>
      <c r="B173" s="482">
        <v>7</v>
      </c>
    </row>
    <row r="174" spans="1:2">
      <c r="A174" t="s">
        <v>2272</v>
      </c>
      <c r="B174" s="482">
        <v>7</v>
      </c>
    </row>
    <row r="175" spans="1:2">
      <c r="A175" t="s">
        <v>737</v>
      </c>
      <c r="B175" s="482">
        <v>1</v>
      </c>
    </row>
    <row r="176" spans="1:2">
      <c r="A176" t="s">
        <v>738</v>
      </c>
      <c r="B176" s="482">
        <v>1</v>
      </c>
    </row>
    <row r="177" spans="1:2">
      <c r="A177" t="s">
        <v>739</v>
      </c>
      <c r="B177" s="482">
        <v>1</v>
      </c>
    </row>
    <row r="178" spans="1:2">
      <c r="A178" t="s">
        <v>740</v>
      </c>
      <c r="B178" s="482">
        <v>0</v>
      </c>
    </row>
    <row r="179" spans="1:2">
      <c r="A179" t="s">
        <v>741</v>
      </c>
      <c r="B179" s="482">
        <v>0</v>
      </c>
    </row>
    <row r="180" spans="1:2">
      <c r="A180" t="s">
        <v>742</v>
      </c>
      <c r="B180" s="482">
        <v>0</v>
      </c>
    </row>
    <row r="181" spans="1:2">
      <c r="A181" t="s">
        <v>2273</v>
      </c>
      <c r="B181" s="482">
        <v>2</v>
      </c>
    </row>
    <row r="182" spans="1:2">
      <c r="A182" t="s">
        <v>743</v>
      </c>
      <c r="B182" s="482">
        <v>0</v>
      </c>
    </row>
    <row r="183" spans="1:2">
      <c r="A183" t="s">
        <v>2274</v>
      </c>
      <c r="B183" s="482">
        <v>2</v>
      </c>
    </row>
    <row r="184" spans="1:2">
      <c r="A184" t="s">
        <v>744</v>
      </c>
      <c r="B184" s="482">
        <v>1</v>
      </c>
    </row>
    <row r="185" spans="1:2">
      <c r="A185" t="s">
        <v>745</v>
      </c>
      <c r="B185" s="482">
        <v>1</v>
      </c>
    </row>
    <row r="186" spans="1:2">
      <c r="A186" t="s">
        <v>746</v>
      </c>
      <c r="B186" s="482">
        <v>1</v>
      </c>
    </row>
    <row r="187" spans="1:2">
      <c r="A187" t="s">
        <v>747</v>
      </c>
      <c r="B187" s="482">
        <v>1</v>
      </c>
    </row>
    <row r="188" spans="1:2">
      <c r="A188" t="s">
        <v>2275</v>
      </c>
      <c r="B188" s="482">
        <v>2</v>
      </c>
    </row>
    <row r="189" spans="1:2">
      <c r="A189" t="s">
        <v>2276</v>
      </c>
      <c r="B189" s="482">
        <v>7</v>
      </c>
    </row>
    <row r="190" spans="1:2">
      <c r="A190" t="s">
        <v>2277</v>
      </c>
      <c r="B190" s="482">
        <v>7</v>
      </c>
    </row>
    <row r="191" spans="1:2">
      <c r="A191" t="s">
        <v>748</v>
      </c>
      <c r="B191" s="482">
        <v>1</v>
      </c>
    </row>
    <row r="192" spans="1:2">
      <c r="A192" t="s">
        <v>749</v>
      </c>
      <c r="B192" s="482">
        <v>1</v>
      </c>
    </row>
    <row r="193" spans="1:2">
      <c r="A193" t="s">
        <v>2278</v>
      </c>
      <c r="B193" s="482">
        <v>7</v>
      </c>
    </row>
    <row r="194" spans="1:2">
      <c r="A194" t="s">
        <v>750</v>
      </c>
      <c r="B194" s="482">
        <v>1</v>
      </c>
    </row>
    <row r="195" spans="1:2">
      <c r="A195" t="s">
        <v>2279</v>
      </c>
      <c r="B195" s="482">
        <v>7</v>
      </c>
    </row>
    <row r="196" spans="1:2">
      <c r="A196" t="s">
        <v>2280</v>
      </c>
      <c r="B196" s="482">
        <v>7</v>
      </c>
    </row>
    <row r="197" spans="1:2">
      <c r="A197" t="s">
        <v>2281</v>
      </c>
      <c r="B197" s="482">
        <v>2</v>
      </c>
    </row>
    <row r="198" spans="1:2">
      <c r="A198" t="s">
        <v>2282</v>
      </c>
      <c r="B198" s="482">
        <v>7</v>
      </c>
    </row>
    <row r="199" spans="1:2">
      <c r="A199" t="s">
        <v>751</v>
      </c>
      <c r="B199" s="482">
        <v>1</v>
      </c>
    </row>
    <row r="200" spans="1:2">
      <c r="A200" t="s">
        <v>2283</v>
      </c>
      <c r="B200" s="482">
        <v>2</v>
      </c>
    </row>
    <row r="201" spans="1:2">
      <c r="A201" t="s">
        <v>2284</v>
      </c>
      <c r="B201" s="482">
        <v>7</v>
      </c>
    </row>
    <row r="202" spans="1:2">
      <c r="A202" t="s">
        <v>752</v>
      </c>
      <c r="B202" s="482">
        <v>7</v>
      </c>
    </row>
    <row r="203" spans="1:2">
      <c r="A203" t="s">
        <v>753</v>
      </c>
      <c r="B203" s="482">
        <v>1</v>
      </c>
    </row>
    <row r="204" spans="1:2">
      <c r="A204" t="s">
        <v>2285</v>
      </c>
      <c r="B204" s="482">
        <v>2</v>
      </c>
    </row>
    <row r="205" spans="1:2">
      <c r="A205" t="s">
        <v>754</v>
      </c>
      <c r="B205" s="482">
        <v>1</v>
      </c>
    </row>
    <row r="206" spans="1:2">
      <c r="A206" t="s">
        <v>2286</v>
      </c>
      <c r="B206" s="482">
        <v>7</v>
      </c>
    </row>
    <row r="207" spans="1:2">
      <c r="A207" t="s">
        <v>2287</v>
      </c>
      <c r="B207" s="482">
        <v>2</v>
      </c>
    </row>
    <row r="208" spans="1:2">
      <c r="A208" t="s">
        <v>2288</v>
      </c>
      <c r="B208" s="482">
        <v>2</v>
      </c>
    </row>
    <row r="209" spans="1:2">
      <c r="A209" t="s">
        <v>2289</v>
      </c>
      <c r="B209" s="482">
        <v>7</v>
      </c>
    </row>
    <row r="210" spans="1:2">
      <c r="A210" t="s">
        <v>755</v>
      </c>
      <c r="B210" s="482">
        <v>1</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2</v>
      </c>
    </row>
    <row r="219" spans="1:2">
      <c r="A219" t="s">
        <v>764</v>
      </c>
      <c r="B219" s="482">
        <v>1</v>
      </c>
    </row>
    <row r="220" spans="1:2">
      <c r="A220" t="s">
        <v>2291</v>
      </c>
      <c r="B220" s="482">
        <v>7</v>
      </c>
    </row>
    <row r="221" spans="1:2">
      <c r="A221" t="s">
        <v>2296</v>
      </c>
      <c r="B221" s="482">
        <v>2</v>
      </c>
    </row>
    <row r="222" spans="1:2">
      <c r="A222" t="s">
        <v>2297</v>
      </c>
      <c r="B222" s="482">
        <v>2</v>
      </c>
    </row>
    <row r="223" spans="1:2">
      <c r="A223" t="s">
        <v>2298</v>
      </c>
      <c r="B223" s="482">
        <v>2</v>
      </c>
    </row>
    <row r="224" spans="1:2">
      <c r="A224" t="s">
        <v>1885</v>
      </c>
      <c r="B224" s="482">
        <v>1</v>
      </c>
    </row>
    <row r="225" spans="1:2">
      <c r="A225" t="s">
        <v>2299</v>
      </c>
      <c r="B225" s="482">
        <v>2</v>
      </c>
    </row>
    <row r="226" spans="1:2">
      <c r="A226" t="s">
        <v>2300</v>
      </c>
      <c r="B226" s="482">
        <v>7</v>
      </c>
    </row>
    <row r="227" spans="1:2">
      <c r="A227" t="s">
        <v>2301</v>
      </c>
      <c r="B227" s="482">
        <v>2</v>
      </c>
    </row>
    <row r="228" spans="1:2">
      <c r="A228" t="s">
        <v>2302</v>
      </c>
      <c r="B228" s="482">
        <v>7</v>
      </c>
    </row>
    <row r="229" spans="1:2">
      <c r="A229" t="s">
        <v>1886</v>
      </c>
      <c r="B229" s="482">
        <v>7</v>
      </c>
    </row>
    <row r="230" spans="1:2">
      <c r="A230" t="s">
        <v>1887</v>
      </c>
      <c r="B230" s="482">
        <v>3</v>
      </c>
    </row>
    <row r="231" spans="1:2">
      <c r="A231" t="s">
        <v>1888</v>
      </c>
      <c r="B231" s="482">
        <v>1</v>
      </c>
    </row>
    <row r="232" spans="1:2">
      <c r="A232" t="s">
        <v>765</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1889</v>
      </c>
      <c r="B241" s="482">
        <v>1</v>
      </c>
    </row>
    <row r="242" spans="1:2">
      <c r="A242" t="s">
        <v>1890</v>
      </c>
      <c r="B242" s="482">
        <v>1</v>
      </c>
    </row>
    <row r="243" spans="1:2">
      <c r="A243" t="s">
        <v>1891</v>
      </c>
      <c r="B243" s="482">
        <v>1</v>
      </c>
    </row>
    <row r="244" spans="1:2">
      <c r="A244" t="s">
        <v>1892</v>
      </c>
      <c r="B244" s="482">
        <v>1</v>
      </c>
    </row>
    <row r="245" spans="1:2">
      <c r="A245" t="s">
        <v>1893</v>
      </c>
      <c r="B245" s="482">
        <v>1</v>
      </c>
    </row>
    <row r="246" spans="1:2">
      <c r="A246" t="s">
        <v>1894</v>
      </c>
      <c r="B246" s="482">
        <v>1</v>
      </c>
    </row>
    <row r="247" spans="1:2">
      <c r="A247" t="s">
        <v>1895</v>
      </c>
      <c r="B247" s="482">
        <v>1</v>
      </c>
    </row>
    <row r="248" spans="1:2">
      <c r="A248" t="s">
        <v>1896</v>
      </c>
      <c r="B248" s="482">
        <v>1</v>
      </c>
    </row>
    <row r="249" spans="1:2">
      <c r="A249" t="s">
        <v>1897</v>
      </c>
      <c r="B249" s="482">
        <v>1</v>
      </c>
    </row>
    <row r="250" spans="1:2">
      <c r="A250" t="s">
        <v>1898</v>
      </c>
      <c r="B250" s="482">
        <v>1</v>
      </c>
    </row>
    <row r="251" spans="1:2">
      <c r="A251" t="s">
        <v>1899</v>
      </c>
      <c r="B251" s="482">
        <v>1</v>
      </c>
    </row>
    <row r="252" spans="1:2">
      <c r="A252" t="s">
        <v>1900</v>
      </c>
      <c r="B252" s="482">
        <v>1</v>
      </c>
    </row>
    <row r="253" spans="1:2">
      <c r="A253" t="s">
        <v>1901</v>
      </c>
      <c r="B253" s="482">
        <v>1</v>
      </c>
    </row>
    <row r="254" spans="1:2">
      <c r="A254" t="s">
        <v>1902</v>
      </c>
      <c r="B254" s="482">
        <v>1</v>
      </c>
    </row>
    <row r="255" spans="1:2">
      <c r="A255" t="s">
        <v>1903</v>
      </c>
      <c r="B255" s="482">
        <v>1</v>
      </c>
    </row>
    <row r="256" spans="1:2">
      <c r="A256" t="s">
        <v>774</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0</v>
      </c>
    </row>
    <row r="268" spans="1:2">
      <c r="A268" t="s">
        <v>786</v>
      </c>
      <c r="B268" s="482">
        <v>1</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0</v>
      </c>
    </row>
    <row r="285" spans="1:2">
      <c r="A285" t="s">
        <v>803</v>
      </c>
      <c r="B285" s="482">
        <v>1</v>
      </c>
    </row>
    <row r="286" spans="1:2">
      <c r="A286" t="s">
        <v>804</v>
      </c>
      <c r="B286" s="482">
        <v>1</v>
      </c>
    </row>
    <row r="287" spans="1:2">
      <c r="A287" t="s">
        <v>805</v>
      </c>
      <c r="B287" s="482">
        <v>1</v>
      </c>
    </row>
    <row r="288" spans="1:2">
      <c r="A288" t="s">
        <v>806</v>
      </c>
      <c r="B288" s="482">
        <v>0</v>
      </c>
    </row>
    <row r="289" spans="1:2">
      <c r="A289" t="s">
        <v>807</v>
      </c>
      <c r="B289" s="482">
        <v>1</v>
      </c>
    </row>
    <row r="290" spans="1:2">
      <c r="A290" t="s">
        <v>808</v>
      </c>
      <c r="B290" s="482">
        <v>1</v>
      </c>
    </row>
    <row r="291" spans="1:2">
      <c r="A291" t="s">
        <v>809</v>
      </c>
      <c r="B291" s="482">
        <v>1</v>
      </c>
    </row>
    <row r="292" spans="1:2">
      <c r="A292" t="s">
        <v>810</v>
      </c>
      <c r="B292" s="482">
        <v>0</v>
      </c>
    </row>
    <row r="293" spans="1:2">
      <c r="A293" t="s">
        <v>811</v>
      </c>
      <c r="B293" s="482">
        <v>1</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0</v>
      </c>
    </row>
    <row r="300" spans="1:2">
      <c r="A300" t="s">
        <v>818</v>
      </c>
      <c r="B300" s="482">
        <v>0</v>
      </c>
    </row>
    <row r="301" spans="1:2">
      <c r="A301" t="s">
        <v>819</v>
      </c>
      <c r="B301" s="482">
        <v>0</v>
      </c>
    </row>
    <row r="302" spans="1:2">
      <c r="A302" t="s">
        <v>820</v>
      </c>
      <c r="B302" s="482">
        <v>1</v>
      </c>
    </row>
    <row r="303" spans="1:2">
      <c r="A303" t="s">
        <v>821</v>
      </c>
      <c r="B303" s="482">
        <v>1</v>
      </c>
    </row>
    <row r="304" spans="1:2">
      <c r="A304" t="s">
        <v>822</v>
      </c>
      <c r="B304" s="482">
        <v>0</v>
      </c>
    </row>
    <row r="305" spans="1:2">
      <c r="A305" t="s">
        <v>823</v>
      </c>
      <c r="B305" s="482">
        <v>1</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0</v>
      </c>
    </row>
    <row r="343" spans="1:2">
      <c r="A343" t="s">
        <v>861</v>
      </c>
      <c r="B343" s="482">
        <v>0</v>
      </c>
    </row>
    <row r="344" spans="1:2">
      <c r="A344" t="s">
        <v>862</v>
      </c>
      <c r="B344" s="482">
        <v>0</v>
      </c>
    </row>
    <row r="345" spans="1:2">
      <c r="A345" t="s">
        <v>863</v>
      </c>
      <c r="B345" s="482">
        <v>1</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2071</v>
      </c>
      <c r="B393" s="482">
        <v>1</v>
      </c>
    </row>
    <row r="394" spans="1:2">
      <c r="A394" t="s">
        <v>2072</v>
      </c>
      <c r="B394" s="482">
        <v>1</v>
      </c>
    </row>
    <row r="395" spans="1:2">
      <c r="A395" t="s">
        <v>2073</v>
      </c>
      <c r="B395" s="482">
        <v>1</v>
      </c>
    </row>
    <row r="396" spans="1:2">
      <c r="A396" t="s">
        <v>2074</v>
      </c>
      <c r="B396" s="482">
        <v>1</v>
      </c>
    </row>
    <row r="397" spans="1:2">
      <c r="A397" t="s">
        <v>2075</v>
      </c>
      <c r="B397" s="482">
        <v>1</v>
      </c>
    </row>
    <row r="398" spans="1:2">
      <c r="A398" t="s">
        <v>2079</v>
      </c>
      <c r="B398" s="482">
        <v>1</v>
      </c>
    </row>
    <row r="399" spans="1:2">
      <c r="A399" t="s">
        <v>2076</v>
      </c>
      <c r="B399" s="482">
        <v>1</v>
      </c>
    </row>
    <row r="400" spans="1:2">
      <c r="A400" t="s">
        <v>2077</v>
      </c>
      <c r="B400" s="482">
        <v>1</v>
      </c>
    </row>
    <row r="401" spans="1:2">
      <c r="A401" t="s">
        <v>2078</v>
      </c>
      <c r="B401" s="482">
        <v>1</v>
      </c>
    </row>
    <row r="402" spans="1:2">
      <c r="A402" t="s">
        <v>2157</v>
      </c>
      <c r="B402" s="482">
        <v>1</v>
      </c>
    </row>
    <row r="403" spans="1:2">
      <c r="A403" t="s">
        <v>2158</v>
      </c>
      <c r="B403" s="482">
        <v>1</v>
      </c>
    </row>
    <row r="404" spans="1:2">
      <c r="A404" t="s">
        <v>2159</v>
      </c>
      <c r="B404" s="482">
        <v>1</v>
      </c>
    </row>
    <row r="405" spans="1:2">
      <c r="A405" t="s">
        <v>2160</v>
      </c>
      <c r="B405" s="482">
        <v>1</v>
      </c>
    </row>
    <row r="406" spans="1:2">
      <c r="A406" t="s">
        <v>2161</v>
      </c>
      <c r="B406" s="482">
        <v>1</v>
      </c>
    </row>
    <row r="407" spans="1:2">
      <c r="A407" t="s">
        <v>911</v>
      </c>
      <c r="B407" s="482">
        <v>1</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1</v>
      </c>
    </row>
    <row r="420" spans="1:2">
      <c r="A420" t="s">
        <v>924</v>
      </c>
      <c r="B420" s="482">
        <v>1</v>
      </c>
    </row>
    <row r="421" spans="1:2">
      <c r="A421" t="s">
        <v>925</v>
      </c>
      <c r="B421" s="482">
        <v>1</v>
      </c>
    </row>
    <row r="422" spans="1:2">
      <c r="A422" t="s">
        <v>926</v>
      </c>
      <c r="B422" s="482">
        <v>1</v>
      </c>
    </row>
    <row r="423" spans="1:2">
      <c r="A423" t="s">
        <v>927</v>
      </c>
      <c r="B423" s="482">
        <v>1</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2135</v>
      </c>
      <c r="B433" s="482">
        <v>1</v>
      </c>
    </row>
    <row r="434" spans="1:2">
      <c r="A434" t="s">
        <v>2136</v>
      </c>
      <c r="B434" s="482">
        <v>1</v>
      </c>
    </row>
    <row r="435" spans="1:2">
      <c r="A435" t="s">
        <v>2137</v>
      </c>
      <c r="B435" s="482">
        <v>1</v>
      </c>
    </row>
    <row r="436" spans="1:2">
      <c r="A436" t="s">
        <v>2138</v>
      </c>
      <c r="B436" s="482">
        <v>1</v>
      </c>
    </row>
    <row r="437" spans="1:2">
      <c r="A437" t="s">
        <v>2436</v>
      </c>
      <c r="B437" s="482">
        <v>1</v>
      </c>
    </row>
    <row r="438" spans="1:2">
      <c r="A438" t="s">
        <v>937</v>
      </c>
      <c r="B438" s="482">
        <v>1</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2139</v>
      </c>
      <c r="B452" s="482">
        <v>1</v>
      </c>
    </row>
    <row r="453" spans="1:2">
      <c r="A453" t="s">
        <v>2140</v>
      </c>
      <c r="B453" s="482">
        <v>1</v>
      </c>
    </row>
    <row r="454" spans="1:2">
      <c r="A454" t="s">
        <v>2141</v>
      </c>
      <c r="B454" s="482">
        <v>1</v>
      </c>
    </row>
    <row r="455" spans="1:2">
      <c r="A455" t="s">
        <v>2142</v>
      </c>
      <c r="B455" s="482">
        <v>1</v>
      </c>
    </row>
    <row r="456" spans="1:2">
      <c r="A456" t="s">
        <v>2143</v>
      </c>
      <c r="B456" s="482">
        <v>1</v>
      </c>
    </row>
    <row r="457" spans="1:2">
      <c r="A457" t="s">
        <v>2144</v>
      </c>
      <c r="B457" s="482">
        <v>1</v>
      </c>
    </row>
    <row r="458" spans="1:2">
      <c r="A458" t="s">
        <v>951</v>
      </c>
      <c r="B458" s="482">
        <v>2</v>
      </c>
    </row>
    <row r="459" spans="1:2">
      <c r="A459" t="s">
        <v>2437</v>
      </c>
      <c r="B459" s="482">
        <v>1</v>
      </c>
    </row>
    <row r="460" spans="1:2">
      <c r="A460" t="s">
        <v>952</v>
      </c>
      <c r="B460" s="482">
        <v>1</v>
      </c>
    </row>
    <row r="461" spans="1:2">
      <c r="A461" t="s">
        <v>953</v>
      </c>
      <c r="B461" s="482">
        <v>1</v>
      </c>
    </row>
    <row r="462" spans="1:2">
      <c r="A462" t="s">
        <v>954</v>
      </c>
      <c r="B462" s="482">
        <v>1</v>
      </c>
    </row>
    <row r="463" spans="1:2">
      <c r="A463" t="s">
        <v>955</v>
      </c>
      <c r="B463" s="482">
        <v>1</v>
      </c>
    </row>
    <row r="464" spans="1:2">
      <c r="A464" t="s">
        <v>956</v>
      </c>
      <c r="B464" s="482">
        <v>1</v>
      </c>
    </row>
    <row r="465" spans="1:2">
      <c r="A465" t="s">
        <v>957</v>
      </c>
      <c r="B465" s="482">
        <v>1</v>
      </c>
    </row>
    <row r="466" spans="1:2">
      <c r="A466" t="s">
        <v>958</v>
      </c>
      <c r="B466" s="482">
        <v>1</v>
      </c>
    </row>
    <row r="467" spans="1:2">
      <c r="A467" t="s">
        <v>959</v>
      </c>
      <c r="B467" s="482">
        <v>1</v>
      </c>
    </row>
    <row r="468" spans="1:2">
      <c r="A468" t="s">
        <v>960</v>
      </c>
      <c r="B468" s="482">
        <v>1</v>
      </c>
    </row>
    <row r="469" spans="1:2">
      <c r="A469" t="s">
        <v>961</v>
      </c>
      <c r="B469" s="482">
        <v>1</v>
      </c>
    </row>
    <row r="470" spans="1:2">
      <c r="A470" t="s">
        <v>962</v>
      </c>
      <c r="B470" s="482">
        <v>1</v>
      </c>
    </row>
    <row r="471" spans="1:2">
      <c r="A471" t="s">
        <v>963</v>
      </c>
      <c r="B471" s="482">
        <v>1</v>
      </c>
    </row>
    <row r="472" spans="1:2">
      <c r="A472" t="s">
        <v>964</v>
      </c>
      <c r="B472" s="482">
        <v>1</v>
      </c>
    </row>
    <row r="473" spans="1:2">
      <c r="A473" t="s">
        <v>2145</v>
      </c>
      <c r="B473" s="482">
        <v>1</v>
      </c>
    </row>
    <row r="474" spans="1:2">
      <c r="A474" t="s">
        <v>2146</v>
      </c>
      <c r="B474" s="482">
        <v>1</v>
      </c>
    </row>
    <row r="475" spans="1:2">
      <c r="A475" t="s">
        <v>2147</v>
      </c>
      <c r="B475" s="482">
        <v>1</v>
      </c>
    </row>
    <row r="476" spans="1:2">
      <c r="A476" t="s">
        <v>2148</v>
      </c>
      <c r="B476" s="482">
        <v>1</v>
      </c>
    </row>
    <row r="477" spans="1:2">
      <c r="A477" t="s">
        <v>965</v>
      </c>
      <c r="B477" s="482">
        <v>1</v>
      </c>
    </row>
    <row r="478" spans="1:2">
      <c r="A478" t="s">
        <v>966</v>
      </c>
      <c r="B478" s="482">
        <v>1</v>
      </c>
    </row>
    <row r="479" spans="1:2">
      <c r="A479" t="s">
        <v>967</v>
      </c>
      <c r="B479" s="482">
        <v>1</v>
      </c>
    </row>
    <row r="480" spans="1:2">
      <c r="A480" t="s">
        <v>968</v>
      </c>
      <c r="B480" s="482">
        <v>1</v>
      </c>
    </row>
    <row r="481" spans="1:2">
      <c r="A481" t="s">
        <v>2149</v>
      </c>
      <c r="B481" s="482">
        <v>1</v>
      </c>
    </row>
    <row r="482" spans="1:2">
      <c r="A482" t="s">
        <v>2150</v>
      </c>
      <c r="B482" s="482">
        <v>1</v>
      </c>
    </row>
    <row r="483" spans="1:2">
      <c r="A483" t="s">
        <v>2151</v>
      </c>
      <c r="B483" s="482">
        <v>1</v>
      </c>
    </row>
    <row r="484" spans="1:2">
      <c r="A484" t="s">
        <v>2152</v>
      </c>
      <c r="B484" s="482">
        <v>1</v>
      </c>
    </row>
    <row r="485" spans="1:2">
      <c r="A485" t="s">
        <v>2153</v>
      </c>
      <c r="B485" s="482">
        <v>1</v>
      </c>
    </row>
    <row r="486" spans="1:2">
      <c r="A486" t="s">
        <v>2154</v>
      </c>
      <c r="B486" s="482">
        <v>1</v>
      </c>
    </row>
    <row r="487" spans="1:2">
      <c r="A487" t="s">
        <v>969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2081</v>
      </c>
      <c r="B504" s="482">
        <v>7</v>
      </c>
    </row>
    <row r="505" spans="1:2">
      <c r="A505" t="s">
        <v>2082</v>
      </c>
      <c r="B505" s="482">
        <v>7</v>
      </c>
    </row>
    <row r="506" spans="1:2">
      <c r="A506" t="s">
        <v>2083</v>
      </c>
      <c r="B506" s="482">
        <v>7</v>
      </c>
    </row>
    <row r="507" spans="1:2">
      <c r="A507" t="s">
        <v>2084</v>
      </c>
      <c r="B507" s="482">
        <v>7</v>
      </c>
    </row>
    <row r="508" spans="1:2">
      <c r="A508" t="s">
        <v>2085</v>
      </c>
      <c r="B508" s="482">
        <v>7</v>
      </c>
    </row>
    <row r="509" spans="1:2">
      <c r="A509" t="s">
        <v>2086</v>
      </c>
      <c r="B509" s="482">
        <v>7</v>
      </c>
    </row>
    <row r="510" spans="1:2">
      <c r="A510" t="s">
        <v>2423</v>
      </c>
      <c r="B510" s="482">
        <v>0</v>
      </c>
    </row>
    <row r="511" spans="1:2">
      <c r="A511" t="s">
        <v>2087</v>
      </c>
      <c r="B511" s="482">
        <v>7</v>
      </c>
    </row>
    <row r="512" spans="1:2">
      <c r="A512" t="s">
        <v>2088</v>
      </c>
      <c r="B512" s="482">
        <v>7</v>
      </c>
    </row>
    <row r="513" spans="1:2">
      <c r="A513" t="s">
        <v>2089</v>
      </c>
      <c r="B513" s="482">
        <v>7</v>
      </c>
    </row>
    <row r="514" spans="1:2">
      <c r="A514" t="s">
        <v>2090</v>
      </c>
      <c r="B514" s="482">
        <v>7</v>
      </c>
    </row>
    <row r="515" spans="1:2">
      <c r="A515" t="s">
        <v>2091</v>
      </c>
      <c r="B515" s="482">
        <v>7</v>
      </c>
    </row>
    <row r="516" spans="1:2">
      <c r="A516" t="s">
        <v>2092</v>
      </c>
      <c r="B516" s="482">
        <v>7</v>
      </c>
    </row>
    <row r="517" spans="1:2">
      <c r="A517" t="s">
        <v>2093</v>
      </c>
      <c r="B517" s="482">
        <v>7</v>
      </c>
    </row>
    <row r="518" spans="1:2">
      <c r="A518" t="s">
        <v>2094</v>
      </c>
      <c r="B518" s="482">
        <v>0</v>
      </c>
    </row>
    <row r="519" spans="1:2">
      <c r="A519" t="s">
        <v>2095</v>
      </c>
      <c r="B519" s="482">
        <v>7</v>
      </c>
    </row>
    <row r="520" spans="1:2">
      <c r="A520" t="s">
        <v>2421</v>
      </c>
      <c r="B520" s="482">
        <v>7</v>
      </c>
    </row>
    <row r="521" spans="1:2">
      <c r="A521" t="s">
        <v>2096</v>
      </c>
      <c r="B521" s="482">
        <v>7</v>
      </c>
    </row>
    <row r="522" spans="1:2">
      <c r="A522" t="s">
        <v>2405</v>
      </c>
      <c r="B522" s="482">
        <v>0</v>
      </c>
    </row>
    <row r="523" spans="1:2">
      <c r="A523" t="s">
        <v>2406</v>
      </c>
      <c r="B523" s="482">
        <v>7</v>
      </c>
    </row>
    <row r="524" spans="1:2">
      <c r="A524" t="s">
        <v>2098</v>
      </c>
      <c r="B524" s="482">
        <v>7</v>
      </c>
    </row>
    <row r="525" spans="1:2">
      <c r="A525" t="s">
        <v>2099</v>
      </c>
      <c r="B525" s="482">
        <v>7</v>
      </c>
    </row>
    <row r="526" spans="1:2">
      <c r="A526" t="s">
        <v>2412</v>
      </c>
      <c r="B526" s="482">
        <v>7</v>
      </c>
    </row>
    <row r="527" spans="1:2">
      <c r="A527" t="s">
        <v>2407</v>
      </c>
      <c r="B527" s="482">
        <v>7</v>
      </c>
    </row>
    <row r="528" spans="1:2">
      <c r="A528" t="s">
        <v>2100</v>
      </c>
      <c r="B528" s="482">
        <v>7</v>
      </c>
    </row>
    <row r="529" spans="1:2">
      <c r="A529" t="s">
        <v>2408</v>
      </c>
      <c r="B529" s="482">
        <v>7</v>
      </c>
    </row>
    <row r="530" spans="1:2">
      <c r="A530" t="s">
        <v>2101</v>
      </c>
      <c r="B530" s="482">
        <v>7</v>
      </c>
    </row>
    <row r="531" spans="1:2">
      <c r="A531" t="s">
        <v>2102</v>
      </c>
      <c r="B531" s="482">
        <v>7</v>
      </c>
    </row>
    <row r="532" spans="1:2">
      <c r="A532" t="s">
        <v>2103</v>
      </c>
      <c r="B532" s="482">
        <v>7</v>
      </c>
    </row>
    <row r="533" spans="1:2">
      <c r="A533" t="s">
        <v>2104</v>
      </c>
      <c r="B533" s="482">
        <v>7</v>
      </c>
    </row>
    <row r="534" spans="1:2">
      <c r="A534" t="s">
        <v>2105</v>
      </c>
      <c r="B534" s="482">
        <v>7</v>
      </c>
    </row>
    <row r="535" spans="1:2">
      <c r="A535" t="s">
        <v>2106</v>
      </c>
      <c r="B535" s="482">
        <v>7</v>
      </c>
    </row>
    <row r="536" spans="1:2">
      <c r="A536" t="s">
        <v>2107</v>
      </c>
      <c r="B536" s="482">
        <v>7</v>
      </c>
    </row>
    <row r="537" spans="1:2">
      <c r="A537" t="s">
        <v>2108</v>
      </c>
      <c r="B537" s="482">
        <v>7</v>
      </c>
    </row>
    <row r="538" spans="1:2">
      <c r="A538" t="s">
        <v>2109</v>
      </c>
      <c r="B538" s="482">
        <v>7</v>
      </c>
    </row>
    <row r="539" spans="1:2">
      <c r="A539" t="s">
        <v>2110</v>
      </c>
      <c r="B539" s="482">
        <v>7</v>
      </c>
    </row>
    <row r="540" spans="1:2">
      <c r="A540" t="s">
        <v>2111</v>
      </c>
      <c r="B540" s="482">
        <v>7</v>
      </c>
    </row>
    <row r="541" spans="1:2">
      <c r="A541" t="s">
        <v>2112</v>
      </c>
      <c r="B541" s="482">
        <v>7</v>
      </c>
    </row>
    <row r="542" spans="1:2">
      <c r="A542" t="s">
        <v>2113</v>
      </c>
      <c r="B542" s="482">
        <v>7</v>
      </c>
    </row>
    <row r="543" spans="1:2">
      <c r="A543" t="s">
        <v>2376</v>
      </c>
      <c r="B543" s="482">
        <v>7</v>
      </c>
    </row>
    <row r="544" spans="1:2">
      <c r="A544" t="s">
        <v>2114</v>
      </c>
      <c r="B544" s="482">
        <v>7</v>
      </c>
    </row>
    <row r="545" spans="1:2">
      <c r="A545" t="s">
        <v>2115</v>
      </c>
      <c r="B545" s="482">
        <v>7</v>
      </c>
    </row>
    <row r="546" spans="1:2">
      <c r="A546" t="s">
        <v>2116</v>
      </c>
      <c r="B546" s="482">
        <v>7</v>
      </c>
    </row>
    <row r="547" spans="1:2">
      <c r="A547" t="s">
        <v>2117</v>
      </c>
      <c r="B547" s="482">
        <v>7</v>
      </c>
    </row>
    <row r="548" spans="1:2">
      <c r="A548" t="s">
        <v>2118</v>
      </c>
      <c r="B548" s="482">
        <v>7</v>
      </c>
    </row>
    <row r="549" spans="1:2">
      <c r="A549" t="s">
        <v>2119</v>
      </c>
      <c r="B549" s="482">
        <v>7</v>
      </c>
    </row>
    <row r="550" spans="1:2">
      <c r="A550" t="s">
        <v>2419</v>
      </c>
      <c r="B550" s="482">
        <v>7</v>
      </c>
    </row>
    <row r="551" spans="1:2">
      <c r="A551" t="s">
        <v>2120</v>
      </c>
      <c r="B551" s="482">
        <v>7</v>
      </c>
    </row>
    <row r="552" spans="1:2">
      <c r="A552" t="s">
        <v>2121</v>
      </c>
      <c r="B552" s="482">
        <v>7</v>
      </c>
    </row>
    <row r="553" spans="1:2">
      <c r="A553" t="s">
        <v>2403</v>
      </c>
      <c r="B553" s="482">
        <v>7</v>
      </c>
    </row>
    <row r="554" spans="1:2">
      <c r="A554" t="s">
        <v>2410</v>
      </c>
      <c r="B554" s="482">
        <v>0</v>
      </c>
    </row>
    <row r="555" spans="1:2">
      <c r="A555" t="s">
        <v>2122</v>
      </c>
      <c r="B555" s="482">
        <v>7</v>
      </c>
    </row>
    <row r="556" spans="1:2">
      <c r="A556" t="s">
        <v>2123</v>
      </c>
      <c r="B556" s="482">
        <v>7</v>
      </c>
    </row>
    <row r="557" spans="1:2">
      <c r="A557" t="s">
        <v>2377</v>
      </c>
      <c r="B557" s="482">
        <v>0</v>
      </c>
    </row>
    <row r="558" spans="1:2">
      <c r="A558" t="s">
        <v>2124</v>
      </c>
      <c r="B558" s="482">
        <v>7</v>
      </c>
    </row>
    <row r="559" spans="1:2">
      <c r="A559" t="s">
        <v>2125</v>
      </c>
      <c r="B559" s="482">
        <v>7</v>
      </c>
    </row>
    <row r="560" spans="1:2">
      <c r="A560" t="s">
        <v>2126</v>
      </c>
      <c r="B560" s="482">
        <v>7</v>
      </c>
    </row>
    <row r="561" spans="1:2">
      <c r="A561" t="s">
        <v>2127</v>
      </c>
      <c r="B561" s="482">
        <v>7</v>
      </c>
    </row>
    <row r="562" spans="1:2">
      <c r="A562" t="s">
        <v>2378</v>
      </c>
      <c r="B562" s="482">
        <v>7</v>
      </c>
    </row>
    <row r="563" spans="1:2">
      <c r="A563" t="s">
        <v>2128</v>
      </c>
      <c r="B563" s="482">
        <v>7</v>
      </c>
    </row>
    <row r="564" spans="1:2">
      <c r="A564" t="s">
        <v>2414</v>
      </c>
      <c r="B564" s="482">
        <v>7</v>
      </c>
    </row>
    <row r="565" spans="1:2">
      <c r="A565" t="s">
        <v>2129</v>
      </c>
      <c r="B565" s="482">
        <v>7</v>
      </c>
    </row>
    <row r="566" spans="1:2">
      <c r="A566" t="s">
        <v>2130</v>
      </c>
      <c r="B566" s="482">
        <v>7</v>
      </c>
    </row>
    <row r="567" spans="1:2">
      <c r="A567" t="s">
        <v>2131</v>
      </c>
      <c r="B567" s="482">
        <v>7</v>
      </c>
    </row>
    <row r="568" spans="1:2">
      <c r="A568" t="s">
        <v>2420</v>
      </c>
      <c r="B568" s="482">
        <v>7</v>
      </c>
    </row>
    <row r="569" spans="1:2">
      <c r="A569" t="s">
        <v>2132</v>
      </c>
      <c r="B569" s="482">
        <v>7</v>
      </c>
    </row>
    <row r="570" spans="1:2">
      <c r="A570" t="s">
        <v>2133</v>
      </c>
      <c r="B570" s="482">
        <v>7</v>
      </c>
    </row>
    <row r="571" spans="1:2">
      <c r="A571" t="s">
        <v>2134</v>
      </c>
      <c r="B571" s="482">
        <v>7</v>
      </c>
    </row>
    <row r="572" spans="1:2">
      <c r="A572" t="s">
        <v>986</v>
      </c>
      <c r="B572" s="482">
        <v>1</v>
      </c>
    </row>
    <row r="573" spans="1:2">
      <c r="A573" t="s">
        <v>987</v>
      </c>
      <c r="B573" s="482">
        <v>0</v>
      </c>
    </row>
    <row r="574" spans="1:2">
      <c r="A574" t="s">
        <v>988</v>
      </c>
      <c r="B574" s="482">
        <v>1</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0</v>
      </c>
    </row>
    <row r="589" spans="1:2">
      <c r="A589" t="s">
        <v>1003</v>
      </c>
      <c r="B589" s="482">
        <v>1</v>
      </c>
    </row>
    <row r="590" spans="1:2">
      <c r="A590" t="s">
        <v>1004</v>
      </c>
      <c r="B590" s="482">
        <v>1</v>
      </c>
    </row>
    <row r="591" spans="1:2">
      <c r="A591" t="s">
        <v>1005</v>
      </c>
      <c r="B591" s="482">
        <v>1</v>
      </c>
    </row>
    <row r="592" spans="1:2">
      <c r="A592" t="s">
        <v>1006</v>
      </c>
      <c r="B592" s="482">
        <v>1</v>
      </c>
    </row>
    <row r="593" spans="1:2">
      <c r="A593" t="s">
        <v>1007</v>
      </c>
      <c r="B593" s="482">
        <v>0</v>
      </c>
    </row>
    <row r="594" spans="1:2">
      <c r="A594" t="s">
        <v>1008</v>
      </c>
      <c r="B594" s="482">
        <v>0</v>
      </c>
    </row>
    <row r="595" spans="1:2">
      <c r="A595" t="s">
        <v>1009</v>
      </c>
      <c r="B595" s="482">
        <v>1</v>
      </c>
    </row>
    <row r="596" spans="1:2">
      <c r="A596" t="s">
        <v>1010</v>
      </c>
      <c r="B596" s="482">
        <v>0</v>
      </c>
    </row>
    <row r="597" spans="1:2">
      <c r="A597" t="s">
        <v>1011</v>
      </c>
      <c r="B597" s="482">
        <v>1</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2430</v>
      </c>
      <c r="B606" s="482">
        <v>1</v>
      </c>
    </row>
    <row r="607" spans="1:2">
      <c r="A607" t="s">
        <v>1020</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3</v>
      </c>
    </row>
    <row r="614" spans="1:2">
      <c r="A614" t="s">
        <v>1027</v>
      </c>
      <c r="B614" s="482">
        <v>1</v>
      </c>
    </row>
    <row r="615" spans="1:2">
      <c r="A615" t="s">
        <v>1028</v>
      </c>
      <c r="B615" s="482">
        <v>1</v>
      </c>
    </row>
    <row r="616" spans="1:2">
      <c r="A616" t="s">
        <v>1029</v>
      </c>
      <c r="B616" s="482">
        <v>1</v>
      </c>
    </row>
    <row r="617" spans="1:2">
      <c r="A617" t="s">
        <v>1959</v>
      </c>
      <c r="B617" s="482">
        <v>7</v>
      </c>
    </row>
    <row r="618" spans="1:2">
      <c r="A618" t="s">
        <v>1030</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7</v>
      </c>
    </row>
    <row r="628" spans="1:2">
      <c r="A628" t="s">
        <v>1040</v>
      </c>
      <c r="B628" s="482">
        <v>1</v>
      </c>
    </row>
    <row r="629" spans="1:2">
      <c r="A629" t="s">
        <v>1041</v>
      </c>
      <c r="B629" s="482">
        <v>7</v>
      </c>
    </row>
    <row r="630" spans="1:2">
      <c r="A630" t="s">
        <v>1042</v>
      </c>
      <c r="B630" s="482">
        <v>1</v>
      </c>
    </row>
    <row r="631" spans="1:2">
      <c r="A631" t="s">
        <v>1043</v>
      </c>
      <c r="B631" s="482">
        <v>1</v>
      </c>
    </row>
    <row r="632" spans="1:2">
      <c r="A632" t="s">
        <v>1044</v>
      </c>
      <c r="B632" s="482">
        <v>1</v>
      </c>
    </row>
    <row r="633" spans="1:2">
      <c r="A633" t="s">
        <v>1045</v>
      </c>
      <c r="B633" s="482">
        <v>1</v>
      </c>
    </row>
    <row r="634" spans="1:2">
      <c r="A634" t="s">
        <v>2433</v>
      </c>
      <c r="B634" s="482">
        <v>1</v>
      </c>
    </row>
    <row r="635" spans="1:2">
      <c r="A635" t="s">
        <v>2434</v>
      </c>
      <c r="B635" s="482">
        <v>1</v>
      </c>
    </row>
    <row r="636" spans="1:2">
      <c r="A636" t="s">
        <v>1046</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2426</v>
      </c>
      <c r="B654" s="482">
        <v>1</v>
      </c>
    </row>
    <row r="655" spans="1:2">
      <c r="A655" t="s">
        <v>1064</v>
      </c>
      <c r="B655" s="482">
        <v>1</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2435</v>
      </c>
      <c r="B661" s="482">
        <v>1</v>
      </c>
    </row>
    <row r="662" spans="1:2">
      <c r="A662" t="s">
        <v>1070</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0</v>
      </c>
    </row>
    <row r="689" spans="1:2">
      <c r="A689" t="s">
        <v>1097</v>
      </c>
      <c r="B689" s="482">
        <v>1</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0</v>
      </c>
    </row>
    <row r="705" spans="1:2">
      <c r="A705" t="s">
        <v>1113</v>
      </c>
      <c r="B705" s="482">
        <v>1</v>
      </c>
    </row>
    <row r="706" spans="1:2">
      <c r="A706" t="s">
        <v>1114</v>
      </c>
      <c r="B706" s="482">
        <v>1</v>
      </c>
    </row>
    <row r="707" spans="1:2">
      <c r="A707" t="s">
        <v>1115</v>
      </c>
      <c r="B707" s="482">
        <v>1</v>
      </c>
    </row>
    <row r="708" spans="1:2">
      <c r="A708" t="s">
        <v>2163</v>
      </c>
      <c r="B708" s="482">
        <v>1</v>
      </c>
    </row>
    <row r="709" spans="1:2">
      <c r="A709" t="s">
        <v>1116</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0</v>
      </c>
    </row>
    <row r="721" spans="1:2">
      <c r="A721" t="s">
        <v>1128</v>
      </c>
      <c r="B721" s="482">
        <v>1</v>
      </c>
    </row>
    <row r="722" spans="1:2">
      <c r="A722" t="s">
        <v>1129</v>
      </c>
      <c r="B722" s="482">
        <v>1</v>
      </c>
    </row>
    <row r="723" spans="1:2">
      <c r="A723" t="s">
        <v>1130</v>
      </c>
      <c r="B723" s="482">
        <v>1</v>
      </c>
    </row>
    <row r="724" spans="1:2">
      <c r="A724" t="s">
        <v>2446</v>
      </c>
      <c r="B724" s="482">
        <v>1</v>
      </c>
    </row>
    <row r="725" spans="1:2">
      <c r="A725" t="s">
        <v>1131</v>
      </c>
      <c r="B725" s="482">
        <v>0</v>
      </c>
    </row>
    <row r="726" spans="1:2">
      <c r="A726" t="s">
        <v>1132</v>
      </c>
      <c r="B726" s="482">
        <v>1</v>
      </c>
    </row>
    <row r="727" spans="1:2">
      <c r="A727" t="s">
        <v>1133</v>
      </c>
      <c r="B727" s="482">
        <v>1</v>
      </c>
    </row>
    <row r="728" spans="1:2">
      <c r="A728" t="s">
        <v>1134</v>
      </c>
      <c r="B728" s="482">
        <v>0</v>
      </c>
    </row>
    <row r="729" spans="1:2">
      <c r="A729" t="s">
        <v>1135</v>
      </c>
      <c r="B729" s="482">
        <v>1</v>
      </c>
    </row>
    <row r="730" spans="1:2">
      <c r="A730" t="s">
        <v>1136</v>
      </c>
      <c r="B730" s="482">
        <v>1</v>
      </c>
    </row>
    <row r="731" spans="1:2">
      <c r="A731" t="s">
        <v>1137</v>
      </c>
      <c r="B731" s="482">
        <v>1</v>
      </c>
    </row>
    <row r="732" spans="1:2">
      <c r="A732" t="s">
        <v>1138</v>
      </c>
      <c r="B732" s="482">
        <v>1</v>
      </c>
    </row>
    <row r="733" spans="1:2">
      <c r="A733" t="s">
        <v>1139</v>
      </c>
      <c r="B733" s="482">
        <v>1</v>
      </c>
    </row>
    <row r="734" spans="1:2">
      <c r="A734" t="s">
        <v>1140</v>
      </c>
      <c r="B734" s="482">
        <v>1</v>
      </c>
    </row>
    <row r="735" spans="1:2">
      <c r="A735" t="s">
        <v>1141</v>
      </c>
      <c r="B735" s="482">
        <v>1</v>
      </c>
    </row>
    <row r="736" spans="1:2">
      <c r="A736" t="s">
        <v>2447</v>
      </c>
      <c r="B736" s="482">
        <v>1</v>
      </c>
    </row>
    <row r="737" spans="1:2">
      <c r="A737" t="s">
        <v>1142</v>
      </c>
      <c r="B737" s="482">
        <v>1</v>
      </c>
    </row>
    <row r="738" spans="1:2">
      <c r="A738" t="s">
        <v>1143</v>
      </c>
      <c r="B738" s="482">
        <v>1</v>
      </c>
    </row>
    <row r="739" spans="1:2">
      <c r="A739" t="s">
        <v>1144</v>
      </c>
      <c r="B739" s="482">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72" hidden="1" customWidth="1"/>
    <col min="13" max="13" width="19" style="172" hidden="1" customWidth="1"/>
    <col min="14" max="14" width="19" style="172" customWidth="1"/>
    <col min="15" max="17" width="17.83203125" style="240" customWidth="1"/>
    <col min="18" max="18" width="52.58203125" style="253"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1850</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1851</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8">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5">
      <c r="A15" s="254"/>
      <c r="B15" s="254"/>
      <c r="C15" s="254"/>
      <c r="D15" s="254"/>
      <c r="E15" s="254"/>
      <c r="F15" s="254"/>
      <c r="G15" s="254"/>
      <c r="H15" s="254"/>
      <c r="I15" s="256" t="s">
        <v>1926</v>
      </c>
      <c r="J15" s="256" t="s">
        <v>1926</v>
      </c>
      <c r="K15" s="256" t="s">
        <v>1926</v>
      </c>
      <c r="L15" s="256" t="s">
        <v>1926</v>
      </c>
      <c r="M15" s="256" t="s">
        <v>1926</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8">
      <c r="A16" s="263"/>
      <c r="B16" s="205" t="s">
        <v>8</v>
      </c>
      <c r="C16" s="206" t="s">
        <v>9</v>
      </c>
      <c r="D16" s="206" t="s">
        <v>10</v>
      </c>
      <c r="E16" s="206" t="s">
        <v>11</v>
      </c>
      <c r="F16" s="206" t="s">
        <v>1883</v>
      </c>
      <c r="G16" s="206" t="s">
        <v>12</v>
      </c>
      <c r="H16" s="206" t="s">
        <v>636</v>
      </c>
      <c r="I16" s="308" t="s">
        <v>1852</v>
      </c>
      <c r="J16" s="308" t="s">
        <v>1928</v>
      </c>
      <c r="K16" s="207" t="s">
        <v>1929</v>
      </c>
      <c r="L16" s="308" t="s">
        <v>1911</v>
      </c>
      <c r="M16" s="308" t="s">
        <v>1912</v>
      </c>
      <c r="N16" s="308" t="s">
        <v>1927</v>
      </c>
      <c r="O16" s="206" t="s">
        <v>1909</v>
      </c>
      <c r="P16" s="206" t="s">
        <v>1910</v>
      </c>
      <c r="Q16" s="206" t="s">
        <v>1914</v>
      </c>
      <c r="R16" s="309" t="s">
        <v>22</v>
      </c>
      <c r="S16" s="209" t="s">
        <v>1158</v>
      </c>
      <c r="T16" s="209" t="s">
        <v>1853</v>
      </c>
      <c r="U16" s="209" t="s">
        <v>1854</v>
      </c>
      <c r="V16" s="208" t="s">
        <v>1855</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1884</v>
      </c>
      <c r="G17" s="231">
        <f>COUNTA(G18)</f>
        <v>1</v>
      </c>
      <c r="H17" s="285" t="s">
        <v>1916</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5" outlineLevel="1">
      <c r="A18" s="264" t="str">
        <f>E18&amp;G18</f>
        <v>lt002_instrumentlns_clltrlzd_clssfctn</v>
      </c>
      <c r="B18" s="141" t="s">
        <v>26</v>
      </c>
      <c r="C18" s="137" t="s">
        <v>26</v>
      </c>
      <c r="D18" s="226" t="s">
        <v>40</v>
      </c>
      <c r="E18" s="229" t="s">
        <v>379</v>
      </c>
      <c r="F18" s="229"/>
      <c r="G18" s="229" t="s">
        <v>384</v>
      </c>
      <c r="H18" s="226" t="str">
        <f>VLOOKUP(A18,'2. Status Detalhe Campos FY24'!$A$7:$G$731,7,0)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1908</v>
      </c>
      <c r="G19" s="231">
        <f>COUNTA(G20:G27)</f>
        <v>8</v>
      </c>
      <c r="H19" s="285" t="s">
        <v>1916</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5"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FY24'!$A$7:$G$731,7,0)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1857</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5" outlineLevel="1">
      <c r="A21" s="264" t="str">
        <f t="shared" si="7"/>
        <v>modesg_out_bens_imoveisorigem_scp2_emss</v>
      </c>
      <c r="B21" s="141" t="s">
        <v>26</v>
      </c>
      <c r="C21" s="137" t="s">
        <v>310</v>
      </c>
      <c r="D21" s="226" t="s">
        <v>40</v>
      </c>
      <c r="E21" s="227" t="s">
        <v>311</v>
      </c>
      <c r="F21" s="227"/>
      <c r="G21" s="226" t="s">
        <v>320</v>
      </c>
      <c r="H21" s="226" t="str">
        <f>VLOOKUP(A21,'2. Status Detalhe Campos FY24'!$A$7:$G$731,7,0)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1857</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5" outlineLevel="1">
      <c r="A22" s="264" t="str">
        <f t="shared" si="7"/>
        <v>modesg_out_bens_imoveisorigem_scp3_emss</v>
      </c>
      <c r="B22" s="141" t="s">
        <v>26</v>
      </c>
      <c r="C22" s="137" t="s">
        <v>310</v>
      </c>
      <c r="D22" s="226" t="s">
        <v>40</v>
      </c>
      <c r="E22" s="227" t="s">
        <v>311</v>
      </c>
      <c r="F22" s="227"/>
      <c r="G22" s="226" t="s">
        <v>321</v>
      </c>
      <c r="H22" s="226" t="str">
        <f>VLOOKUP(A22,'2. Status Detalhe Campos FY24'!$A$7:$G$731,7,0)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1857</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5" outlineLevel="1">
      <c r="A23" s="264" t="str">
        <f t="shared" si="7"/>
        <v>modesg_out_bens_imoveisscp1_emss</v>
      </c>
      <c r="B23" s="141" t="s">
        <v>26</v>
      </c>
      <c r="C23" s="137" t="s">
        <v>310</v>
      </c>
      <c r="D23" s="226" t="s">
        <v>40</v>
      </c>
      <c r="E23" s="227" t="s">
        <v>311</v>
      </c>
      <c r="F23" s="227"/>
      <c r="G23" s="226" t="s">
        <v>285</v>
      </c>
      <c r="H23" s="226" t="str">
        <f>VLOOKUP(A23,'2. Status Detalhe Campos FY24'!$A$7:$G$731,7,0)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1857</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5" outlineLevel="1">
      <c r="A24" s="264" t="str">
        <f t="shared" si="7"/>
        <v>modesg_out_bens_imoveisscp2_emss</v>
      </c>
      <c r="B24" s="141" t="s">
        <v>26</v>
      </c>
      <c r="C24" s="137" t="s">
        <v>310</v>
      </c>
      <c r="D24" s="226" t="s">
        <v>40</v>
      </c>
      <c r="E24" s="227" t="s">
        <v>311</v>
      </c>
      <c r="F24" s="227"/>
      <c r="G24" s="226" t="s">
        <v>286</v>
      </c>
      <c r="H24" s="226" t="str">
        <f>VLOOKUP(A24,'2. Status Detalhe Campos FY24'!$A$7:$G$731,7,0)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1857</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5"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FY24'!$A$7:$G$731,7,0)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1857</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5"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FY24'!$A$7:$G$731,7,0)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1857</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5"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FY24'!$A$7:$G$731,7,0)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1857</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1884</v>
      </c>
      <c r="G28" s="231">
        <f>COUNTA(G29:G43)</f>
        <v>15</v>
      </c>
      <c r="H28" s="285" t="s">
        <v>1916</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5"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FY24'!$A$7:$G$731,7,0)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5" outlineLevel="1">
      <c r="A30" s="264" t="str">
        <f t="shared" si="11"/>
        <v>modesg_param_sfcs_taxon_europeiacomite</v>
      </c>
      <c r="B30" s="141" t="s">
        <v>26</v>
      </c>
      <c r="C30" s="137" t="s">
        <v>181</v>
      </c>
      <c r="D30" s="226" t="s">
        <v>40</v>
      </c>
      <c r="E30" s="227" t="s">
        <v>182</v>
      </c>
      <c r="F30" s="227"/>
      <c r="G30" s="226" t="s">
        <v>192</v>
      </c>
      <c r="H30" s="226" t="e">
        <f>VLOOKUP(A30,'2. Status Detalhe Campos FY24'!$A$7:$G$731,7,0)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5" outlineLevel="1">
      <c r="A31" s="264" t="str">
        <f t="shared" si="11"/>
        <v>modesg_param_sfcs_taxon_europeiadata_aprvc</v>
      </c>
      <c r="B31" s="141" t="s">
        <v>26</v>
      </c>
      <c r="C31" s="137" t="s">
        <v>181</v>
      </c>
      <c r="D31" s="226" t="s">
        <v>40</v>
      </c>
      <c r="E31" s="227" t="s">
        <v>182</v>
      </c>
      <c r="F31" s="227"/>
      <c r="G31" s="226" t="s">
        <v>193</v>
      </c>
      <c r="H31" s="226" t="e">
        <f>VLOOKUP(A31,'2. Status Detalhe Campos FY24'!$A$7:$G$731,7,0)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5" outlineLevel="1">
      <c r="A32" s="264" t="str">
        <f t="shared" si="11"/>
        <v>modesg_param_sfcs_taxon_europeiadata_final</v>
      </c>
      <c r="B32" s="141" t="s">
        <v>26</v>
      </c>
      <c r="C32" s="137" t="s">
        <v>181</v>
      </c>
      <c r="D32" s="226" t="s">
        <v>40</v>
      </c>
      <c r="E32" s="227" t="s">
        <v>182</v>
      </c>
      <c r="F32" s="227"/>
      <c r="G32" s="226" t="s">
        <v>194</v>
      </c>
      <c r="H32" s="226" t="e">
        <f>VLOOKUP(A32,'2. Status Detalhe Campos FY24'!$A$7:$G$731,7,0)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5"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FY24'!$A$7:$G$731,7,0)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5"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FY24'!$A$7:$G$731,7,0)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5" outlineLevel="1">
      <c r="A35" s="264" t="str">
        <f t="shared" si="11"/>
        <v>modesg_param_sfcs_taxon_europeiacfinalidad</v>
      </c>
      <c r="B35" s="141" t="s">
        <v>26</v>
      </c>
      <c r="C35" s="137" t="s">
        <v>181</v>
      </c>
      <c r="D35" s="226" t="s">
        <v>40</v>
      </c>
      <c r="E35" s="227" t="s">
        <v>182</v>
      </c>
      <c r="F35" s="227"/>
      <c r="G35" s="226" t="s">
        <v>200</v>
      </c>
      <c r="H35" s="226" t="e">
        <f>VLOOKUP(A35,'2. Status Detalhe Campos FY24'!$A$7:$G$731,7,0)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5"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FY24'!$A$7:$G$731,7,0)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5"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FY24'!$A$7:$G$731,7,0)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5"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FY24'!$A$7:$G$731,7,0)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5"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FY24'!$A$7:$G$731,7,0)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5"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FY24'!$A$7:$G$731,7,0)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5"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FY24'!$A$7:$G$731,7,0)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5" outlineLevel="1">
      <c r="A42" s="264" t="str">
        <f t="shared" si="11"/>
        <v>modesg_param_sfcs_taxon_europeiazcliente</v>
      </c>
      <c r="B42" s="141" t="s">
        <v>26</v>
      </c>
      <c r="C42" s="137" t="s">
        <v>181</v>
      </c>
      <c r="D42" s="226" t="s">
        <v>40</v>
      </c>
      <c r="E42" s="227" t="s">
        <v>182</v>
      </c>
      <c r="F42" s="227"/>
      <c r="G42" s="226" t="s">
        <v>209</v>
      </c>
      <c r="H42" s="226" t="e">
        <f>VLOOKUP(A42,'2. Status Detalhe Campos FY24'!$A$7:$G$731,7,0)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5" outlineLevel="1">
      <c r="A43" s="264" t="str">
        <f t="shared" si="11"/>
        <v>modesg_param_sfcs_taxon_europeiazdeposit</v>
      </c>
      <c r="B43" s="141" t="s">
        <v>26</v>
      </c>
      <c r="C43" s="137" t="s">
        <v>181</v>
      </c>
      <c r="D43" s="226" t="s">
        <v>40</v>
      </c>
      <c r="E43" s="227" t="s">
        <v>182</v>
      </c>
      <c r="F43" s="227"/>
      <c r="G43" s="226" t="s">
        <v>210</v>
      </c>
      <c r="H43" s="226" t="e">
        <f>VLOOKUP(A43,'2. Status Detalhe Campos FY24'!$A$7:$G$731,7,0)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1948</v>
      </c>
      <c r="G44" s="231">
        <f>COUNTA(G45:G45)</f>
        <v>1</v>
      </c>
      <c r="H44" s="284" t="s">
        <v>1945</v>
      </c>
      <c r="I44" s="266" t="s">
        <v>38</v>
      </c>
      <c r="J44" s="267">
        <f>MIN(J45)</f>
        <v>45603</v>
      </c>
      <c r="K44" s="267">
        <f>MIN(K45)</f>
        <v>45604</v>
      </c>
      <c r="L44" s="267">
        <f>MIN(L45:L224)</f>
        <v>45600</v>
      </c>
      <c r="M44" s="267">
        <f>MIN(M45:M224)</f>
        <v>45600</v>
      </c>
      <c r="N44" s="312" t="s">
        <v>1863</v>
      </c>
      <c r="O44" s="304" t="e">
        <f>SUMPRODUCT(O45,U45)/SUM(U45)</f>
        <v>#N/A</v>
      </c>
      <c r="P44" s="304">
        <f ca="1">SUMPRODUCT(P45,U45)/SUM(U45)</f>
        <v>1</v>
      </c>
      <c r="Q44" s="238" t="e">
        <f t="shared" ref="Q44:Q49" ca="1" si="15">O44-P44</f>
        <v>#N/A</v>
      </c>
      <c r="R44" s="252" t="s">
        <v>1964</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5" outlineLevel="1">
      <c r="A45" s="264" t="str">
        <f>E45&amp;G45</f>
        <v>modesg_param_sfcs_taxon_europeianome_ctgr_sfcs</v>
      </c>
      <c r="B45" s="141" t="s">
        <v>26</v>
      </c>
      <c r="C45" s="137" t="s">
        <v>181</v>
      </c>
      <c r="D45" s="226" t="s">
        <v>40</v>
      </c>
      <c r="E45" s="227" t="s">
        <v>182</v>
      </c>
      <c r="F45" s="227"/>
      <c r="G45" s="226" t="s">
        <v>203</v>
      </c>
      <c r="H45" s="226" t="e">
        <f>VLOOKUP(A45,'2. Status Detalhe Campos FY24'!$A$7:$G$731,7,0)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5">
      <c r="A46" s="264"/>
      <c r="B46" s="141" t="s">
        <v>26</v>
      </c>
      <c r="C46" s="137" t="s">
        <v>310</v>
      </c>
      <c r="D46" s="133"/>
      <c r="E46" s="230" t="s">
        <v>331</v>
      </c>
      <c r="F46" s="230" t="s">
        <v>1884</v>
      </c>
      <c r="G46" s="231">
        <f>COUNTA(G47:G49)</f>
        <v>3</v>
      </c>
      <c r="H46" s="285" t="s">
        <v>1916</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5" outlineLevel="1">
      <c r="A47" s="264" t="str">
        <f>E47&amp;G47</f>
        <v>modesg_out_emss_vclscnsm_co2</v>
      </c>
      <c r="B47" s="141" t="s">
        <v>26</v>
      </c>
      <c r="C47" s="137" t="s">
        <v>310</v>
      </c>
      <c r="D47" s="226" t="s">
        <v>40</v>
      </c>
      <c r="E47" s="227" t="s">
        <v>331</v>
      </c>
      <c r="F47" s="227"/>
      <c r="G47" s="226" t="s">
        <v>188</v>
      </c>
      <c r="H47" s="226" t="str">
        <f>VLOOKUP(A47,'2. Status Detalhe Campos FY24'!$A$7:$G$731,7,0)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1857</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5" outlineLevel="1">
      <c r="A48" s="264" t="str">
        <f>E48&amp;G48</f>
        <v>modesg_out_emss_vclsorigem_scp3_emss</v>
      </c>
      <c r="B48" s="141" t="s">
        <v>26</v>
      </c>
      <c r="C48" s="137" t="s">
        <v>310</v>
      </c>
      <c r="D48" s="226" t="s">
        <v>40</v>
      </c>
      <c r="E48" s="227" t="s">
        <v>331</v>
      </c>
      <c r="F48" s="227"/>
      <c r="G48" s="226" t="s">
        <v>321</v>
      </c>
      <c r="H48" s="226" t="str">
        <f>VLOOKUP(A48,'2. Status Detalhe Campos FY24'!$A$7:$G$731,7,0)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1857</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5" outlineLevel="1">
      <c r="A49" s="264" t="str">
        <f>E49&amp;G49</f>
        <v>modesg_out_emss_vclsscp3_emss</v>
      </c>
      <c r="B49" s="141" t="s">
        <v>26</v>
      </c>
      <c r="C49" s="137" t="s">
        <v>310</v>
      </c>
      <c r="D49" s="226" t="s">
        <v>40</v>
      </c>
      <c r="E49" s="227" t="s">
        <v>331</v>
      </c>
      <c r="F49" s="227"/>
      <c r="G49" s="226" t="s">
        <v>287</v>
      </c>
      <c r="H49" s="226" t="str">
        <f>VLOOKUP(A49,'2. Status Detalhe Campos FY24'!$A$7:$G$731,7,0)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1857</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1861</v>
      </c>
      <c r="F50" s="230" t="s">
        <v>1908</v>
      </c>
      <c r="G50" s="231">
        <f>COUNTA(G51:G60)</f>
        <v>10</v>
      </c>
      <c r="H50" s="285" t="s">
        <v>1916</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1925</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5" outlineLevel="1">
      <c r="A51" s="264" t="str">
        <f t="shared" ref="A51:A60" si="17">E51&amp;G51</f>
        <v>lt827_mthd_usd_instrmntambito</v>
      </c>
      <c r="B51" s="141" t="s">
        <v>26</v>
      </c>
      <c r="C51" s="137" t="s">
        <v>26</v>
      </c>
      <c r="D51" s="226" t="s">
        <v>40</v>
      </c>
      <c r="E51" s="229" t="s">
        <v>1861</v>
      </c>
      <c r="F51" s="229"/>
      <c r="G51" s="229" t="s">
        <v>390</v>
      </c>
      <c r="H51" s="226" t="str">
        <f>VLOOKUP(A51,'2. Status Detalhe Campos FY24'!$A$7:$G$731,7,0)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5" outlineLevel="1">
      <c r="A52" s="264" t="str">
        <f t="shared" si="17"/>
        <v>lt827_mthd_usd_instrmntref_date</v>
      </c>
      <c r="B52" s="141" t="s">
        <v>26</v>
      </c>
      <c r="C52" s="137" t="s">
        <v>26</v>
      </c>
      <c r="D52" s="226" t="s">
        <v>40</v>
      </c>
      <c r="E52" s="229" t="s">
        <v>1861</v>
      </c>
      <c r="F52" s="229"/>
      <c r="G52" s="229" t="s">
        <v>208</v>
      </c>
      <c r="H52" s="226" t="str">
        <f>VLOOKUP(A52,'2. Status Detalhe Campos FY24'!$A$7:$G$731,7,0)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5" outlineLevel="1">
      <c r="A53" s="264" t="str">
        <f t="shared" si="17"/>
        <v>lt827_mthd_usd_instrmntordem</v>
      </c>
      <c r="B53" s="141" t="s">
        <v>26</v>
      </c>
      <c r="C53" s="137" t="s">
        <v>26</v>
      </c>
      <c r="D53" s="226" t="s">
        <v>40</v>
      </c>
      <c r="E53" s="229" t="s">
        <v>1861</v>
      </c>
      <c r="F53" s="229"/>
      <c r="G53" s="229" t="s">
        <v>211</v>
      </c>
      <c r="H53" s="226" t="str">
        <f>VLOOKUP(A53,'2. Status Detalhe Campos FY24'!$A$7:$G$731,7,0)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5" outlineLevel="1">
      <c r="A54" s="264" t="str">
        <f t="shared" si="17"/>
        <v>lt827_mthd_usd_instrmnttabela</v>
      </c>
      <c r="B54" s="141" t="s">
        <v>26</v>
      </c>
      <c r="C54" s="137" t="s">
        <v>26</v>
      </c>
      <c r="D54" s="226" t="s">
        <v>40</v>
      </c>
      <c r="E54" s="229" t="s">
        <v>1861</v>
      </c>
      <c r="F54" s="229"/>
      <c r="G54" s="229" t="s">
        <v>391</v>
      </c>
      <c r="H54" s="226" t="str">
        <f>VLOOKUP(A54,'2. Status Detalhe Campos FY24'!$A$7:$G$731,7,0)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5" outlineLevel="1">
      <c r="A55" s="264" t="str">
        <f t="shared" si="17"/>
        <v>lt827_mthd_usd_instrmntorigem_scp1_emss</v>
      </c>
      <c r="B55" s="141" t="s">
        <v>26</v>
      </c>
      <c r="C55" s="137" t="s">
        <v>26</v>
      </c>
      <c r="D55" s="226" t="s">
        <v>40</v>
      </c>
      <c r="E55" s="229" t="s">
        <v>1861</v>
      </c>
      <c r="F55" s="229"/>
      <c r="G55" s="229" t="s">
        <v>319</v>
      </c>
      <c r="H55" s="226" t="str">
        <f>VLOOKUP(A55,'2. Status Detalhe Campos FY24'!$A$7:$G$731,7,0)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5" outlineLevel="1">
      <c r="A56" s="264" t="str">
        <f t="shared" si="17"/>
        <v>lt827_mthd_usd_instrmntorigem_scp2_emss</v>
      </c>
      <c r="B56" s="141" t="s">
        <v>26</v>
      </c>
      <c r="C56" s="137" t="s">
        <v>26</v>
      </c>
      <c r="D56" s="226" t="s">
        <v>40</v>
      </c>
      <c r="E56" s="229" t="s">
        <v>1861</v>
      </c>
      <c r="F56" s="229"/>
      <c r="G56" s="229" t="s">
        <v>320</v>
      </c>
      <c r="H56" s="226" t="str">
        <f>VLOOKUP(A56,'2. Status Detalhe Campos FY24'!$A$7:$G$731,7,0)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5" outlineLevel="1">
      <c r="A57" s="264" t="str">
        <f t="shared" si="17"/>
        <v>lt827_mthd_usd_instrmntorigem_scp3_emss</v>
      </c>
      <c r="B57" s="141" t="s">
        <v>26</v>
      </c>
      <c r="C57" s="137" t="s">
        <v>26</v>
      </c>
      <c r="D57" s="226" t="s">
        <v>40</v>
      </c>
      <c r="E57" s="229" t="s">
        <v>1861</v>
      </c>
      <c r="F57" s="229"/>
      <c r="G57" s="229" t="s">
        <v>321</v>
      </c>
      <c r="H57" s="226" t="str">
        <f>VLOOKUP(A57,'2. Status Detalhe Campos FY24'!$A$7:$G$731,7,0)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5" outlineLevel="1">
      <c r="A58" s="264" t="str">
        <f t="shared" si="17"/>
        <v>lt827_mthd_usd_instrmntmthd_usd_instrmnt_scp_1</v>
      </c>
      <c r="B58" s="141" t="s">
        <v>26</v>
      </c>
      <c r="C58" s="137" t="s">
        <v>26</v>
      </c>
      <c r="D58" s="226" t="s">
        <v>40</v>
      </c>
      <c r="E58" s="229" t="s">
        <v>1861</v>
      </c>
      <c r="F58" s="229"/>
      <c r="G58" s="229" t="s">
        <v>385</v>
      </c>
      <c r="H58" s="226" t="str">
        <f>VLOOKUP(A58,'2. Status Detalhe Campos FY24'!$A$7:$G$731,7,0)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5" outlineLevel="1">
      <c r="A59" s="264" t="str">
        <f t="shared" si="17"/>
        <v>lt827_mthd_usd_instrmntmthd_usd_instrmnt_scp_2</v>
      </c>
      <c r="B59" s="141" t="s">
        <v>26</v>
      </c>
      <c r="C59" s="137" t="s">
        <v>26</v>
      </c>
      <c r="D59" s="226" t="s">
        <v>40</v>
      </c>
      <c r="E59" s="229" t="s">
        <v>1861</v>
      </c>
      <c r="F59" s="229"/>
      <c r="G59" s="229" t="s">
        <v>386</v>
      </c>
      <c r="H59" s="226" t="str">
        <f>VLOOKUP(A59,'2. Status Detalhe Campos FY24'!$A$7:$G$731,7,0)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5" outlineLevel="1">
      <c r="A60" s="264" t="str">
        <f t="shared" si="17"/>
        <v>lt827_mthd_usd_instrmntmthd_usd_instrmnt_scp_3</v>
      </c>
      <c r="B60" s="141" t="s">
        <v>26</v>
      </c>
      <c r="C60" s="137" t="s">
        <v>26</v>
      </c>
      <c r="D60" s="226" t="s">
        <v>40</v>
      </c>
      <c r="E60" s="229" t="s">
        <v>1861</v>
      </c>
      <c r="F60" s="229"/>
      <c r="G60" s="229" t="s">
        <v>387</v>
      </c>
      <c r="H60" s="226" t="str">
        <f>VLOOKUP(A60,'2. Status Detalhe Campos FY24'!$A$7:$G$731,7,0)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1884</v>
      </c>
      <c r="G61" s="231">
        <f>COUNTA(G62:G76)</f>
        <v>15</v>
      </c>
      <c r="H61" s="285" t="s">
        <v>1916</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1925</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5"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FY24'!$A$7:$G$731,7,0)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5" outlineLevel="1">
      <c r="A63" s="264" t="str">
        <f t="shared" si="22"/>
        <v>lt003_entitytxnmy_elgbl_trnvr_ccm</v>
      </c>
      <c r="B63" s="141" t="s">
        <v>26</v>
      </c>
      <c r="C63" s="137" t="s">
        <v>26</v>
      </c>
      <c r="D63" s="226" t="s">
        <v>40</v>
      </c>
      <c r="E63" s="229" t="s">
        <v>335</v>
      </c>
      <c r="F63" s="229"/>
      <c r="G63" s="229" t="s">
        <v>339</v>
      </c>
      <c r="H63" s="226" t="str">
        <f>VLOOKUP(A63,'2. Status Detalhe Campos FY24'!$A$7:$G$731,7,0)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5" outlineLevel="1">
      <c r="A64" s="264" t="str">
        <f t="shared" si="22"/>
        <v>lt003_entitytxnmy_elgbl_capex_cca</v>
      </c>
      <c r="B64" s="141" t="s">
        <v>26</v>
      </c>
      <c r="C64" s="137" t="s">
        <v>26</v>
      </c>
      <c r="D64" s="226" t="s">
        <v>40</v>
      </c>
      <c r="E64" s="229" t="s">
        <v>335</v>
      </c>
      <c r="F64" s="229"/>
      <c r="G64" s="229" t="s">
        <v>340</v>
      </c>
      <c r="H64" s="226" t="str">
        <f>VLOOKUP(A64,'2. Status Detalhe Campos FY24'!$A$7:$G$731,7,0)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5" outlineLevel="1">
      <c r="A65" s="264" t="str">
        <f t="shared" si="22"/>
        <v>lt003_entitytxnmy_elgbl_trnvr_cca</v>
      </c>
      <c r="B65" s="141" t="s">
        <v>26</v>
      </c>
      <c r="C65" s="137" t="s">
        <v>26</v>
      </c>
      <c r="D65" s="226" t="s">
        <v>40</v>
      </c>
      <c r="E65" s="229" t="s">
        <v>335</v>
      </c>
      <c r="F65" s="229"/>
      <c r="G65" s="229" t="s">
        <v>341</v>
      </c>
      <c r="H65" s="226" t="str">
        <f>VLOOKUP(A65,'2. Status Detalhe Campos FY24'!$A$7:$G$731,7,0)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5" outlineLevel="1">
      <c r="A66" s="264" t="str">
        <f t="shared" si="22"/>
        <v>lt003_entityenblng_capex_ccm</v>
      </c>
      <c r="B66" s="141" t="s">
        <v>26</v>
      </c>
      <c r="C66" s="137" t="s">
        <v>26</v>
      </c>
      <c r="D66" s="226" t="s">
        <v>40</v>
      </c>
      <c r="E66" s="229" t="s">
        <v>335</v>
      </c>
      <c r="F66" s="229"/>
      <c r="G66" s="229" t="s">
        <v>342</v>
      </c>
      <c r="H66" s="226" t="str">
        <f>VLOOKUP(A66,'2. Status Detalhe Campos FY24'!$A$7:$G$731,7,0)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5" outlineLevel="1">
      <c r="A67" s="264" t="str">
        <f t="shared" si="22"/>
        <v>lt003_entityenblng_capex_cca</v>
      </c>
      <c r="B67" s="141" t="s">
        <v>26</v>
      </c>
      <c r="C67" s="137" t="s">
        <v>26</v>
      </c>
      <c r="D67" s="226" t="s">
        <v>40</v>
      </c>
      <c r="E67" s="229" t="s">
        <v>335</v>
      </c>
      <c r="F67" s="229"/>
      <c r="G67" s="229" t="s">
        <v>343</v>
      </c>
      <c r="H67" s="226" t="str">
        <f>VLOOKUP(A67,'2. Status Detalhe Campos FY24'!$A$7:$G$731,7,0)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5" outlineLevel="1">
      <c r="A68" s="264" t="str">
        <f t="shared" si="22"/>
        <v>lt003_entitytrnstnl_capex</v>
      </c>
      <c r="B68" s="141" t="s">
        <v>26</v>
      </c>
      <c r="C68" s="137" t="s">
        <v>26</v>
      </c>
      <c r="D68" s="226" t="s">
        <v>40</v>
      </c>
      <c r="E68" s="229" t="s">
        <v>335</v>
      </c>
      <c r="F68" s="229"/>
      <c r="G68" s="229" t="s">
        <v>344</v>
      </c>
      <c r="H68" s="226" t="str">
        <f>VLOOKUP(A68,'2. Status Detalhe Campos FY24'!$A$7:$G$731,7,0)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5" outlineLevel="1">
      <c r="A69" s="264" t="str">
        <f t="shared" si="22"/>
        <v>lt003_entitypure_capex_ccm</v>
      </c>
      <c r="B69" s="141" t="s">
        <v>26</v>
      </c>
      <c r="C69" s="137" t="s">
        <v>26</v>
      </c>
      <c r="D69" s="226" t="s">
        <v>40</v>
      </c>
      <c r="E69" s="229" t="s">
        <v>335</v>
      </c>
      <c r="F69" s="229"/>
      <c r="G69" s="229" t="s">
        <v>345</v>
      </c>
      <c r="H69" s="226" t="str">
        <f>VLOOKUP(A69,'2. Status Detalhe Campos FY24'!$A$7:$G$731,7,0)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5" outlineLevel="1">
      <c r="A70" s="264" t="str">
        <f t="shared" si="22"/>
        <v>lt003_entityenblng_trnvr_ccm</v>
      </c>
      <c r="B70" s="141" t="s">
        <v>26</v>
      </c>
      <c r="C70" s="137" t="s">
        <v>26</v>
      </c>
      <c r="D70" s="226" t="s">
        <v>40</v>
      </c>
      <c r="E70" s="229" t="s">
        <v>335</v>
      </c>
      <c r="F70" s="229"/>
      <c r="G70" s="229" t="s">
        <v>347</v>
      </c>
      <c r="H70" s="226" t="str">
        <f>VLOOKUP(A70,'2. Status Detalhe Campos FY24'!$A$7:$G$731,7,0)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5" outlineLevel="1">
      <c r="A71" s="264" t="str">
        <f t="shared" si="22"/>
        <v>lt003_entityenblng_trnvr_cca</v>
      </c>
      <c r="B71" s="141" t="s">
        <v>26</v>
      </c>
      <c r="C71" s="137" t="s">
        <v>26</v>
      </c>
      <c r="D71" s="226" t="s">
        <v>40</v>
      </c>
      <c r="E71" s="229" t="s">
        <v>335</v>
      </c>
      <c r="F71" s="229"/>
      <c r="G71" s="229" t="s">
        <v>348</v>
      </c>
      <c r="H71" s="226" t="str">
        <f>VLOOKUP(A71,'2. Status Detalhe Campos FY24'!$A$7:$G$731,7,0)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5" outlineLevel="1">
      <c r="A72" s="264" t="str">
        <f t="shared" si="22"/>
        <v>lt003_entitytrnstnl_trnvr</v>
      </c>
      <c r="B72" s="141" t="s">
        <v>26</v>
      </c>
      <c r="C72" s="137" t="s">
        <v>26</v>
      </c>
      <c r="D72" s="226" t="s">
        <v>40</v>
      </c>
      <c r="E72" s="229" t="s">
        <v>335</v>
      </c>
      <c r="F72" s="229"/>
      <c r="G72" s="229" t="s">
        <v>349</v>
      </c>
      <c r="H72" s="226" t="str">
        <f>VLOOKUP(A72,'2. Status Detalhe Campos FY24'!$A$7:$G$731,7,0)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5" outlineLevel="1">
      <c r="A73" s="264" t="str">
        <f t="shared" si="22"/>
        <v>lt003_entitypure_trnvr_ccm</v>
      </c>
      <c r="B73" s="141" t="s">
        <v>26</v>
      </c>
      <c r="C73" s="137" t="s">
        <v>26</v>
      </c>
      <c r="D73" s="226" t="s">
        <v>40</v>
      </c>
      <c r="E73" s="229" t="s">
        <v>335</v>
      </c>
      <c r="F73" s="229"/>
      <c r="G73" s="229" t="s">
        <v>350</v>
      </c>
      <c r="H73" s="226" t="str">
        <f>VLOOKUP(A73,'2. Status Detalhe Campos FY24'!$A$7:$G$731,7,0)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5" outlineLevel="1">
      <c r="A74" s="264" t="str">
        <f t="shared" si="22"/>
        <v>lt003_entitypure_trnvr_cca</v>
      </c>
      <c r="B74" s="141" t="s">
        <v>26</v>
      </c>
      <c r="C74" s="137" t="s">
        <v>26</v>
      </c>
      <c r="D74" s="226" t="s">
        <v>40</v>
      </c>
      <c r="E74" s="229" t="s">
        <v>335</v>
      </c>
      <c r="F74" s="229"/>
      <c r="G74" s="229" t="s">
        <v>351</v>
      </c>
      <c r="H74" s="226" t="str">
        <f>VLOOKUP(A74,'2. Status Detalhe Campos FY24'!$A$7:$G$731,7,0)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5"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FY24'!$A$7:$G$731,7,0)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5" outlineLevel="1">
      <c r="A76" s="264" t="str">
        <f>E76&amp;G76</f>
        <v>lt003_entitypst_cd</v>
      </c>
      <c r="B76" s="141" t="s">
        <v>26</v>
      </c>
      <c r="C76" s="137" t="s">
        <v>26</v>
      </c>
      <c r="D76" s="226" t="s">
        <v>40</v>
      </c>
      <c r="E76" s="229" t="s">
        <v>335</v>
      </c>
      <c r="F76" s="229"/>
      <c r="G76" s="229" t="s">
        <v>359</v>
      </c>
      <c r="H76" s="226" t="str">
        <f>VLOOKUP(A76,'2. Status Detalhe Campos FY24'!$A$7:$G$731,7,0)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1221</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1905</v>
      </c>
      <c r="G77" s="231">
        <f>COUNTA(G78:G79)</f>
        <v>2</v>
      </c>
      <c r="H77" s="285" t="s">
        <v>1916</v>
      </c>
      <c r="I77" s="268">
        <f>MAX(I78:I79)</f>
        <v>45595</v>
      </c>
      <c r="J77" s="267">
        <f>MIN(J78:J79)</f>
        <v>45611</v>
      </c>
      <c r="K77" s="267">
        <f>MIN(K78:K79)</f>
        <v>45611</v>
      </c>
      <c r="L77" s="267">
        <f>MIN(L78:L79)</f>
        <v>45614</v>
      </c>
      <c r="M77" s="268">
        <f>MAX(M78:M79)</f>
        <v>45621</v>
      </c>
      <c r="N77" s="312">
        <f t="array" ref="N77">MAX(IF(W77:CI77&gt;0,$W$16:$CI$16))</f>
        <v>45625</v>
      </c>
      <c r="O77" s="311" t="e">
        <f>SUMPRODUCT(O78:O79,U78:U79)/SUM(U78:U79)</f>
        <v>#N/A</v>
      </c>
      <c r="P77" s="311">
        <f ca="1">SUMPRODUCT(P78:P79,U78:U79)/SUM(U78:U79)</f>
        <v>1</v>
      </c>
      <c r="Q77" s="246" t="e">
        <f ca="1">O77-P77</f>
        <v>#N/A</v>
      </c>
      <c r="R77" s="252" t="s">
        <v>1925</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5" outlineLevel="1">
      <c r="A78" s="264" t="str">
        <f>E78&amp;G78</f>
        <v>lt002_instrumentrsk_mtgtd_cct</v>
      </c>
      <c r="B78" s="141" t="s">
        <v>26</v>
      </c>
      <c r="C78" s="137" t="s">
        <v>26</v>
      </c>
      <c r="D78" s="226" t="s">
        <v>40</v>
      </c>
      <c r="E78" s="229" t="s">
        <v>379</v>
      </c>
      <c r="F78" s="229"/>
      <c r="G78" s="229" t="s">
        <v>380</v>
      </c>
      <c r="H78" s="226" t="str">
        <f>VLOOKUP(A78,'2. Status Detalhe Campos FY24'!$A$7:$G$731,7,0)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5" outlineLevel="1">
      <c r="A79" s="264" t="str">
        <f>E79&amp;G79</f>
        <v>lt002_instrumentsstnbl_ctgry_txnmy</v>
      </c>
      <c r="B79" s="141" t="s">
        <v>26</v>
      </c>
      <c r="C79" s="137" t="s">
        <v>26</v>
      </c>
      <c r="D79" s="226" t="s">
        <v>40</v>
      </c>
      <c r="E79" s="229" t="s">
        <v>379</v>
      </c>
      <c r="F79" s="229"/>
      <c r="G79" s="229" t="s">
        <v>388</v>
      </c>
      <c r="H79" s="226" t="e">
        <f>VLOOKUP(A79,'2. Status Detalhe Campos FY24'!$A$7:$G$731,7,0)</f>
        <v>#N/A</v>
      </c>
      <c r="I79" s="313">
        <v>45590</v>
      </c>
      <c r="J79" s="313">
        <v>45611</v>
      </c>
      <c r="K79" s="313">
        <v>45611</v>
      </c>
      <c r="L79" s="280">
        <f t="array" ref="L79">MIN(IF(W79:CI79&gt;0,$W$16:$CI$16))</f>
        <v>45614</v>
      </c>
      <c r="M79" s="281">
        <f t="array" ref="M79">MAX(IF(W79:CI79&gt;0,$W$16:$CI$16))</f>
        <v>45614</v>
      </c>
      <c r="N79" s="281"/>
      <c r="O79" s="239" t="e">
        <f>VLOOKUP(H79,Auxiliar!$B$16:$E$24,4,0)</f>
        <v>#N/A</v>
      </c>
      <c r="P79" s="239">
        <f ca="1">IF(TODAY()&lt;=L79,0,MIN((TODAY()-L79)/(M79-L79+1),100%))</f>
        <v>1</v>
      </c>
      <c r="Q79" s="238" t="e">
        <f ca="1">O79-P79</f>
        <v>#N/A</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5" customHeight="1" collapsed="1">
      <c r="A80" s="264"/>
      <c r="B80" s="141" t="s">
        <v>26</v>
      </c>
      <c r="C80" s="137" t="s">
        <v>26</v>
      </c>
      <c r="D80" s="133"/>
      <c r="E80" s="232" t="s">
        <v>368</v>
      </c>
      <c r="F80" s="230" t="s">
        <v>1884</v>
      </c>
      <c r="G80" s="231">
        <f>COUNTA(G81:G82)</f>
        <v>2</v>
      </c>
      <c r="H80" s="285" t="s">
        <v>1916</v>
      </c>
      <c r="I80" s="266" t="s">
        <v>38</v>
      </c>
      <c r="J80" s="267">
        <f>MIN(J81:J82)</f>
        <v>45596</v>
      </c>
      <c r="K80" s="267">
        <f>MIN(K81:K82)</f>
        <v>45596</v>
      </c>
      <c r="L80" s="267">
        <f>MIN(L81:L82)</f>
        <v>45629</v>
      </c>
      <c r="M80" s="268">
        <f>MAX(M81:M82)</f>
        <v>45630</v>
      </c>
      <c r="N80" s="312">
        <f t="array" ref="N80">MAX(IF(W80:CI80&gt;0,$W$16:$CI$16))</f>
        <v>45632</v>
      </c>
      <c r="O80" s="311">
        <f>SUMPRODUCT(O81:O82,U81:U82)/SUM(U81:U82)</f>
        <v>1</v>
      </c>
      <c r="P80" s="311">
        <f ca="1">SUMPRODUCT(P81:P82,U81:U82)/SUM(U81:U82)</f>
        <v>1</v>
      </c>
      <c r="Q80" s="303">
        <f t="shared" ref="Q80:Q127" ca="1" si="26">O80-P80</f>
        <v>0</v>
      </c>
      <c r="R80" s="329" t="s">
        <v>1936</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5" outlineLevel="1">
      <c r="A81" s="264" t="str">
        <f>E81&amp;G81</f>
        <v>lt004_protectionflg_act_physcl_rsk</v>
      </c>
      <c r="B81" s="141" t="s">
        <v>26</v>
      </c>
      <c r="C81" s="137" t="s">
        <v>26</v>
      </c>
      <c r="D81" s="226" t="s">
        <v>40</v>
      </c>
      <c r="E81" s="229" t="s">
        <v>368</v>
      </c>
      <c r="F81" s="229"/>
      <c r="G81" s="233" t="s">
        <v>357</v>
      </c>
      <c r="H81" s="226" t="str">
        <f>VLOOKUP(A81,'2. Status Detalhe Campos FY24'!$A$7:$G$731,7,0)</f>
        <v>1. Concluído</v>
      </c>
      <c r="I81" s="314" t="s">
        <v>38</v>
      </c>
      <c r="J81" s="313">
        <v>45596</v>
      </c>
      <c r="K81" s="313">
        <v>45596</v>
      </c>
      <c r="L81" s="280">
        <f t="array" ref="L81">MIN(IF(W81:CI81&gt;0,$W$16:$CI$16))</f>
        <v>45629</v>
      </c>
      <c r="M81" s="281">
        <f t="array" ref="M81">MAX(IF(W81:CI81&gt;0,$W$16:$CI$16))</f>
        <v>45629</v>
      </c>
      <c r="N81" s="281"/>
      <c r="O81" s="239">
        <f>VLOOKUP(H81,Auxiliar!$B$16:$E$24,4,0)</f>
        <v>1</v>
      </c>
      <c r="P81" s="239">
        <f ca="1">IF(TODAY()&lt;=L81,0,MIN((TODAY()-L81)/(M81-L81+1),100%))</f>
        <v>1</v>
      </c>
      <c r="Q81" s="239">
        <f t="shared" ca="1" si="26"/>
        <v>0</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5" outlineLevel="1">
      <c r="A82" s="264" t="str">
        <f>E82&amp;G82</f>
        <v>lt004_protectionflg_chrnc_physcl_rsk</v>
      </c>
      <c r="B82" s="141" t="s">
        <v>26</v>
      </c>
      <c r="C82" s="137" t="s">
        <v>26</v>
      </c>
      <c r="D82" s="226" t="s">
        <v>40</v>
      </c>
      <c r="E82" s="229" t="s">
        <v>368</v>
      </c>
      <c r="F82" s="229"/>
      <c r="G82" s="233" t="s">
        <v>358</v>
      </c>
      <c r="H82" s="226" t="str">
        <f>VLOOKUP(A82,'2. Status Detalhe Campos FY24'!$A$7:$G$731,7,0)</f>
        <v>1. Concluído</v>
      </c>
      <c r="I82" s="314" t="s">
        <v>38</v>
      </c>
      <c r="J82" s="313">
        <v>45596</v>
      </c>
      <c r="K82" s="313">
        <v>45596</v>
      </c>
      <c r="L82" s="280">
        <f t="array" ref="L82">MIN(IF(W82:CI82&gt;0,$W$16:$CI$16))</f>
        <v>45630</v>
      </c>
      <c r="M82" s="281">
        <f t="array" ref="M82">MAX(IF(W82:CI82&gt;0,$W$16:$CI$16))</f>
        <v>45630</v>
      </c>
      <c r="N82" s="281"/>
      <c r="O82" s="239">
        <f>VLOOKUP(H82,Auxiliar!$B$16:$E$24,4,0)</f>
        <v>1</v>
      </c>
      <c r="P82" s="239">
        <f ca="1">IF(TODAY()&lt;=L82,0,MIN((TODAY()-L82)/(M82-L82+1),100%))</f>
        <v>1</v>
      </c>
      <c r="Q82" s="239">
        <f t="shared" ca="1" si="26"/>
        <v>0</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5" collapsed="1">
      <c r="A83" s="264"/>
      <c r="B83" s="141" t="s">
        <v>26</v>
      </c>
      <c r="C83" s="137" t="s">
        <v>26</v>
      </c>
      <c r="D83" s="226"/>
      <c r="E83" s="232" t="s">
        <v>368</v>
      </c>
      <c r="F83" s="230" t="s">
        <v>1924</v>
      </c>
      <c r="G83" s="231">
        <f>COUNTA(G84:G85)</f>
        <v>2</v>
      </c>
      <c r="H83" s="285" t="s">
        <v>1916</v>
      </c>
      <c r="I83" s="268">
        <f>MAX(I84:I85)</f>
        <v>45635</v>
      </c>
      <c r="J83" s="267">
        <f>MIN(J84:J85)</f>
        <v>0</v>
      </c>
      <c r="K83" s="267">
        <f>MIN(K84:K85)</f>
        <v>0</v>
      </c>
      <c r="L83" s="267">
        <f>MIN(L84:L85)</f>
        <v>45628</v>
      </c>
      <c r="M83" s="268">
        <f>MAX(M84:M85)</f>
        <v>45639</v>
      </c>
      <c r="N83" s="312">
        <f t="array" ref="N83">MAX(IF(W83:CI83&gt;0,$W$16:$CI$16))</f>
        <v>45667</v>
      </c>
      <c r="O83" s="311">
        <f>SUMPRODUCT(O84:O85,U84:U85)/SUM(U84:U85)</f>
        <v>0.5</v>
      </c>
      <c r="P83" s="311">
        <f ca="1">SUMPRODUCT(P84:P85,U84:U85)/SUM(U84:U85)</f>
        <v>1</v>
      </c>
      <c r="Q83" s="238">
        <f t="shared" ca="1" si="26"/>
        <v>-0.5</v>
      </c>
      <c r="R83" s="329" t="s">
        <v>1950</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5" outlineLevel="1">
      <c r="A84" s="264" t="str">
        <f>E84&amp;G84</f>
        <v>lt004_protectionep_scr</v>
      </c>
      <c r="B84" s="141" t="s">
        <v>26</v>
      </c>
      <c r="C84" s="137" t="s">
        <v>26</v>
      </c>
      <c r="D84" s="226" t="s">
        <v>40</v>
      </c>
      <c r="E84" s="229" t="s">
        <v>368</v>
      </c>
      <c r="F84" s="229"/>
      <c r="G84" s="233" t="s">
        <v>370</v>
      </c>
      <c r="H84" s="226" t="str">
        <f>VLOOKUP(A84,'2. Status Detalhe Campos FY24'!$A$7:$G$731,7,0)</f>
        <v xml:space="preserve">6. Em implementação </v>
      </c>
      <c r="I84" s="314">
        <v>45635</v>
      </c>
      <c r="J84" s="313"/>
      <c r="K84" s="313"/>
      <c r="L84" s="280">
        <f t="array" ref="L84">MIN(IF(W84:CI84&gt;0,$W$16:$CI$16))</f>
        <v>45628</v>
      </c>
      <c r="M84" s="281">
        <f t="array" ref="M84">MAX(IF(W84:CI84&gt;0,$W$16:$CI$16))</f>
        <v>45639</v>
      </c>
      <c r="N84" s="281"/>
      <c r="O84" s="239">
        <f>VLOOKUP(H84,Auxiliar!$B$16:$E$24,4,0)</f>
        <v>0</v>
      </c>
      <c r="P84" s="239">
        <f ca="1">IF(TODAY()&lt;=L84,0,MIN((TODAY()-L84)/(M84-L84+1),100%))</f>
        <v>1</v>
      </c>
      <c r="Q84" s="239">
        <f ca="1">O84-P84</f>
        <v>-1</v>
      </c>
      <c r="R84" s="251"/>
      <c r="S84" s="270" t="s">
        <v>1858</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5" outlineLevel="1">
      <c r="A85" s="264" t="str">
        <f>E85&amp;G85</f>
        <v>lt004_protectionepc_lbl</v>
      </c>
      <c r="B85" s="141" t="s">
        <v>26</v>
      </c>
      <c r="C85" s="137" t="s">
        <v>26</v>
      </c>
      <c r="D85" s="226" t="s">
        <v>40</v>
      </c>
      <c r="E85" s="229" t="s">
        <v>368</v>
      </c>
      <c r="F85" s="229"/>
      <c r="G85" s="233" t="s">
        <v>372</v>
      </c>
      <c r="H85" s="226" t="str">
        <f>VLOOKUP(A85,'2. Status Detalhe Campos FY24'!$A$7:$G$731,7,0)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1858</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5" collapsed="1">
      <c r="A86" s="264"/>
      <c r="B86" s="137" t="s">
        <v>26</v>
      </c>
      <c r="C86" s="137" t="s">
        <v>26</v>
      </c>
      <c r="D86" s="226"/>
      <c r="E86" s="232" t="s">
        <v>368</v>
      </c>
      <c r="F86" s="230" t="s">
        <v>1924</v>
      </c>
      <c r="G86" s="231">
        <f>COUNTA(G87)</f>
        <v>1</v>
      </c>
      <c r="H86" s="285" t="s">
        <v>1916</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1942</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5" outlineLevel="1">
      <c r="A87" s="264" t="str">
        <f>E87&amp;G87</f>
        <v>lt004_protectiontyp_epc_lbl</v>
      </c>
      <c r="B87" s="141" t="s">
        <v>26</v>
      </c>
      <c r="C87" s="137" t="s">
        <v>26</v>
      </c>
      <c r="D87" s="226" t="s">
        <v>40</v>
      </c>
      <c r="E87" s="229" t="s">
        <v>368</v>
      </c>
      <c r="F87" s="229"/>
      <c r="G87" s="233" t="s">
        <v>371</v>
      </c>
      <c r="H87" s="226" t="str">
        <f>VLOOKUP(A87,'2. Status Detalhe Campos FY24'!$A$7:$G$731,7,0)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1858</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1905</v>
      </c>
      <c r="G88" s="231">
        <f>COUNTA(G89:G91)</f>
        <v>3</v>
      </c>
      <c r="H88" s="285" t="s">
        <v>1916</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1936</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5" outlineLevel="1">
      <c r="A89" s="264" t="str">
        <f>E89&amp;G89</f>
        <v>lt003_entityflg_nfrd_applcblty</v>
      </c>
      <c r="B89" s="141" t="s">
        <v>26</v>
      </c>
      <c r="C89" s="137" t="s">
        <v>26</v>
      </c>
      <c r="D89" s="226" t="s">
        <v>40</v>
      </c>
      <c r="E89" s="229" t="s">
        <v>335</v>
      </c>
      <c r="F89" s="229"/>
      <c r="G89" s="229" t="s">
        <v>352</v>
      </c>
      <c r="H89" s="226" t="str">
        <f>VLOOKUP(A89,'2. Status Detalhe Campos FY24'!$A$7:$G$731,7,0)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5" outlineLevel="1">
      <c r="A90" s="264" t="str">
        <f>E90&amp;G90</f>
        <v>lt003_entitypure_capex_cca</v>
      </c>
      <c r="B90" s="141" t="s">
        <v>26</v>
      </c>
      <c r="C90" s="137" t="s">
        <v>26</v>
      </c>
      <c r="D90" s="226" t="s">
        <v>40</v>
      </c>
      <c r="E90" s="229" t="s">
        <v>335</v>
      </c>
      <c r="F90" s="229"/>
      <c r="G90" s="229" t="s">
        <v>346</v>
      </c>
      <c r="H90" s="226" t="str">
        <f>VLOOKUP(A90,'2. Status Detalhe Campos FY24'!$A$7:$G$731,7,0)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5" outlineLevel="1">
      <c r="A91" s="264" t="str">
        <f>E91&amp;G91</f>
        <v>lt003_entitygrp_annl_trnvr_le</v>
      </c>
      <c r="B91" s="141" t="s">
        <v>26</v>
      </c>
      <c r="C91" s="137" t="s">
        <v>26</v>
      </c>
      <c r="D91" s="226" t="s">
        <v>40</v>
      </c>
      <c r="E91" s="229" t="s">
        <v>335</v>
      </c>
      <c r="F91" s="229"/>
      <c r="G91" s="229" t="s">
        <v>362</v>
      </c>
      <c r="H91" s="226" t="str">
        <f>VLOOKUP(A91,'2. Status Detalhe Campos FY24'!$A$7:$G$731,7,0)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5" collapsed="1">
      <c r="A92" s="264"/>
      <c r="B92" s="141" t="s">
        <v>26</v>
      </c>
      <c r="C92" s="137" t="s">
        <v>26</v>
      </c>
      <c r="D92" s="226"/>
      <c r="E92" s="232" t="s">
        <v>335</v>
      </c>
      <c r="F92" s="230" t="s">
        <v>1937</v>
      </c>
      <c r="G92" s="231">
        <f>COUNTA(G93)</f>
        <v>1</v>
      </c>
      <c r="H92" s="285" t="s">
        <v>1916</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1943</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5" outlineLevel="1">
      <c r="A93" s="264" t="str">
        <f>E93&amp;G93</f>
        <v>lt003_entityesg_sbsctr</v>
      </c>
      <c r="B93" s="141" t="s">
        <v>26</v>
      </c>
      <c r="C93" s="137" t="s">
        <v>26</v>
      </c>
      <c r="D93" s="226" t="s">
        <v>40</v>
      </c>
      <c r="E93" s="229" t="s">
        <v>335</v>
      </c>
      <c r="F93" s="229"/>
      <c r="G93" s="229" t="s">
        <v>360</v>
      </c>
      <c r="H93" s="226" t="str">
        <f>VLOOKUP(A93,'2. Status Detalhe Campos FY24'!$A$7:$G$731,7,0)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5" collapsed="1">
      <c r="A94" s="264"/>
      <c r="B94" s="141" t="s">
        <v>26</v>
      </c>
      <c r="C94" s="137" t="s">
        <v>26</v>
      </c>
      <c r="D94" s="226"/>
      <c r="E94" s="232" t="s">
        <v>335</v>
      </c>
      <c r="F94" s="230" t="s">
        <v>1938</v>
      </c>
      <c r="G94" s="231">
        <f>COUNTA(G95)</f>
        <v>1</v>
      </c>
      <c r="H94" s="285" t="s">
        <v>1916</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1943</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5" outlineLevel="1">
      <c r="A95" s="264" t="str">
        <f>E95&amp;G95</f>
        <v>lt003_entitygrp_ttl_lblty</v>
      </c>
      <c r="B95" s="141" t="s">
        <v>26</v>
      </c>
      <c r="C95" s="137" t="s">
        <v>26</v>
      </c>
      <c r="D95" s="226" t="s">
        <v>40</v>
      </c>
      <c r="E95" s="229" t="s">
        <v>335</v>
      </c>
      <c r="F95" s="229"/>
      <c r="G95" s="229" t="s">
        <v>363</v>
      </c>
      <c r="H95" s="226" t="str">
        <f>VLOOKUP(A95,'2. Status Detalhe Campos FY24'!$A$7:$G$731,7,0)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1939</v>
      </c>
      <c r="G96" s="231">
        <f>COUNTA(G97)</f>
        <v>1</v>
      </c>
      <c r="H96" s="285" t="s">
        <v>1916</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1942</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5" outlineLevel="1">
      <c r="A97" s="264" t="str">
        <f>E97&amp;G97</f>
        <v>lt003_entityisin</v>
      </c>
      <c r="B97" s="141" t="s">
        <v>26</v>
      </c>
      <c r="C97" s="137" t="s">
        <v>26</v>
      </c>
      <c r="D97" s="226" t="s">
        <v>40</v>
      </c>
      <c r="E97" s="229" t="s">
        <v>335</v>
      </c>
      <c r="F97" s="229"/>
      <c r="G97" s="229" t="s">
        <v>238</v>
      </c>
      <c r="H97" s="226" t="str">
        <f>VLOOKUP(A97,'2. Status Detalhe Campos FY24'!$A$7:$G$731,7,0)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1905</v>
      </c>
      <c r="G98" s="231">
        <f>COUNTA(G99:G101)</f>
        <v>3</v>
      </c>
      <c r="H98" s="285" t="s">
        <v>1916</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0.66666666666666663</v>
      </c>
      <c r="P98" s="311">
        <f ca="1">SUMPRODUCT(P99:P101,U99:U101)/SUM(U99:U101)</f>
        <v>1</v>
      </c>
      <c r="Q98" s="303">
        <f t="shared" ca="1" si="26"/>
        <v>-0.33333333333333337</v>
      </c>
      <c r="R98" s="329" t="s">
        <v>1936</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FY24'!$A$7:$G$731,7,0)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FY24'!$A$7:$G$731,7,0)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5" outlineLevel="1">
      <c r="A101" s="264" t="str">
        <f>E101&amp;G101</f>
        <v>lt004_protectiontyp_ep_scr</v>
      </c>
      <c r="B101" s="141" t="s">
        <v>26</v>
      </c>
      <c r="C101" s="137" t="s">
        <v>26</v>
      </c>
      <c r="D101" s="226"/>
      <c r="E101" s="229" t="s">
        <v>368</v>
      </c>
      <c r="F101" s="229"/>
      <c r="G101" s="233" t="s">
        <v>369</v>
      </c>
      <c r="H101" s="226" t="str">
        <f>VLOOKUP(A101,'2. Status Detalhe Campos FY24'!$A$7:$G$731,7,0)</f>
        <v xml:space="preserve">6. Em implementação </v>
      </c>
      <c r="I101" s="275">
        <v>45595</v>
      </c>
      <c r="J101" s="313">
        <v>45611</v>
      </c>
      <c r="K101" s="313">
        <v>45611</v>
      </c>
      <c r="L101" s="280">
        <f t="array" ref="L101">MIN(IF(W101:CI101&gt;0,$W$16:$CI$16))</f>
        <v>45629</v>
      </c>
      <c r="M101" s="281">
        <f t="array" ref="M101">MAX(IF(W101:CI101&gt;0,$W$16:$CI$16))</f>
        <v>45629</v>
      </c>
      <c r="N101" s="281"/>
      <c r="O101" s="239">
        <f>VLOOKUP(H101,Auxiliar!$B$16:$E$24,4,0)</f>
        <v>0</v>
      </c>
      <c r="P101" s="239">
        <f ca="1">IF(TODAY()&lt;=L101,0,MIN((TODAY()-L101)/(M101-L101+1),100%))</f>
        <v>1</v>
      </c>
      <c r="Q101" s="238">
        <f t="shared" ca="1" si="26"/>
        <v>-1</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1905</v>
      </c>
      <c r="G102" s="231">
        <f>COUNTA(G103)</f>
        <v>1</v>
      </c>
      <c r="H102" s="285" t="s">
        <v>1916</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1942</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FY24'!$A$7:$G$731,7,0)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1937</v>
      </c>
      <c r="G104" s="231">
        <f>COUNTA(G105)</f>
        <v>1</v>
      </c>
      <c r="H104" s="285" t="s">
        <v>1916</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1961</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5" outlineLevel="1">
      <c r="A105" s="264" t="str">
        <f>E105&amp;G105</f>
        <v>lt004_protectionorgnl_prtctn_vl</v>
      </c>
      <c r="B105" s="141" t="s">
        <v>26</v>
      </c>
      <c r="C105" s="137" t="s">
        <v>26</v>
      </c>
      <c r="D105" s="226" t="s">
        <v>40</v>
      </c>
      <c r="E105" s="229" t="s">
        <v>368</v>
      </c>
      <c r="F105" s="229"/>
      <c r="G105" s="233" t="s">
        <v>437</v>
      </c>
      <c r="H105" s="226" t="str">
        <f>VLOOKUP(A105,'2. Status Detalhe Campos FY24'!$A$7:$G$731,7,0)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1884</v>
      </c>
      <c r="G106" s="231">
        <f>COUNTA(G107:G120)</f>
        <v>14</v>
      </c>
      <c r="H106" s="285" t="s">
        <v>1916</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1941</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5"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FY24'!$A$7:$G$731,7,0)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5"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FY24'!$A$7:$G$731,7,0)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5"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FY24'!$A$7:$G$731,7,0)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5"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FY24'!$A$7:$G$731,7,0)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5"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FY24'!$A$7:$G$731,7,0)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5"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FY24'!$A$7:$G$731,7,0)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5"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FY24'!$A$7:$G$731,7,0)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5"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FY24'!$A$7:$G$731,7,0)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5"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FY24'!$A$7:$G$731,7,0)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5"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FY24'!$A$7:$G$731,7,0)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5"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FY24'!$A$7:$G$731,7,0)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5"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FY24'!$A$7:$G$731,7,0)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5"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FY24'!$A$7:$G$731,7,0)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5"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FY24'!$A$7:$G$731,7,0)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1907</v>
      </c>
      <c r="G121" s="231">
        <f>COUNTA(G122)</f>
        <v>1</v>
      </c>
      <c r="H121" s="285" t="s">
        <v>1916</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1943</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5" outlineLevel="1">
      <c r="A122" s="264" t="str">
        <f>E122&amp;G122</f>
        <v>lt003_entityttl_lblty</v>
      </c>
      <c r="B122" s="141" t="s">
        <v>26</v>
      </c>
      <c r="C122" s="137" t="s">
        <v>26</v>
      </c>
      <c r="D122" s="226" t="s">
        <v>40</v>
      </c>
      <c r="E122" s="229" t="s">
        <v>335</v>
      </c>
      <c r="F122" s="229"/>
      <c r="G122" s="229" t="s">
        <v>361</v>
      </c>
      <c r="H122" s="226" t="str">
        <f>VLOOKUP(A122,'2. Status Detalhe Campos FY24'!$A$7:$G$731,7,0)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5" collapsed="1">
      <c r="A123" s="264"/>
      <c r="B123" s="141" t="s">
        <v>26</v>
      </c>
      <c r="C123" s="137" t="s">
        <v>310</v>
      </c>
      <c r="D123" s="133"/>
      <c r="E123" s="230" t="s">
        <v>331</v>
      </c>
      <c r="F123" s="230" t="s">
        <v>1924</v>
      </c>
      <c r="G123" s="231">
        <f>COUNTA(G124:G127)</f>
        <v>4</v>
      </c>
      <c r="H123" s="285" t="s">
        <v>1916</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1936</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5"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FY24'!$A$7:$G$731,7,0)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1857</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5"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FY24'!$A$7:$G$731,7,0)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1857</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5" outlineLevel="1">
      <c r="A126" s="264" t="str">
        <f>E126&amp;G126</f>
        <v>modesg_out_emss_vclsscp1_emss</v>
      </c>
      <c r="B126" s="141" t="s">
        <v>26</v>
      </c>
      <c r="C126" s="137" t="s">
        <v>310</v>
      </c>
      <c r="D126" s="226" t="s">
        <v>40</v>
      </c>
      <c r="E126" s="227" t="s">
        <v>331</v>
      </c>
      <c r="F126" s="227"/>
      <c r="G126" s="226" t="s">
        <v>285</v>
      </c>
      <c r="H126" s="226" t="str">
        <f>VLOOKUP(A126,'2. Status Detalhe Campos FY24'!$A$7:$G$731,7,0)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1857</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5" outlineLevel="1">
      <c r="A127" s="264" t="str">
        <f>E127&amp;G127</f>
        <v>modesg_out_emss_vclsscp2_emss</v>
      </c>
      <c r="B127" s="141" t="s">
        <v>26</v>
      </c>
      <c r="C127" s="137" t="s">
        <v>310</v>
      </c>
      <c r="D127" s="226" t="s">
        <v>40</v>
      </c>
      <c r="E127" s="227" t="s">
        <v>331</v>
      </c>
      <c r="F127" s="227"/>
      <c r="G127" s="226" t="s">
        <v>286</v>
      </c>
      <c r="H127" s="226" t="str">
        <f>VLOOKUP(A127,'2. Status Detalhe Campos FY24'!$A$7:$G$731,7,0)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1857</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1940</v>
      </c>
      <c r="G128" s="231">
        <f>COUNTA(G129:G129)</f>
        <v>1</v>
      </c>
      <c r="H128" s="285" t="s">
        <v>1916</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1941</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5" outlineLevel="1">
      <c r="A129" s="264" t="str">
        <f>E129&amp;G129</f>
        <v>lt003_entityflg_grp_nfrd_applcblty</v>
      </c>
      <c r="B129" s="141" t="s">
        <v>26</v>
      </c>
      <c r="C129" s="137" t="s">
        <v>26</v>
      </c>
      <c r="D129" s="226" t="s">
        <v>40</v>
      </c>
      <c r="E129" s="229" t="s">
        <v>335</v>
      </c>
      <c r="F129" s="229"/>
      <c r="G129" s="229" t="s">
        <v>364</v>
      </c>
      <c r="H129" s="226" t="str">
        <f>VLOOKUP(A129,'2. Status Detalhe Campos FY24'!$A$7:$G$731,7,0)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1940</v>
      </c>
      <c r="G130" s="231">
        <f>COUNTA(G131)</f>
        <v>1</v>
      </c>
      <c r="H130" s="285" t="s">
        <v>1916</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1954</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5" outlineLevel="1">
      <c r="A131" s="264" t="str">
        <f>E131&amp;G131</f>
        <v>lt003_entitynace_esg</v>
      </c>
      <c r="B131" s="141" t="s">
        <v>26</v>
      </c>
      <c r="C131" s="137" t="s">
        <v>26</v>
      </c>
      <c r="D131" s="226" t="s">
        <v>40</v>
      </c>
      <c r="E131" s="229" t="s">
        <v>335</v>
      </c>
      <c r="F131" s="229"/>
      <c r="G131" s="229" t="s">
        <v>336</v>
      </c>
      <c r="H131" s="226" t="str">
        <f>VLOOKUP(A131,'2. Status Detalhe Campos FY24'!$A$7:$G$731,7,0)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1940</v>
      </c>
      <c r="G132" s="231">
        <f>COUNTA(G133:G135)</f>
        <v>3</v>
      </c>
      <c r="H132" s="285" t="s">
        <v>1916</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1953</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1947</v>
      </c>
      <c r="CH132" s="271"/>
      <c r="CI132" s="271"/>
    </row>
    <row r="133" spans="1:87" ht="16.5" outlineLevel="1">
      <c r="A133" s="264" t="str">
        <f>E133&amp;G133</f>
        <v>lt003_entitygrp_emssns_scp1</v>
      </c>
      <c r="B133" s="141" t="s">
        <v>26</v>
      </c>
      <c r="C133" s="137" t="s">
        <v>26</v>
      </c>
      <c r="D133" s="226" t="s">
        <v>40</v>
      </c>
      <c r="E133" s="229" t="s">
        <v>335</v>
      </c>
      <c r="F133" s="229"/>
      <c r="G133" s="229" t="s">
        <v>365</v>
      </c>
      <c r="H133" s="226" t="str">
        <f>VLOOKUP(A133,'2. Status Detalhe Campos FY24'!$A$7:$G$731,7,0)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5" outlineLevel="1">
      <c r="A134" s="264" t="str">
        <f>E134&amp;G134</f>
        <v>lt003_entitygrp_emssns_scp2</v>
      </c>
      <c r="B134" s="141" t="s">
        <v>26</v>
      </c>
      <c r="C134" s="137" t="s">
        <v>26</v>
      </c>
      <c r="D134" s="226" t="s">
        <v>40</v>
      </c>
      <c r="E134" s="229" t="s">
        <v>335</v>
      </c>
      <c r="F134" s="229"/>
      <c r="G134" s="229" t="s">
        <v>366</v>
      </c>
      <c r="H134" s="226" t="str">
        <f>VLOOKUP(A134,'2. Status Detalhe Campos FY24'!$A$7:$G$731,7,0)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5" outlineLevel="1">
      <c r="A135" s="264" t="str">
        <f>E135&amp;G135</f>
        <v>lt003_entitygrp_emssns_scp3</v>
      </c>
      <c r="B135" s="141" t="s">
        <v>26</v>
      </c>
      <c r="C135" s="137" t="s">
        <v>26</v>
      </c>
      <c r="D135" s="226" t="s">
        <v>40</v>
      </c>
      <c r="E135" s="229" t="s">
        <v>335</v>
      </c>
      <c r="F135" s="229"/>
      <c r="G135" s="229" t="s">
        <v>367</v>
      </c>
      <c r="H135" s="226" t="str">
        <f>VLOOKUP(A135,'2. Status Detalhe Campos FY24'!$A$7:$G$731,7,0)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1930</v>
      </c>
      <c r="G136" s="231">
        <f>COUNTA(G137:G138)</f>
        <v>2</v>
      </c>
      <c r="H136" s="285" t="s">
        <v>1916</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1941</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5" outlineLevel="1">
      <c r="A137" s="264" t="str">
        <f>E137&amp;G137</f>
        <v>lt003_entityflg_act_physcl_rsk</v>
      </c>
      <c r="B137" s="141" t="s">
        <v>26</v>
      </c>
      <c r="C137" s="137" t="s">
        <v>26</v>
      </c>
      <c r="D137" s="226" t="s">
        <v>40</v>
      </c>
      <c r="E137" s="229" t="s">
        <v>335</v>
      </c>
      <c r="F137" s="229"/>
      <c r="G137" s="229" t="s">
        <v>357</v>
      </c>
      <c r="H137" s="226" t="str">
        <f>VLOOKUP(A137,'2. Status Detalhe Campos FY24'!$A$7:$G$731,7,0)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5" outlineLevel="1">
      <c r="A138" s="264" t="str">
        <f>E138&amp;G138</f>
        <v>lt003_entityflg_chrnc_physcl_rsk</v>
      </c>
      <c r="B138" s="141" t="s">
        <v>26</v>
      </c>
      <c r="C138" s="137" t="s">
        <v>26</v>
      </c>
      <c r="D138" s="226" t="s">
        <v>40</v>
      </c>
      <c r="E138" s="229" t="s">
        <v>335</v>
      </c>
      <c r="F138" s="229"/>
      <c r="G138" s="229" t="s">
        <v>358</v>
      </c>
      <c r="H138" s="226" t="str">
        <f>VLOOKUP(A138,'2. Status Detalhe Campos FY24'!$A$7:$G$731,7,0)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1884</v>
      </c>
      <c r="G139" s="231">
        <f>COUNTA(G140)</f>
        <v>1</v>
      </c>
      <c r="H139" s="344" t="s">
        <v>572</v>
      </c>
      <c r="I139" s="266" t="s">
        <v>38</v>
      </c>
      <c r="J139" s="267">
        <f>MIN(J140:J143)</f>
        <v>45614</v>
      </c>
      <c r="K139" s="267">
        <f>MIN(K140:K158)</f>
        <v>45596</v>
      </c>
      <c r="L139" s="267">
        <f>MIN(L140:L158)</f>
        <v>45625</v>
      </c>
      <c r="M139" s="268">
        <f>MAX(M140:M158)</f>
        <v>45667</v>
      </c>
      <c r="N139" s="312" t="s">
        <v>1863</v>
      </c>
      <c r="O139" s="304">
        <f>O140</f>
        <v>0.25</v>
      </c>
      <c r="P139" s="304">
        <f ca="1">P140</f>
        <v>1</v>
      </c>
      <c r="Q139" s="246">
        <f t="shared" ref="Q139:Q166" ca="1" si="33">O139-P139</f>
        <v>-0.75</v>
      </c>
      <c r="R139" s="329" t="s">
        <v>1955</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5"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FY24'!$A$7:$G$731,7,0)</f>
        <v>2.1 Em Teste</v>
      </c>
      <c r="I140" s="266" t="s">
        <v>38</v>
      </c>
      <c r="J140" s="275">
        <v>45614</v>
      </c>
      <c r="K140" s="275">
        <v>45615</v>
      </c>
      <c r="L140" s="280">
        <f t="array" ref="L140">MIN(IF(W140:CI140&gt;0,$W$16:$CI$16))</f>
        <v>45646</v>
      </c>
      <c r="M140" s="281">
        <f t="array" ref="M140">MAX(IF(W140:CI140&gt;0,$W$16:$CI$16))</f>
        <v>45646</v>
      </c>
      <c r="N140" s="281"/>
      <c r="O140" s="239">
        <f>VLOOKUP(H140,Auxiliar!$B$16:$E$24,4,0)</f>
        <v>0.25</v>
      </c>
      <c r="P140" s="239">
        <f ca="1">IF(TODAY()&lt;=L140,0,MIN((TODAY()-L140)/(M140-L140+1),100%))</f>
        <v>1</v>
      </c>
      <c r="Q140" s="238">
        <f t="shared" ca="1" si="33"/>
        <v>-0.75</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1908</v>
      </c>
      <c r="G141" s="231">
        <f>COUNTA(G142:G143)</f>
        <v>2</v>
      </c>
      <c r="H141" s="285" t="s">
        <v>1916</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1950</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5"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FY24'!$A$7:$G$731,7,0)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5"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FY24'!$A$7:$G$731,7,0)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1938</v>
      </c>
      <c r="G144" s="231">
        <f>COUNTA(G145:G147)</f>
        <v>3</v>
      </c>
      <c r="H144" s="285" t="s">
        <v>1916</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1963</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5"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FY24'!$A$7:$G$731,7,0)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5" outlineLevel="1">
      <c r="A146" s="264" t="str">
        <f>E146&amp;G146</f>
        <v>modesg_out_empr_info_nfinflg_nfrd</v>
      </c>
      <c r="B146" s="141" t="s">
        <v>26</v>
      </c>
      <c r="C146" s="137" t="s">
        <v>310</v>
      </c>
      <c r="D146" s="226" t="s">
        <v>40</v>
      </c>
      <c r="E146" s="227" t="s">
        <v>325</v>
      </c>
      <c r="F146" s="227"/>
      <c r="G146" s="226" t="s">
        <v>244</v>
      </c>
      <c r="H146" s="226" t="str">
        <f>VLOOKUP(A146,'2. Status Detalhe Campos FY24'!$A$7:$G$731,7,0)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5"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FY24'!$A$7:$G$731,7,0)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1906</v>
      </c>
      <c r="G148" s="231">
        <f>COUNTA(G149:G151)</f>
        <v>3</v>
      </c>
      <c r="H148" s="285" t="s">
        <v>1916</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1956</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1947</v>
      </c>
      <c r="CH148" s="271"/>
      <c r="CI148" s="271"/>
    </row>
    <row r="149" spans="1:87" ht="16.5" outlineLevel="1">
      <c r="A149" s="264" t="str">
        <f>E149&amp;G149</f>
        <v>lt003_entitycntrprty_emssns_scp1</v>
      </c>
      <c r="B149" s="141" t="s">
        <v>26</v>
      </c>
      <c r="C149" s="137" t="s">
        <v>26</v>
      </c>
      <c r="D149" s="226" t="s">
        <v>40</v>
      </c>
      <c r="E149" s="229" t="s">
        <v>335</v>
      </c>
      <c r="F149" s="229"/>
      <c r="G149" s="229" t="s">
        <v>353</v>
      </c>
      <c r="H149" s="226" t="str">
        <f>VLOOKUP(A149,'2. Status Detalhe Campos FY24'!$A$7:$G$731,7,0)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5" outlineLevel="1">
      <c r="A150" s="264" t="str">
        <f>E150&amp;G150</f>
        <v>lt003_entitycntrprty_emssns_scp2</v>
      </c>
      <c r="B150" s="141" t="s">
        <v>26</v>
      </c>
      <c r="C150" s="137" t="s">
        <v>26</v>
      </c>
      <c r="D150" s="226" t="s">
        <v>40</v>
      </c>
      <c r="E150" s="229" t="s">
        <v>335</v>
      </c>
      <c r="F150" s="229"/>
      <c r="G150" s="229" t="s">
        <v>354</v>
      </c>
      <c r="H150" s="226" t="str">
        <f>VLOOKUP(A150,'2. Status Detalhe Campos FY24'!$A$7:$G$731,7,0)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5" outlineLevel="1">
      <c r="A151" s="264" t="str">
        <f>E151&amp;G151</f>
        <v>lt003_entitycntrprty_emssns_scp3</v>
      </c>
      <c r="B151" s="141" t="s">
        <v>26</v>
      </c>
      <c r="C151" s="137" t="s">
        <v>26</v>
      </c>
      <c r="D151" s="226" t="s">
        <v>40</v>
      </c>
      <c r="E151" s="229" t="s">
        <v>335</v>
      </c>
      <c r="F151" s="229"/>
      <c r="G151" s="229" t="s">
        <v>355</v>
      </c>
      <c r="H151" s="226" t="str">
        <f>VLOOKUP(A151,'2. Status Detalhe Campos FY24'!$A$7:$G$731,7,0)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1905</v>
      </c>
      <c r="G152" s="231">
        <f>COUNTA(G153:G158)</f>
        <v>6</v>
      </c>
      <c r="H152" s="265" t="s">
        <v>1919</v>
      </c>
      <c r="I152" s="266" t="s">
        <v>38</v>
      </c>
      <c r="J152" s="267">
        <f>MIN(J153:J158)</f>
        <v>45621</v>
      </c>
      <c r="K152" s="316">
        <f>MIN(K153:K158)</f>
        <v>45622</v>
      </c>
      <c r="L152" s="267">
        <f>MIN(L153:L158)</f>
        <v>45636</v>
      </c>
      <c r="M152" s="268">
        <f>MAX(M153:M158)</f>
        <v>45645</v>
      </c>
      <c r="N152" s="312" t="s">
        <v>1863</v>
      </c>
      <c r="O152" s="304">
        <f>SUMPRODUCT(O153:O158,U153:U158)/SUM(U153:U158)</f>
        <v>1</v>
      </c>
      <c r="P152" s="304">
        <f ca="1">SUMPRODUCT(P153:P158,U153:U158)/SUM(U153:U158)</f>
        <v>1</v>
      </c>
      <c r="Q152" s="238">
        <f t="shared" ca="1" si="33"/>
        <v>0</v>
      </c>
      <c r="R152" s="329" t="s">
        <v>1953</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5"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FY24'!$A$7:$G$731,7,0)</f>
        <v>1. Concluído</v>
      </c>
      <c r="I153" s="266" t="s">
        <v>38</v>
      </c>
      <c r="J153" s="275">
        <v>45621</v>
      </c>
      <c r="K153" s="275">
        <v>45622</v>
      </c>
      <c r="L153" s="280">
        <f t="array" ref="L153">MIN(IF(W153:CI153&gt;0,$W$16:$CI$16))</f>
        <v>45645</v>
      </c>
      <c r="M153" s="281">
        <f t="array" ref="M153">MAX(IF(W153:CI153&gt;0,$W$16:$CI$16))</f>
        <v>45645</v>
      </c>
      <c r="N153" s="281"/>
      <c r="O153" s="239">
        <f>VLOOKUP(H153,Auxiliar!$B$16:$E$24,4,0)</f>
        <v>1</v>
      </c>
      <c r="P153" s="239">
        <f t="shared" ref="P153:P158" ca="1" si="35">IF(TODAY()&lt;=L153,0,MIN((TODAY()-L153)/(M153-L153+1),100%))</f>
        <v>1</v>
      </c>
      <c r="Q153" s="238">
        <f t="shared" ca="1" si="33"/>
        <v>0</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5"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FY24'!$A$7:$G$731,7,0)</f>
        <v>1. Concluído</v>
      </c>
      <c r="I154" s="266" t="s">
        <v>38</v>
      </c>
      <c r="J154" s="275">
        <v>45621</v>
      </c>
      <c r="K154" s="275">
        <v>45622</v>
      </c>
      <c r="L154" s="280">
        <f t="array" ref="L154">MIN(IF(W154:CI154&gt;0,$W$16:$CI$16))</f>
        <v>45645</v>
      </c>
      <c r="M154" s="281">
        <f t="array" ref="M154">MAX(IF(W154:CI154&gt;0,$W$16:$CI$16))</f>
        <v>45645</v>
      </c>
      <c r="N154" s="281"/>
      <c r="O154" s="239">
        <f>VLOOKUP(H154,Auxiliar!$B$16:$E$24,4,0)</f>
        <v>1</v>
      </c>
      <c r="P154" s="239">
        <f t="shared" ca="1" si="35"/>
        <v>1</v>
      </c>
      <c r="Q154" s="238">
        <f t="shared" ca="1" si="33"/>
        <v>0</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5"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FY24'!$A$7:$G$731,7,0)</f>
        <v>1. Concluído</v>
      </c>
      <c r="I155" s="266" t="s">
        <v>38</v>
      </c>
      <c r="J155" s="275">
        <v>45621</v>
      </c>
      <c r="K155" s="275">
        <v>45622</v>
      </c>
      <c r="L155" s="280">
        <f t="array" ref="L155">MIN(IF(W155:CI155&gt;0,$W$16:$CI$16))</f>
        <v>45645</v>
      </c>
      <c r="M155" s="281">
        <f t="array" ref="M155">MAX(IF(W155:CI155&gt;0,$W$16:$CI$16))</f>
        <v>45645</v>
      </c>
      <c r="N155" s="281"/>
      <c r="O155" s="239">
        <f>VLOOKUP(H155,Auxiliar!$B$16:$E$24,4,0)</f>
        <v>1</v>
      </c>
      <c r="P155" s="239">
        <f t="shared" ca="1" si="35"/>
        <v>1</v>
      </c>
      <c r="Q155" s="238">
        <f t="shared" ca="1" si="33"/>
        <v>0</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5"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FY24'!$A$7:$G$731,7,0)</f>
        <v>1. Concluído</v>
      </c>
      <c r="I156" s="266" t="s">
        <v>38</v>
      </c>
      <c r="J156" s="275">
        <v>45621</v>
      </c>
      <c r="K156" s="275">
        <v>45622</v>
      </c>
      <c r="L156" s="280">
        <f t="array" ref="L156">MIN(IF(W156:CI156&gt;0,$W$16:$CI$16))</f>
        <v>45636</v>
      </c>
      <c r="M156" s="281">
        <f t="array" ref="M156">MAX(IF(W156:CI156&gt;0,$W$16:$CI$16))</f>
        <v>45637</v>
      </c>
      <c r="N156" s="281"/>
      <c r="O156" s="239">
        <f>VLOOKUP(H156,Auxiliar!$B$16:$E$24,4,0)</f>
        <v>1</v>
      </c>
      <c r="P156" s="239">
        <f t="shared" ca="1" si="35"/>
        <v>1</v>
      </c>
      <c r="Q156" s="238">
        <f t="shared" ca="1" si="33"/>
        <v>0</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5"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FY24'!$A$7:$G$731,7,0)</f>
        <v>1. Concluído</v>
      </c>
      <c r="I157" s="266" t="s">
        <v>38</v>
      </c>
      <c r="J157" s="275">
        <v>45621</v>
      </c>
      <c r="K157" s="275">
        <v>45622</v>
      </c>
      <c r="L157" s="280">
        <f t="array" ref="L157">MIN(IF(W157:CI157&gt;0,$W$16:$CI$16))</f>
        <v>45637</v>
      </c>
      <c r="M157" s="281">
        <f t="array" ref="M157">MAX(IF(W157:CI157&gt;0,$W$16:$CI$16))</f>
        <v>45639</v>
      </c>
      <c r="N157" s="281"/>
      <c r="O157" s="239">
        <f>VLOOKUP(H157,Auxiliar!$B$16:$E$24,4,0)</f>
        <v>1</v>
      </c>
      <c r="P157" s="239">
        <f t="shared" ca="1" si="35"/>
        <v>1</v>
      </c>
      <c r="Q157" s="238">
        <f t="shared" ca="1" si="33"/>
        <v>0</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5"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FY24'!$A$7:$G$731,7,0)</f>
        <v>1. Concluído</v>
      </c>
      <c r="I158" s="266" t="s">
        <v>38</v>
      </c>
      <c r="J158" s="275">
        <v>45621</v>
      </c>
      <c r="K158" s="275">
        <v>45622</v>
      </c>
      <c r="L158" s="280">
        <f t="array" ref="L158">MIN(IF(W158:CI158&gt;0,$W$16:$CI$16))</f>
        <v>45639</v>
      </c>
      <c r="M158" s="281">
        <f t="array" ref="M158">MAX(IF(W158:CI158&gt;0,$W$16:$CI$16))</f>
        <v>45639</v>
      </c>
      <c r="N158" s="281"/>
      <c r="O158" s="239">
        <f>VLOOKUP(H158,Auxiliar!$B$16:$E$24,4,0)</f>
        <v>1</v>
      </c>
      <c r="P158" s="239">
        <f t="shared" ca="1" si="35"/>
        <v>1</v>
      </c>
      <c r="Q158" s="238">
        <f t="shared" ca="1" si="33"/>
        <v>0</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1949</v>
      </c>
      <c r="G159" s="231">
        <f>COUNTA(G160:G160)</f>
        <v>1</v>
      </c>
      <c r="H159" s="284" t="s">
        <v>1945</v>
      </c>
      <c r="I159" s="268">
        <f>MAX(I160)</f>
        <v>45595</v>
      </c>
      <c r="J159" s="267">
        <f>MIN(J160)</f>
        <v>45624</v>
      </c>
      <c r="K159" s="316">
        <f>MIN(K160)</f>
        <v>45624</v>
      </c>
      <c r="L159" s="267">
        <f>MIN(L160:L160)</f>
        <v>45639</v>
      </c>
      <c r="M159" s="268">
        <f>MAX(M160:M160)</f>
        <v>45639</v>
      </c>
      <c r="N159" s="312" t="s">
        <v>1863</v>
      </c>
      <c r="O159" s="304">
        <f>O160</f>
        <v>0</v>
      </c>
      <c r="P159" s="304">
        <f ca="1">SUMPRODUCT(P160:P160,U160:U160)/SUM(U160:U160)</f>
        <v>1</v>
      </c>
      <c r="Q159" s="246">
        <f t="shared" ca="1" si="33"/>
        <v>-1</v>
      </c>
      <c r="R159" s="252" t="s">
        <v>1964</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5" outlineLevel="1">
      <c r="A160" s="264" t="str">
        <f>E160&amp;G160</f>
        <v>lt002_instrumentrsk_mtgtd_ccp</v>
      </c>
      <c r="B160" s="141" t="s">
        <v>26</v>
      </c>
      <c r="C160" s="137" t="s">
        <v>26</v>
      </c>
      <c r="D160" s="226" t="s">
        <v>40</v>
      </c>
      <c r="E160" s="229" t="s">
        <v>379</v>
      </c>
      <c r="F160" s="229"/>
      <c r="G160" s="229" t="s">
        <v>381</v>
      </c>
      <c r="H160" s="226" t="str">
        <f>VLOOKUP(A160,'2. Status Detalhe Campos FY24'!$A$7:$G$731,7,0)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1860</v>
      </c>
      <c r="F161" s="230" t="s">
        <v>1884</v>
      </c>
      <c r="G161" s="231">
        <f>COUNTA(G162:G164)</f>
        <v>3</v>
      </c>
      <c r="H161" s="285" t="s">
        <v>1916</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0.66666666666666663</v>
      </c>
      <c r="P161" s="311">
        <f ca="1">SUMPRODUCT(P162:P164,U162:U164)/SUM(U162:U164)</f>
        <v>1</v>
      </c>
      <c r="Q161" s="238">
        <f t="shared" ca="1" si="33"/>
        <v>-0.33333333333333337</v>
      </c>
      <c r="R161" s="329" t="s">
        <v>1944</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5" outlineLevel="1">
      <c r="A162" s="264" t="str">
        <f>E162&amp;G162</f>
        <v>lt007_instr_activityenvrnmntl_objctv</v>
      </c>
      <c r="B162" s="141" t="s">
        <v>26</v>
      </c>
      <c r="C162" s="137" t="s">
        <v>26</v>
      </c>
      <c r="D162" s="226" t="s">
        <v>40</v>
      </c>
      <c r="E162" s="229" t="s">
        <v>1860</v>
      </c>
      <c r="F162" s="229"/>
      <c r="G162" s="229" t="s">
        <v>382</v>
      </c>
      <c r="H162" s="226" t="str">
        <f>VLOOKUP(A162,'2. Status Detalhe Campos FY24'!$A$7:$G$731,7,0)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5" outlineLevel="1">
      <c r="A163" s="264" t="str">
        <f>E163&amp;G163</f>
        <v>lt007_instr_activitytyp_actvty</v>
      </c>
      <c r="B163" s="141" t="s">
        <v>26</v>
      </c>
      <c r="C163" s="137" t="s">
        <v>26</v>
      </c>
      <c r="D163" s="226" t="s">
        <v>40</v>
      </c>
      <c r="E163" s="229" t="s">
        <v>1860</v>
      </c>
      <c r="F163" s="229"/>
      <c r="G163" s="229" t="s">
        <v>383</v>
      </c>
      <c r="H163" s="226" t="str">
        <f>VLOOKUP(A163,'2. Status Detalhe Campos FY24'!$A$7:$G$731,7,0)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5" outlineLevel="1">
      <c r="A164" s="264" t="str">
        <f>E164&amp;G164</f>
        <v>lt007_instr_activitysstnbl_indctr</v>
      </c>
      <c r="B164" s="141" t="s">
        <v>26</v>
      </c>
      <c r="C164" s="137" t="s">
        <v>26</v>
      </c>
      <c r="D164" s="226" t="s">
        <v>40</v>
      </c>
      <c r="E164" s="229" t="s">
        <v>1860</v>
      </c>
      <c r="F164" s="229"/>
      <c r="G164" s="229" t="s">
        <v>418</v>
      </c>
      <c r="H164" s="226" t="str">
        <f>VLOOKUP(A164,'2. Status Detalhe Campos FY24'!$A$7:$G$731,7,0)</f>
        <v>2.2 Em especificação</v>
      </c>
      <c r="I164" s="275">
        <v>45593</v>
      </c>
      <c r="J164" s="313">
        <v>45624</v>
      </c>
      <c r="K164" s="317">
        <v>45624</v>
      </c>
      <c r="L164" s="280">
        <f t="array" ref="L164">MIN(IF(W164:CI164&gt;0,$W$16:$CI$16))</f>
        <v>45644</v>
      </c>
      <c r="M164" s="281">
        <f t="array" ref="M164">MAX(IF(W164:CI164&gt;0,$W$16:$CI$16))</f>
        <v>45644</v>
      </c>
      <c r="N164" s="281"/>
      <c r="O164" s="239">
        <f>VLOOKUP(H164,Auxiliar!$B$16:$E$24,4,0)</f>
        <v>0</v>
      </c>
      <c r="P164" s="239">
        <f ca="1">IF(TODAY()&lt;=L164,0,MIN((TODAY()-L164)/(M164-L164+1),100%))</f>
        <v>1</v>
      </c>
      <c r="Q164" s="238">
        <f t="shared" ca="1" si="33"/>
        <v>-1</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1860</v>
      </c>
      <c r="F165" s="230" t="s">
        <v>1948</v>
      </c>
      <c r="G165" s="231">
        <f>COUNTA(G166)</f>
        <v>1</v>
      </c>
      <c r="H165" s="284" t="s">
        <v>1945</v>
      </c>
      <c r="I165" s="268">
        <f>MAX(I166:I172)</f>
        <v>45646</v>
      </c>
      <c r="J165" s="267">
        <f>MIN(J166:J172)</f>
        <v>45624</v>
      </c>
      <c r="K165" s="316">
        <f>MIN(K166:K172)</f>
        <v>45624</v>
      </c>
      <c r="L165" s="268">
        <f>MIN(L166:L172)</f>
        <v>45630</v>
      </c>
      <c r="M165" s="268">
        <f>MAX(M166:M172)</f>
        <v>45667</v>
      </c>
      <c r="N165" s="312" t="s">
        <v>1863</v>
      </c>
      <c r="O165" s="304">
        <f>O166</f>
        <v>0</v>
      </c>
      <c r="P165" s="304">
        <f ca="1">P166</f>
        <v>1</v>
      </c>
      <c r="Q165" s="238">
        <f ca="1">O165-P165</f>
        <v>-1</v>
      </c>
      <c r="R165" s="252" t="s">
        <v>1964</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1947</v>
      </c>
      <c r="CC165" s="271"/>
      <c r="CD165" s="271"/>
      <c r="CE165" s="271"/>
      <c r="CF165" s="271"/>
      <c r="CG165" s="271"/>
      <c r="CH165" s="271"/>
      <c r="CI165" s="271"/>
    </row>
    <row r="166" spans="1:87" ht="16.5" outlineLevel="1">
      <c r="A166" s="264" t="str">
        <f>E166&amp;G166</f>
        <v>lt007_instr_activitysstnbl_ctgry</v>
      </c>
      <c r="B166" s="141" t="s">
        <v>26</v>
      </c>
      <c r="C166" s="137" t="s">
        <v>26</v>
      </c>
      <c r="D166" s="226" t="s">
        <v>40</v>
      </c>
      <c r="E166" s="229" t="s">
        <v>1860</v>
      </c>
      <c r="F166" s="229"/>
      <c r="G166" s="229" t="s">
        <v>419</v>
      </c>
      <c r="H166" s="226" t="str">
        <f>VLOOKUP(A166,'2. Status Detalhe Campos FY24'!$A$7:$G$731,7,0)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1906</v>
      </c>
      <c r="G167" s="231">
        <f>COUNTA(G168:G168)</f>
        <v>1</v>
      </c>
      <c r="H167" s="285" t="s">
        <v>1916</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1950</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5"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FY24'!$A$7:$G$731,7,0)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1906</v>
      </c>
      <c r="G169" s="231">
        <f>COUNTA(G170:G173)</f>
        <v>4</v>
      </c>
      <c r="H169" s="345" t="s">
        <v>1207</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1962</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5" outlineLevel="1">
      <c r="A170" s="264" t="str">
        <f t="shared" si="39"/>
        <v>lt004_protectionflg_fin</v>
      </c>
      <c r="B170" s="141" t="s">
        <v>26</v>
      </c>
      <c r="C170" s="137" t="s">
        <v>26</v>
      </c>
      <c r="D170" s="226" t="s">
        <v>40</v>
      </c>
      <c r="E170" s="229" t="s">
        <v>368</v>
      </c>
      <c r="F170" s="229"/>
      <c r="G170" s="229" t="s">
        <v>480</v>
      </c>
      <c r="H170" s="226" t="str">
        <f>VLOOKUP(A170,'2. Status Detalhe Campos FY24'!$A$7:$G$731,7,0)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5" outlineLevel="1">
      <c r="A171" s="264" t="str">
        <f>E171&amp;G171</f>
        <v>lt004_protectionflg_col</v>
      </c>
      <c r="B171" s="141" t="s">
        <v>26</v>
      </c>
      <c r="C171" s="137" t="s">
        <v>26</v>
      </c>
      <c r="D171" s="226" t="s">
        <v>40</v>
      </c>
      <c r="E171" s="229" t="s">
        <v>368</v>
      </c>
      <c r="F171" s="229"/>
      <c r="G171" s="229" t="s">
        <v>479</v>
      </c>
      <c r="H171" s="226" t="str">
        <f>VLOOKUP(A171,'2. Status Detalhe Campos FY24'!$A$7:$G$731,7,0)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5" outlineLevel="1">
      <c r="A172" s="264" t="str">
        <f t="shared" si="39"/>
        <v>lt004_protectionflg_exec</v>
      </c>
      <c r="B172" s="141" t="s">
        <v>26</v>
      </c>
      <c r="C172" s="137" t="s">
        <v>26</v>
      </c>
      <c r="D172" s="226" t="s">
        <v>40</v>
      </c>
      <c r="E172" s="229" t="s">
        <v>368</v>
      </c>
      <c r="F172" s="229"/>
      <c r="G172" s="229" t="s">
        <v>1276</v>
      </c>
      <c r="H172" s="226" t="str">
        <f>VLOOKUP(A172,'2. Status Detalhe Campos FY24'!$A$7:$G$731,7,0)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5" outlineLevel="1">
      <c r="A173" s="264" t="str">
        <f t="shared" si="39"/>
        <v>lt004_protectionflg_pro</v>
      </c>
      <c r="B173" s="141" t="s">
        <v>26</v>
      </c>
      <c r="C173" s="137" t="s">
        <v>26</v>
      </c>
      <c r="D173" s="226" t="s">
        <v>40</v>
      </c>
      <c r="E173" s="229" t="s">
        <v>368</v>
      </c>
      <c r="F173" s="229"/>
      <c r="G173" s="229" t="s">
        <v>481</v>
      </c>
      <c r="H173" s="226" t="str">
        <f>VLOOKUP(A173,'2. Status Detalhe Campos FY24'!$A$7:$G$731,7,0)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1946</v>
      </c>
      <c r="G174" s="231">
        <f>COUNTA(G175)</f>
        <v>1</v>
      </c>
      <c r="H174" s="285" t="s">
        <v>1916</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1951</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5" outlineLevel="1">
      <c r="A175" s="264" t="str">
        <f>E175&amp;G175</f>
        <v>lt004_protectiontyp_prtctn</v>
      </c>
      <c r="B175" s="141" t="s">
        <v>26</v>
      </c>
      <c r="C175" s="137" t="s">
        <v>26</v>
      </c>
      <c r="D175" s="226" t="s">
        <v>40</v>
      </c>
      <c r="E175" s="229" t="s">
        <v>368</v>
      </c>
      <c r="F175" s="229"/>
      <c r="G175" s="229" t="s">
        <v>436</v>
      </c>
      <c r="H175" s="226" t="str">
        <f>VLOOKUP(A175,'2. Status Detalhe Campos FY24'!$A$7:$G$731,7,0)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1884</v>
      </c>
      <c r="G176" s="231">
        <f>COUNTA(G177:G188)</f>
        <v>12</v>
      </c>
      <c r="H176" s="284" t="s">
        <v>1915</v>
      </c>
      <c r="I176" s="266" t="s">
        <v>38</v>
      </c>
      <c r="J176" s="286">
        <f>MIN(J177:J188)</f>
        <v>45628</v>
      </c>
      <c r="K176" s="316">
        <f>MIN(K177:K188)</f>
        <v>45629</v>
      </c>
      <c r="L176" s="267">
        <f>MIN(L177:L188)</f>
        <v>45630</v>
      </c>
      <c r="M176" s="268">
        <f>MAX(M177:M188)</f>
        <v>45667</v>
      </c>
      <c r="N176" s="312" t="s">
        <v>1863</v>
      </c>
      <c r="O176" s="242">
        <v>0</v>
      </c>
      <c r="P176" s="242">
        <v>0</v>
      </c>
      <c r="Q176" s="238">
        <f t="shared" si="38"/>
        <v>0</v>
      </c>
      <c r="R176" s="252" t="s">
        <v>1965</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5"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FY24'!$A$7:$G$731,7,0)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5"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FY24'!$A$7:$G$731,7,0)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5"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FY24'!$A$7:$G$731,7,0)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5"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FY24'!$A$7:$G$731,7,0)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5"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FY24'!$A$7:$G$731,7,0)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5"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FY24'!$A$7:$G$731,7,0)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5"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FY24'!$A$7:$G$731,7,0)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5"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FY24'!$A$7:$G$731,7,0)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5"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FY24'!$A$7:$G$731,7,0)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5"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FY24'!$A$7:$G$731,7,0)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5"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FY24'!$A$7:$G$731,7,0)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5"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FY24'!$A$7:$G$731,7,0)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1922</v>
      </c>
      <c r="G189" s="231">
        <f>COUNTA(G190:G192)</f>
        <v>3</v>
      </c>
      <c r="H189" s="265" t="s">
        <v>1919</v>
      </c>
      <c r="I189" s="294">
        <f>MAX(I190:I192)</f>
        <v>45603</v>
      </c>
      <c r="J189" s="286">
        <f>MIN(J190:J192)</f>
        <v>45631</v>
      </c>
      <c r="K189" s="316">
        <f>MIN(K190:K192)</f>
        <v>45631</v>
      </c>
      <c r="L189" s="268">
        <f>MIN(L190:L192)</f>
        <v>45642</v>
      </c>
      <c r="M189" s="268">
        <f>MAX(M190:M192)</f>
        <v>45643</v>
      </c>
      <c r="N189" s="312" t="s">
        <v>1863</v>
      </c>
      <c r="O189" s="304">
        <f>SUMPRODUCT(O190:O192,U190:U192)/SUM(U190:U192)</f>
        <v>0</v>
      </c>
      <c r="P189" s="304">
        <f ca="1">SUMPRODUCT(P190:P192,U190:U192)/SUM(U190:U192)</f>
        <v>1</v>
      </c>
      <c r="Q189" s="238">
        <f t="shared" ref="Q189:Q197" ca="1" si="46">O189-P189</f>
        <v>-1</v>
      </c>
      <c r="R189" s="329" t="s">
        <v>1953</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5"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FY24'!$A$7:$G$731,7,0)</f>
        <v xml:space="preserve">6. Em implementação </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5"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FY24'!$A$7:$G$731,7,0)</f>
        <v xml:space="preserve">6. Em implementação </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5"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FY24'!$A$7:$G$731,7,0)</f>
        <v xml:space="preserve">6. Em implementação </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1906</v>
      </c>
      <c r="G193" s="231">
        <f>COUNTA(G194:G197)</f>
        <v>4</v>
      </c>
      <c r="H193" s="285" t="s">
        <v>1916</v>
      </c>
      <c r="I193" s="266" t="s">
        <v>38</v>
      </c>
      <c r="J193" s="302">
        <f>MIN(J194:J197)</f>
        <v>45638</v>
      </c>
      <c r="K193" s="266"/>
      <c r="L193" s="267">
        <f>MIN(L194:L197)</f>
        <v>45638</v>
      </c>
      <c r="M193" s="268">
        <f>MAX(M194:M197)</f>
        <v>45646</v>
      </c>
      <c r="N193" s="312">
        <f t="array" ref="N193">MAX(IF(W193:CI193&gt;0,$W$16:$CI$16))</f>
        <v>45646</v>
      </c>
      <c r="O193" s="311">
        <f>SUMPRODUCT(O194:O197,U194:U197)/SUM(U194:U197)</f>
        <v>1</v>
      </c>
      <c r="P193" s="311">
        <f ca="1">SUMPRODUCT(P194:P197,U194:U197)/SUM(U194:U197)</f>
        <v>1</v>
      </c>
      <c r="Q193" s="238">
        <f t="shared" ca="1" si="46"/>
        <v>0</v>
      </c>
      <c r="R193" s="329" t="s">
        <v>1944</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5"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FY24'!$A$7:$G$731,7,0)</f>
        <v>1. Concluído</v>
      </c>
      <c r="I194" s="266" t="s">
        <v>38</v>
      </c>
      <c r="J194" s="275">
        <v>45638</v>
      </c>
      <c r="K194" s="275">
        <v>45639</v>
      </c>
      <c r="L194" s="280">
        <f t="array" ref="L194">MIN(IF(W194:CI194&gt;0,$W$16:$CI$16))</f>
        <v>45643</v>
      </c>
      <c r="M194" s="281">
        <f t="array" ref="M194">MAX(IF(W194:CI194&gt;0,$W$16:$CI$16))</f>
        <v>45644</v>
      </c>
      <c r="N194" s="281"/>
      <c r="O194" s="239">
        <f>VLOOKUP(H194,Auxiliar!$B$16:$E$24,4,0)</f>
        <v>1</v>
      </c>
      <c r="P194" s="239">
        <f ca="1">IF(TODAY()&lt;=L194,0,MIN((TODAY()-L194)/(M194-L194+1),100%))</f>
        <v>1</v>
      </c>
      <c r="Q194" s="238">
        <f t="shared" ca="1" si="46"/>
        <v>0</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5"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FY24'!$A$7:$G$731,7,0)</f>
        <v>1. Concluído</v>
      </c>
      <c r="I195" s="266" t="s">
        <v>38</v>
      </c>
      <c r="J195" s="275">
        <v>45638</v>
      </c>
      <c r="K195" s="275">
        <v>45639</v>
      </c>
      <c r="L195" s="280">
        <f t="array" ref="L195">MIN(IF(W195:CI195&gt;0,$W$16:$CI$16))</f>
        <v>45645</v>
      </c>
      <c r="M195" s="281">
        <f t="array" ref="M195">MAX(IF(W195:CI195&gt;0,$W$16:$CI$16))</f>
        <v>45646</v>
      </c>
      <c r="N195" s="281"/>
      <c r="O195" s="239">
        <f>VLOOKUP(H195,Auxiliar!$B$16:$E$24,4,0)</f>
        <v>1</v>
      </c>
      <c r="P195" s="239">
        <f ca="1">IF(TODAY()&lt;=L195,0,MIN((TODAY()-L195)/(M195-L195+1),100%))</f>
        <v>1</v>
      </c>
      <c r="Q195" s="238">
        <f t="shared" ca="1" si="46"/>
        <v>0</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5"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FY24'!$A$7:$G$731,7,0)</f>
        <v>1. Concluído</v>
      </c>
      <c r="I196" s="266" t="s">
        <v>38</v>
      </c>
      <c r="J196" s="275">
        <v>45638</v>
      </c>
      <c r="K196" s="275">
        <v>45639</v>
      </c>
      <c r="L196" s="280">
        <f t="array" ref="L196">MIN(IF(W196:CI196&gt;0,$W$16:$CI$16))</f>
        <v>45638</v>
      </c>
      <c r="M196" s="281">
        <f t="array" ref="M196">MAX(IF(W196:CI196&gt;0,$W$16:$CI$16))</f>
        <v>45638</v>
      </c>
      <c r="N196" s="281"/>
      <c r="O196" s="239">
        <f>VLOOKUP(H196,Auxiliar!$B$16:$E$24,4,0)</f>
        <v>1</v>
      </c>
      <c r="P196" s="239">
        <f ca="1">IF(TODAY()&lt;=L196,0,MIN((TODAY()-L196)/(M196-L196+1),100%))</f>
        <v>1</v>
      </c>
      <c r="Q196" s="238">
        <f t="shared" ca="1" si="46"/>
        <v>0</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5"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FY24'!$A$7:$G$731,7,0)</f>
        <v>1. Concluído</v>
      </c>
      <c r="I197" s="266" t="s">
        <v>38</v>
      </c>
      <c r="J197" s="275">
        <v>45638</v>
      </c>
      <c r="K197" s="275">
        <v>45639</v>
      </c>
      <c r="L197" s="280">
        <f t="array" ref="L197">MIN(IF(W197:CI197&gt;0,$W$16:$CI$16))</f>
        <v>45638</v>
      </c>
      <c r="M197" s="281">
        <f t="array" ref="M197">MAX(IF(W197:CI197&gt;0,$W$16:$CI$16))</f>
        <v>45638</v>
      </c>
      <c r="N197" s="281"/>
      <c r="O197" s="239">
        <f>VLOOKUP(H197,Auxiliar!$B$16:$E$24,4,0)</f>
        <v>1</v>
      </c>
      <c r="P197" s="239">
        <f ca="1">IF(TODAY()&lt;=L197,0,MIN((TODAY()-L197)/(M197-L197+1),100%))</f>
        <v>1</v>
      </c>
      <c r="Q197" s="238">
        <f t="shared" ca="1" si="46"/>
        <v>0</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1921</v>
      </c>
      <c r="G198" s="231">
        <f>COUNTA(G199:G204)</f>
        <v>6</v>
      </c>
      <c r="H198" s="285" t="s">
        <v>1916</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1950</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5"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FY24'!$A$7:$G$731,7,0)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1859</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5"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FY24'!$A$7:$G$731,7,0)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1859</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5"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FY24'!$A$7:$G$731,7,0)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1859</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5"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FY24'!$A$7:$G$731,7,0)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1859</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5"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FY24'!$A$7:$G$731,7,0)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1859</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5"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FY24'!$A$7:$G$731,7,0)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1859</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1908</v>
      </c>
      <c r="G205" s="231">
        <f>COUNTA(G206:G217)</f>
        <v>12</v>
      </c>
      <c r="H205" s="344" t="s">
        <v>572</v>
      </c>
      <c r="I205" s="266" t="s">
        <v>38</v>
      </c>
      <c r="J205" s="267">
        <f>MIN(J206:J217)</f>
        <v>45630</v>
      </c>
      <c r="K205" s="267">
        <f>MIN(K206:K217)</f>
        <v>45631</v>
      </c>
      <c r="L205" s="269">
        <f>MIN(L206:L217)</f>
        <v>45646</v>
      </c>
      <c r="M205" s="269">
        <f>MAX(M206:M217)</f>
        <v>45659</v>
      </c>
      <c r="N205" s="312" t="s">
        <v>1863</v>
      </c>
      <c r="O205" s="242" t="e">
        <f>SUMPRODUCT(O206:O217,U206:U217)/SUM(U206:U217)</f>
        <v>#N/A</v>
      </c>
      <c r="P205" s="242">
        <v>0</v>
      </c>
      <c r="Q205" s="238" t="e">
        <f>O205-P205</f>
        <v>#N/A</v>
      </c>
      <c r="R205" s="331" t="s">
        <v>1966</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FY24'!$A$7:$G$731,7,0)</f>
        <v>1. Concluído</v>
      </c>
      <c r="I206" s="266" t="s">
        <v>38</v>
      </c>
      <c r="J206" s="275">
        <v>45630</v>
      </c>
      <c r="K206" s="275">
        <v>45631</v>
      </c>
      <c r="L206" s="276">
        <f t="array" ref="L206">MIN(IF(W206:CI206&gt;0,$W$16:$CI$16))</f>
        <v>45646</v>
      </c>
      <c r="M206" s="277">
        <f t="array" ref="M206">MAX(IF(W206:CI206&gt;0,$W$16:$CI$16))</f>
        <v>45646</v>
      </c>
      <c r="N206" s="277"/>
      <c r="O206" s="239">
        <f>VLOOKUP(H206,Auxiliar!$B$16:$E$24,4,0)</f>
        <v>1</v>
      </c>
      <c r="P206" s="239">
        <f ca="1">IF(TODAY()&lt;=L206,0,MIN((TODAY()-L206)/(M206-L206+1),100%))</f>
        <v>1</v>
      </c>
      <c r="Q206" s="238">
        <f t="shared" ref="Q206:Q247" ca="1" si="53">O206-P206</f>
        <v>0</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FY24'!$A$7:$G$731,7,0)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FY24'!$A$7:$G$731,7,0)</f>
        <v>1. Concluído</v>
      </c>
      <c r="I208" s="266" t="s">
        <v>38</v>
      </c>
      <c r="J208" s="275">
        <v>45630</v>
      </c>
      <c r="K208" s="275">
        <v>45631</v>
      </c>
      <c r="L208" s="276">
        <f t="array" ref="L208">MIN(IF(W208:CI208&gt;0,$W$16:$CI$16))</f>
        <v>45646</v>
      </c>
      <c r="M208" s="277">
        <f t="array" ref="M208">MAX(IF(W208:CI208&gt;0,$W$16:$CI$16))</f>
        <v>45646</v>
      </c>
      <c r="N208" s="277"/>
      <c r="O208" s="239">
        <f>VLOOKUP(H208,Auxiliar!$B$16:$E$24,4,0)</f>
        <v>1</v>
      </c>
      <c r="P208" s="239">
        <f t="shared" ca="1" si="56"/>
        <v>1</v>
      </c>
      <c r="Q208" s="238">
        <f t="shared" ca="1" si="53"/>
        <v>0</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FY24'!$A$7:$G$731,7,0)</f>
        <v>1. Concluído</v>
      </c>
      <c r="I209" s="266" t="s">
        <v>38</v>
      </c>
      <c r="J209" s="275">
        <v>45630</v>
      </c>
      <c r="K209" s="275">
        <v>45631</v>
      </c>
      <c r="L209" s="276">
        <f t="array" ref="L209">MIN(IF(W209:CI209&gt;0,$W$16:$CI$16))</f>
        <v>45646</v>
      </c>
      <c r="M209" s="277">
        <f t="array" ref="M209">MAX(IF(W209:CI209&gt;0,$W$16:$CI$16))</f>
        <v>45646</v>
      </c>
      <c r="N209" s="277"/>
      <c r="O209" s="239">
        <f>VLOOKUP(H209,Auxiliar!$B$16:$E$24,4,0)</f>
        <v>1</v>
      </c>
      <c r="P209" s="239">
        <f t="shared" ca="1" si="56"/>
        <v>1</v>
      </c>
      <c r="Q209" s="238">
        <f t="shared" ca="1" si="53"/>
        <v>0</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FY24'!$A$7:$G$731,7,0)</f>
        <v>1. Concluído</v>
      </c>
      <c r="I210" s="266" t="s">
        <v>38</v>
      </c>
      <c r="J210" s="275">
        <v>45630</v>
      </c>
      <c r="K210" s="275">
        <v>45631</v>
      </c>
      <c r="L210" s="276">
        <f t="array" ref="L210">MIN(IF(W210:CI210&gt;0,$W$16:$CI$16))</f>
        <v>45646</v>
      </c>
      <c r="M210" s="277">
        <f t="array" ref="M210">MAX(IF(W210:CI210&gt;0,$W$16:$CI$16))</f>
        <v>45646</v>
      </c>
      <c r="N210" s="277"/>
      <c r="O210" s="239">
        <f>VLOOKUP(H210,Auxiliar!$B$16:$E$24,4,0)</f>
        <v>1</v>
      </c>
      <c r="P210" s="239">
        <f t="shared" ca="1" si="56"/>
        <v>1</v>
      </c>
      <c r="Q210" s="238">
        <f t="shared" ca="1" si="53"/>
        <v>0</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FY24'!$A$7:$G$731,7,0)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FY24'!$A$7:$G$731,7,0)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FY24'!$A$7:$G$731,7,0)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FY24'!$A$7:$G$731,7,0)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FY24'!$A$7:$G$731,7,0)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FY24'!$A$7:$G$731,7,0)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FY24'!$A$7:$G$731,7,0)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1884</v>
      </c>
      <c r="G218" s="245">
        <v>1</v>
      </c>
      <c r="H218" s="285" t="s">
        <v>1916</v>
      </c>
      <c r="I218" s="268">
        <v>45604</v>
      </c>
      <c r="J218" s="268">
        <v>45645</v>
      </c>
      <c r="K218" s="268">
        <v>45645</v>
      </c>
      <c r="L218" s="269"/>
      <c r="M218" s="300"/>
      <c r="N218" s="312">
        <f t="array" ref="N218">MAX(IF(W218:CI218&gt;0,$W$16:$CI$16))</f>
        <v>45667</v>
      </c>
      <c r="O218" s="311">
        <v>1</v>
      </c>
      <c r="P218" s="311">
        <v>1</v>
      </c>
      <c r="Q218" s="238">
        <f>O218-P218</f>
        <v>0</v>
      </c>
      <c r="R218" s="329" t="s">
        <v>1951</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1917</v>
      </c>
      <c r="F219" s="230" t="s">
        <v>1940</v>
      </c>
      <c r="G219" s="245" t="s">
        <v>1863</v>
      </c>
      <c r="H219" s="265" t="s">
        <v>1919</v>
      </c>
      <c r="I219" s="268">
        <v>45604</v>
      </c>
      <c r="J219" s="268">
        <v>45630</v>
      </c>
      <c r="K219" s="268">
        <v>45631</v>
      </c>
      <c r="L219" s="269">
        <f t="array" ref="L219">MIN(IF(W219:CI219&gt;0,$W$16:$CI$16))</f>
        <v>45665</v>
      </c>
      <c r="M219" s="300">
        <f t="array" ref="M219">MAX(IF(W219:CI219&gt;0,$W$16:$CI$16))</f>
        <v>45667</v>
      </c>
      <c r="N219" s="312" t="s">
        <v>1863</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1905</v>
      </c>
      <c r="G220" s="318">
        <f>COUNTA(G221:G224)</f>
        <v>4</v>
      </c>
      <c r="H220" s="285" t="s">
        <v>1916</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1</v>
      </c>
      <c r="P220" s="311">
        <f ca="1">SUMPRODUCT(P221:P224,U221:U224)/SUM(U221:U224)</f>
        <v>1</v>
      </c>
      <c r="Q220" s="238">
        <f t="shared" ref="Q220:Q225" ca="1" si="57">O220-P220</f>
        <v>0</v>
      </c>
      <c r="R220" s="329" t="s">
        <v>1963</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5"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FY24'!$A$7:$G$731,7,0)</f>
        <v>1. Concluído</v>
      </c>
      <c r="I221" s="266" t="s">
        <v>38</v>
      </c>
      <c r="J221" s="275">
        <v>45631</v>
      </c>
      <c r="K221" s="275">
        <v>45631</v>
      </c>
      <c r="L221" s="280">
        <f t="array" ref="L221">MIN(IF(W221:CI221&gt;0,$W$16:$CI$16))</f>
        <v>45663</v>
      </c>
      <c r="M221" s="281">
        <f t="array" ref="M221">MAX(IF(W221:CI221&gt;0,$W$16:$CI$16))</f>
        <v>45663</v>
      </c>
      <c r="N221" s="281"/>
      <c r="O221" s="239">
        <f>VLOOKUP(H221,Auxiliar!$B$16:$E$24,4,0)</f>
        <v>1</v>
      </c>
      <c r="P221" s="239">
        <f ca="1">IF(TODAY()&lt;=L221,0,MIN((TODAY()-L221)/(M221-L221+1),100%))</f>
        <v>1</v>
      </c>
      <c r="Q221" s="238">
        <f t="shared" ca="1" si="57"/>
        <v>0</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5"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FY24'!$A$7:$G$731,7,0)</f>
        <v>1. Concluído</v>
      </c>
      <c r="I222" s="266" t="s">
        <v>38</v>
      </c>
      <c r="J222" s="275">
        <v>45631</v>
      </c>
      <c r="K222" s="275">
        <v>45631</v>
      </c>
      <c r="L222" s="280">
        <f t="array" ref="L222">MIN(IF(W222:CI222&gt;0,$W$16:$CI$16))</f>
        <v>45663</v>
      </c>
      <c r="M222" s="281">
        <f t="array" ref="M222">MAX(IF(W222:CI222&gt;0,$W$16:$CI$16))</f>
        <v>45664</v>
      </c>
      <c r="N222" s="281"/>
      <c r="O222" s="239">
        <f>VLOOKUP(H222,Auxiliar!$B$16:$E$24,4,0)</f>
        <v>1</v>
      </c>
      <c r="P222" s="239">
        <f ca="1">IF(TODAY()&lt;=L222,0,MIN((TODAY()-L222)/(M222-L222+1),100%))</f>
        <v>1</v>
      </c>
      <c r="Q222" s="238">
        <f t="shared" ca="1" si="57"/>
        <v>0</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5"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FY24'!$A$7:$G$731,7,0)</f>
        <v>1. Concluído</v>
      </c>
      <c r="I223" s="266" t="s">
        <v>38</v>
      </c>
      <c r="J223" s="275">
        <v>45631</v>
      </c>
      <c r="K223" s="275">
        <v>45631</v>
      </c>
      <c r="L223" s="280">
        <f t="array" ref="L223">MIN(IF(W223:CI223&gt;0,$W$16:$CI$16))</f>
        <v>45664</v>
      </c>
      <c r="M223" s="281">
        <f t="array" ref="M223">MAX(IF(W223:CI223&gt;0,$W$16:$CI$16))</f>
        <v>45664</v>
      </c>
      <c r="N223" s="281"/>
      <c r="O223" s="239">
        <f>VLOOKUP(H223,Auxiliar!$B$16:$E$24,4,0)</f>
        <v>1</v>
      </c>
      <c r="P223" s="239">
        <f ca="1">IF(TODAY()&lt;=L223,0,MIN((TODAY()-L223)/(M223-L223+1),100%))</f>
        <v>1</v>
      </c>
      <c r="Q223" s="238">
        <f t="shared" ca="1" si="57"/>
        <v>0</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5"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FY24'!$A$7:$G$731,7,0)</f>
        <v>1. Concluído</v>
      </c>
      <c r="I224" s="266" t="s">
        <v>38</v>
      </c>
      <c r="J224" s="275">
        <v>45631</v>
      </c>
      <c r="K224" s="275">
        <v>45631</v>
      </c>
      <c r="L224" s="280">
        <f t="array" ref="L224">MIN(IF(W224:CI224&gt;0,$W$16:$CI$16))</f>
        <v>45664</v>
      </c>
      <c r="M224" s="281">
        <f t="array" ref="M224">MAX(IF(W224:CI224&gt;0,$W$16:$CI$16))</f>
        <v>45664</v>
      </c>
      <c r="N224" s="281"/>
      <c r="O224" s="239">
        <f>VLOOKUP(H224,Auxiliar!$B$16:$E$24,4,0)</f>
        <v>1</v>
      </c>
      <c r="P224" s="239">
        <f ca="1">IF(TODAY()&lt;=L224,0,MIN((TODAY()-L224)/(M224-L224+1),100%))</f>
        <v>1</v>
      </c>
      <c r="Q224" s="238">
        <f t="shared" ca="1" si="57"/>
        <v>0</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1907</v>
      </c>
      <c r="G225" s="245">
        <v>3</v>
      </c>
      <c r="H225" s="288" t="s">
        <v>1920</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5" outlineLevel="1">
      <c r="A226" s="264" t="str">
        <f t="shared" si="58"/>
        <v>lt002_instrumentgrss_intrst_incm</v>
      </c>
      <c r="B226" s="141" t="s">
        <v>26</v>
      </c>
      <c r="C226" s="137" t="s">
        <v>26</v>
      </c>
      <c r="D226" s="226"/>
      <c r="E226" s="229" t="s">
        <v>379</v>
      </c>
      <c r="F226" s="229"/>
      <c r="G226" s="320" t="s">
        <v>420</v>
      </c>
      <c r="H226" s="226" t="str">
        <f>VLOOKUP(A226,'2. Status Detalhe Campos FY24'!$A$7:$G$731,7,0)</f>
        <v xml:space="preserve">6. Em implementação </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5" outlineLevel="1">
      <c r="A227" s="264" t="str">
        <f t="shared" si="58"/>
        <v>lt002_instrumentgrss_cmmssn_incm</v>
      </c>
      <c r="B227" s="141" t="s">
        <v>26</v>
      </c>
      <c r="C227" s="137" t="s">
        <v>26</v>
      </c>
      <c r="D227" s="226"/>
      <c r="E227" s="229" t="s">
        <v>379</v>
      </c>
      <c r="F227" s="229"/>
      <c r="G227" s="320" t="s">
        <v>421</v>
      </c>
      <c r="H227" s="226" t="str">
        <f>VLOOKUP(A227,'2. Status Detalhe Campos FY24'!$A$7:$G$731,7,0)</f>
        <v xml:space="preserve">6. Em implementação </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5" outlineLevel="1">
      <c r="A228" s="264" t="str">
        <f t="shared" si="58"/>
        <v>lt002_instrumentgrss_cmmssn_incm_off_blnc</v>
      </c>
      <c r="B228" s="141" t="s">
        <v>26</v>
      </c>
      <c r="C228" s="137" t="s">
        <v>26</v>
      </c>
      <c r="D228" s="226"/>
      <c r="E228" s="229" t="s">
        <v>379</v>
      </c>
      <c r="F228" s="229"/>
      <c r="G228" s="320" t="s">
        <v>422</v>
      </c>
      <c r="H228" s="226" t="str">
        <f>VLOOKUP(A228,'2. Status Detalhe Campos FY24'!$A$7:$G$731,7,0)</f>
        <v xml:space="preserve">6. Em implementação </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1908</v>
      </c>
      <c r="G229" s="318">
        <f>COUNTA(G230:G248)</f>
        <v>19</v>
      </c>
      <c r="H229" s="285" t="s">
        <v>1916</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1941</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5"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FY24'!$A$7:$G$731,7,0)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1856</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5"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FY24'!$A$7:$G$731,7,0)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1856</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5"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FY24'!$A$7:$G$731,7,0)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1856</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5"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FY24'!$A$7:$G$731,7,0)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1856</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5"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FY24'!$A$7:$G$731,7,0)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1856</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5"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FY24'!$A$7:$G$731,7,0)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1856</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5"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FY24'!$A$7:$G$731,7,0)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1856</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5"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FY24'!$A$7:$G$731,7,0)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1856</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5"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FY24'!$A$7:$G$731,7,0)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1856</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5"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FY24'!$A$7:$G$731,7,0)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1856</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5"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FY24'!$A$7:$G$731,7,0)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1856</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5"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FY24'!$A$7:$G$731,7,0)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1856</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5"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FY24'!$A$7:$G$731,7,0)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1856</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5"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FY24'!$A$7:$G$731,7,0)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1856</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5"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FY24'!$A$7:$G$731,7,0)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1856</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5"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FY24'!$A$7:$G$731,7,0)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1856</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5"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FY24'!$A$7:$G$731,7,0)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1856</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5"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FY24'!$A$7:$G$731,7,0)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1856</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5"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FY24'!$A$7:$G$731,7,0)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1856</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1908</v>
      </c>
      <c r="G249" s="318">
        <f>COUNTA(G250:G254)</f>
        <v>5</v>
      </c>
      <c r="H249" s="344" t="s">
        <v>572</v>
      </c>
      <c r="I249" s="266" t="s">
        <v>38</v>
      </c>
      <c r="J249" s="267">
        <f>MIN(J250:J268)</f>
        <v>45631</v>
      </c>
      <c r="K249" s="267">
        <f>MIN(K250:K268)</f>
        <v>45639</v>
      </c>
      <c r="L249" s="269" t="e">
        <f>MIN(L250:L268)</f>
        <v>#N/A</v>
      </c>
      <c r="M249" s="269" t="e">
        <f>MAX(M250:M268)</f>
        <v>#N/A</v>
      </c>
      <c r="N249" s="312" t="s">
        <v>1863</v>
      </c>
      <c r="O249" s="304">
        <f>SUMPRODUCT(O250:O268,U250:U268)/SUM(U250:U268)</f>
        <v>6.3291139240506319E-2</v>
      </c>
      <c r="P249" s="304">
        <f ca="1">SUMPRODUCT(P250:P268,U250:U268)/SUM(U250:U268)</f>
        <v>0.25316455696202528</v>
      </c>
      <c r="Q249" s="238">
        <f t="shared" ca="1" si="60"/>
        <v>-0.18987341772151894</v>
      </c>
      <c r="R249" s="329" t="s">
        <v>1967</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5" outlineLevel="1">
      <c r="A250" s="264" t="str">
        <f>E250&amp;G250</f>
        <v>PROPERTY_ENERGY_CERTIFICATEEPC</v>
      </c>
      <c r="B250" s="141" t="s">
        <v>26</v>
      </c>
      <c r="C250" s="137" t="s">
        <v>54</v>
      </c>
      <c r="D250" s="226" t="s">
        <v>40</v>
      </c>
      <c r="E250" s="227" t="s">
        <v>123</v>
      </c>
      <c r="F250" s="227"/>
      <c r="G250" s="319" t="s">
        <v>47</v>
      </c>
      <c r="H250" s="226" t="str">
        <f>VLOOKUP(A250,'2. Status Detalhe Campos FY24'!$A$7:$G$731,7,0)</f>
        <v>1. Concluído</v>
      </c>
      <c r="I250" s="266" t="s">
        <v>38</v>
      </c>
      <c r="J250" s="275">
        <v>45638</v>
      </c>
      <c r="K250" s="275">
        <v>45639</v>
      </c>
      <c r="L250" s="280">
        <f t="array" ref="L250">MIN(IF(W250:CI250&gt;0,$W$16:$CI$16))</f>
        <v>45639</v>
      </c>
      <c r="M250" s="281">
        <f t="array" ref="M250">MAX(IF(W250:CI250&gt;0,$W$16:$CI$16))</f>
        <v>45639</v>
      </c>
      <c r="N250" s="281"/>
      <c r="O250" s="239">
        <f>VLOOKUP(H250,Auxiliar!$B$16:$E$24,4,0)</f>
        <v>1</v>
      </c>
      <c r="P250" s="305">
        <f ca="1">IF(TODAY()&lt;=L250,0,MIN((TODAY()-L250)/(M250-L250+1),100%))</f>
        <v>1</v>
      </c>
      <c r="Q250" s="238">
        <f t="shared" ca="1" si="60"/>
        <v>0</v>
      </c>
      <c r="R250" s="332"/>
      <c r="S250" s="282" t="s">
        <v>1856</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5"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FY24'!$A$7:$G$731,7,0)</f>
        <v xml:space="preserve">6. Em implementação </v>
      </c>
      <c r="I251" s="266"/>
      <c r="J251" s="275"/>
      <c r="K251" s="275"/>
      <c r="L251" s="280"/>
      <c r="M251" s="281"/>
      <c r="N251" s="281"/>
      <c r="O251" s="239">
        <f>VLOOKUP(H251,Auxiliar!$B$16:$E$24,4,0)</f>
        <v>0</v>
      </c>
      <c r="P251" s="305">
        <f ca="1">IF(TODAY()&lt;=L251,0,MIN((TODAY()-L251)/(M251-L251+1),100%))</f>
        <v>1</v>
      </c>
      <c r="Q251" s="238">
        <f t="shared" ca="1" si="60"/>
        <v>-1</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5"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FY24'!$A$7:$G$731,7,0)</f>
        <v xml:space="preserve">6. Em implementação </v>
      </c>
      <c r="I252" s="266" t="s">
        <v>38</v>
      </c>
      <c r="J252" s="275">
        <v>45638</v>
      </c>
      <c r="K252" s="275">
        <v>45639</v>
      </c>
      <c r="L252" s="280">
        <f t="array" ref="L252">MIN(IF(W252:CI252&gt;0,$W$16:$CI$16))</f>
        <v>45639</v>
      </c>
      <c r="M252" s="281">
        <f t="array" ref="M252">MAX(IF(W252:CI252&gt;0,$W$16:$CI$16))</f>
        <v>45639</v>
      </c>
      <c r="N252" s="281"/>
      <c r="O252" s="239">
        <f>VLOOKUP(H252,Auxiliar!$B$16:$E$24,4,0)</f>
        <v>0</v>
      </c>
      <c r="P252" s="305">
        <f ca="1">IF(TODAY()&lt;=L252,0,MIN((TODAY()-L252)/(M252-L252+1),100%))</f>
        <v>1</v>
      </c>
      <c r="Q252" s="238">
        <f t="shared" ca="1" si="60"/>
        <v>-1</v>
      </c>
      <c r="R252" s="332"/>
      <c r="S252" s="282" t="s">
        <v>1856</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5"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FY24'!$A$7:$G$731,7,0)</f>
        <v>2.2 Em especificação</v>
      </c>
      <c r="I253" s="266" t="s">
        <v>38</v>
      </c>
      <c r="J253" s="275">
        <v>45638</v>
      </c>
      <c r="K253" s="275">
        <v>45639</v>
      </c>
      <c r="L253" s="280">
        <f t="array" ref="L253">MIN(IF(W253:CI253&gt;0,$W$16:$CI$16))</f>
        <v>45639</v>
      </c>
      <c r="M253" s="281">
        <f t="array" ref="M253">MAX(IF(W253:CI253&gt;0,$W$16:$CI$16))</f>
        <v>45639</v>
      </c>
      <c r="N253" s="281"/>
      <c r="O253" s="239">
        <f>VLOOKUP(H253,Auxiliar!$B$16:$E$24,4,0)</f>
        <v>0</v>
      </c>
      <c r="P253" s="305">
        <f ca="1">IF(TODAY()&lt;=L253,0,MIN((TODAY()-L253)/(M253-L253+1),100%))</f>
        <v>1</v>
      </c>
      <c r="Q253" s="238">
        <f t="shared" ca="1" si="60"/>
        <v>-1</v>
      </c>
      <c r="R253" s="332"/>
      <c r="S253" s="282" t="s">
        <v>1856</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5" outlineLevel="1">
      <c r="A254" s="264" t="str">
        <f>E254&amp;G254</f>
        <v>PROPERTY_ENERGY_CERTIFICATECURRENT_ENERGY_RATING_PERCENTAGE</v>
      </c>
      <c r="B254" s="141" t="s">
        <v>26</v>
      </c>
      <c r="C254" s="137" t="s">
        <v>54</v>
      </c>
      <c r="D254" s="226" t="s">
        <v>40</v>
      </c>
      <c r="E254" s="227" t="s">
        <v>123</v>
      </c>
      <c r="F254" s="227"/>
      <c r="G254" s="319" t="s">
        <v>1958</v>
      </c>
      <c r="H254" s="226" t="str">
        <f>VLOOKUP(A254,'2. Status Detalhe Campos FY24'!$A$7:$G$731,7,0)</f>
        <v xml:space="preserve">6. Em implementação </v>
      </c>
      <c r="I254" s="266" t="s">
        <v>38</v>
      </c>
      <c r="J254" s="275">
        <v>45638</v>
      </c>
      <c r="K254" s="275">
        <v>45639</v>
      </c>
      <c r="L254" s="280">
        <f t="array" ref="L254">MIN(IF(W254:CI254&gt;0,$W$16:$CI$16))</f>
        <v>45674</v>
      </c>
      <c r="M254" s="281">
        <f t="array" ref="M254">MAX(IF(W254:CI254&gt;0,$W$16:$CI$16))</f>
        <v>45674</v>
      </c>
      <c r="N254" s="281"/>
      <c r="O254" s="239">
        <f>VLOOKUP(H254,Auxiliar!$B$16:$E$24,4,0)</f>
        <v>0</v>
      </c>
      <c r="P254" s="305">
        <f ca="1">IF(TODAY()&lt;=L254,0,MIN((TODAY()-L254)/(M254-L254+1),100%))</f>
        <v>1</v>
      </c>
      <c r="Q254" s="238">
        <f t="shared" ca="1" si="60"/>
        <v>-1</v>
      </c>
      <c r="R254" s="332"/>
      <c r="S254" s="282" t="s">
        <v>1856</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1918</v>
      </c>
      <c r="F255" s="230" t="s">
        <v>1884</v>
      </c>
      <c r="G255" s="245" t="s">
        <v>1863</v>
      </c>
      <c r="H255" s="284" t="s">
        <v>1952</v>
      </c>
      <c r="I255" s="268" t="s">
        <v>38</v>
      </c>
      <c r="J255" s="268">
        <v>45645</v>
      </c>
      <c r="K255" s="266"/>
      <c r="L255" s="269">
        <f t="array" ref="L255">MIN(IF(W255:CI255&gt;0,$W$16:$CI$16))</f>
        <v>45671</v>
      </c>
      <c r="M255" s="300">
        <f t="array" ref="M255">MAX(IF(W255:CI255&gt;0,$W$16:$CI$16))</f>
        <v>45674</v>
      </c>
      <c r="N255" s="312" t="s">
        <v>1863</v>
      </c>
      <c r="O255" s="306">
        <v>0</v>
      </c>
      <c r="P255" s="306">
        <v>0</v>
      </c>
      <c r="Q255" s="238">
        <f t="shared" si="60"/>
        <v>0</v>
      </c>
      <c r="R255" s="331" t="s">
        <v>1957</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1862</v>
      </c>
      <c r="F256" s="230" t="s">
        <v>1884</v>
      </c>
      <c r="G256" s="245" t="s">
        <v>1863</v>
      </c>
      <c r="H256" s="285" t="s">
        <v>1916</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1882</v>
      </c>
      <c r="D257" s="133"/>
      <c r="E257" s="232" t="s">
        <v>1864</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56" priority="2" operator="notEqual">
      <formula>0</formula>
    </cfRule>
  </conditionalFormatting>
  <conditionalFormatting sqref="W144:CA145 W146:CF146">
    <cfRule type="cellIs" dxfId="55"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54" priority="119" operator="greaterThan">
      <formula>0</formula>
    </cfRule>
  </conditionalFormatting>
  <conditionalFormatting sqref="W17:CI143">
    <cfRule type="cellIs" dxfId="53" priority="16" operator="greaterThan">
      <formula>0</formula>
    </cfRule>
  </conditionalFormatting>
  <conditionalFormatting sqref="W147:CI147">
    <cfRule type="cellIs" dxfId="52" priority="21" operator="greaterThan">
      <formula>0</formula>
    </cfRule>
  </conditionalFormatting>
  <conditionalFormatting sqref="W160:CI166">
    <cfRule type="cellIs" dxfId="51" priority="38" operator="greaterThan">
      <formula>0</formula>
    </cfRule>
  </conditionalFormatting>
  <conditionalFormatting sqref="W168:CI187">
    <cfRule type="cellIs" dxfId="50" priority="10" operator="greaterThan">
      <formula>0</formula>
    </cfRule>
  </conditionalFormatting>
  <conditionalFormatting sqref="W226:CI255">
    <cfRule type="cellIs" dxfId="49" priority="1" operator="greaterThan">
      <formula>0</formula>
    </cfRule>
  </conditionalFormatting>
  <conditionalFormatting sqref="Y6:CI6 Y9:CI10">
    <cfRule type="cellIs" dxfId="48" priority="131" operator="notEqual">
      <formula>0</formula>
    </cfRule>
  </conditionalFormatting>
  <conditionalFormatting sqref="AO50:BT50">
    <cfRule type="cellIs" dxfId="47" priority="121" operator="greaterThan">
      <formula>0</formula>
    </cfRule>
  </conditionalFormatting>
  <conditionalFormatting sqref="AO70:BT73 BU70:CI75 AP74:AT74">
    <cfRule type="cellIs" dxfId="46" priority="76" operator="greaterThan">
      <formula>0</formula>
    </cfRule>
  </conditionalFormatting>
  <conditionalFormatting sqref="AO88:CI88">
    <cfRule type="cellIs" dxfId="45" priority="118" operator="greaterThan">
      <formula>0</formula>
    </cfRule>
  </conditionalFormatting>
  <conditionalFormatting sqref="BB218">
    <cfRule type="cellIs" dxfId="44" priority="84" operator="greaterThan">
      <formula>0</formula>
    </cfRule>
  </conditionalFormatting>
  <conditionalFormatting sqref="BU89:CI90">
    <cfRule type="cellIs" dxfId="43" priority="130" operator="greaterThan">
      <formula>0</formula>
    </cfRule>
  </conditionalFormatting>
  <conditionalFormatting sqref="CB145:CF145">
    <cfRule type="cellIs" dxfId="42" priority="20" operator="greaterThan">
      <formula>0</formula>
    </cfRule>
  </conditionalFormatting>
  <conditionalFormatting sqref="CC144:CI144">
    <cfRule type="cellIs" dxfId="41" priority="29" operator="greaterThan">
      <formula>0</formula>
    </cfRule>
  </conditionalFormatting>
  <conditionalFormatting sqref="CG145:CI146">
    <cfRule type="cellIs" dxfId="40" priority="23" operator="greaterThan">
      <formula>0</formula>
    </cfRule>
  </conditionalFormatting>
  <conditionalFormatting sqref="CG148:CI159">
    <cfRule type="cellIs" dxfId="39"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R542" activePane="bottomRight" state="frozen"/>
      <selection pane="topRight" activeCell="D136" sqref="D136"/>
      <selection pane="bottomLeft" activeCell="D136" sqref="D136"/>
      <selection pane="bottomRight" activeCell="F246" sqref="F246"/>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12">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12"/>
        <v>#N/A</v>
      </c>
      <c r="P25" s="189" t="s">
        <v>35</v>
      </c>
      <c r="Q25" s="90" t="e">
        <f t="shared" ref="Q25:Q123" si="13">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3">
        <f>SUMIFS(Table1[Estimação (horas)],Table1[Tabela],Plano_V3!E26,Table1[Campo],Plano_V3!F26)</f>
        <v>8</v>
      </c>
      <c r="J26" s="183">
        <f>I26/8</f>
        <v>1</v>
      </c>
      <c r="K26" s="183">
        <f>SUMIFS(Table1[Horas efetivas],Table1[Tabela],Plano_V3!E26,Table1[Campo],Plano_V3!F26)</f>
        <v>8</v>
      </c>
      <c r="L26" s="183">
        <f>K26/8</f>
        <v>1</v>
      </c>
      <c r="M26" s="177"/>
      <c r="N26" s="177">
        <f>L26/J26</f>
        <v>1</v>
      </c>
      <c r="O26" s="177">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5">I27/8</f>
        <v>#N/A</v>
      </c>
      <c r="K27" s="183" t="e">
        <f>SUMIFS(Table1[Horas efetivas],Table1[Tabela],Plano_V3!E27,Table1[Campo],Plano_V3!F27)</f>
        <v>#N/A</v>
      </c>
      <c r="L27" s="183" t="e">
        <f t="shared" ref="L27:L54" si="16">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3" t="e">
        <f>SUMIFS(Table1[Estimação (horas)],Table1[Tabela],Plano_V3!E30,Table1[Campo],Plano_V3!F30)</f>
        <v>#N/A</v>
      </c>
      <c r="J30" s="183" t="e">
        <f t="shared" si="15"/>
        <v>#N/A</v>
      </c>
      <c r="K30" s="183" t="e">
        <f>SUMIFS(Table1[Horas efetivas],Table1[Tabela],Plano_V3!E30,Table1[Campo],Plano_V3!F30)</f>
        <v>#N/A</v>
      </c>
      <c r="L30" s="183" t="e">
        <f t="shared" si="16"/>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3" t="e">
        <f>SUMIFS(Table1[Estimação (horas)],Table1[Tabela],Plano_V3!E31,Table1[Campo],Plano_V3!F31)</f>
        <v>#N/A</v>
      </c>
      <c r="J31" s="183" t="e">
        <f t="shared" si="15"/>
        <v>#N/A</v>
      </c>
      <c r="K31" s="183" t="e">
        <f>SUMIFS(Table1[Horas efetivas],Table1[Tabela],Plano_V3!E31,Table1[Campo],Plano_V3!F31)</f>
        <v>#N/A</v>
      </c>
      <c r="L31" s="183" t="e">
        <f t="shared" si="16"/>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3" t="e">
        <f>SUMIFS(Table1[Estimação (horas)],Table1[Tabela],Plano_V3!E32,Table1[Campo],Plano_V3!F32)</f>
        <v>#N/A</v>
      </c>
      <c r="J32" s="183" t="e">
        <f t="shared" si="15"/>
        <v>#N/A</v>
      </c>
      <c r="K32" s="183" t="e">
        <f>SUMIFS(Table1[Horas efetivas],Table1[Tabela],Plano_V3!E32,Table1[Campo],Plano_V3!F32)</f>
        <v>#N/A</v>
      </c>
      <c r="L32" s="183" t="e">
        <f t="shared" si="16"/>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3" t="e">
        <f>SUMIFS(Table1[Estimação (horas)],Table1[Tabela],Plano_V3!E33,Table1[Campo],Plano_V3!F33)</f>
        <v>#N/A</v>
      </c>
      <c r="J33" s="183" t="e">
        <f t="shared" si="15"/>
        <v>#N/A</v>
      </c>
      <c r="K33" s="183" t="e">
        <f>SUMIFS(Table1[Horas efetivas],Table1[Tabela],Plano_V3!E33,Table1[Campo],Plano_V3!F33)</f>
        <v>#N/A</v>
      </c>
      <c r="L33" s="183" t="e">
        <f t="shared" si="16"/>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3" t="e">
        <f>SUMIFS(Table1[Estimação (horas)],Table1[Tabela],Plano_V3!E34,Table1[Campo],Plano_V3!F34)</f>
        <v>#N/A</v>
      </c>
      <c r="J34" s="183" t="e">
        <f t="shared" si="15"/>
        <v>#N/A</v>
      </c>
      <c r="K34" s="183" t="e">
        <f>SUMIFS(Table1[Horas efetivas],Table1[Tabela],Plano_V3!E34,Table1[Campo],Plano_V3!F34)</f>
        <v>#N/A</v>
      </c>
      <c r="L34" s="183" t="e">
        <f t="shared" si="16"/>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3" t="e">
        <f>SUMIFS(Table1[Estimação (horas)],Table1[Tabela],Plano_V3!E35,Table1[Campo],Plano_V3!F35)</f>
        <v>#N/A</v>
      </c>
      <c r="J35" s="183" t="e">
        <f t="shared" si="15"/>
        <v>#N/A</v>
      </c>
      <c r="K35" s="183" t="e">
        <f>SUMIFS(Table1[Horas efetivas],Table1[Tabela],Plano_V3!E35,Table1[Campo],Plano_V3!F35)</f>
        <v>#N/A</v>
      </c>
      <c r="L35" s="183" t="e">
        <f t="shared" si="16"/>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3" t="e">
        <f>SUMIFS(Table1[Estimação (horas)],Table1[Tabela],Plano_V3!E36,Table1[Campo],Plano_V3!F36)</f>
        <v>#N/A</v>
      </c>
      <c r="J36" s="183" t="e">
        <f t="shared" si="15"/>
        <v>#N/A</v>
      </c>
      <c r="K36" s="183" t="e">
        <f>SUMIFS(Table1[Horas efetivas],Table1[Tabela],Plano_V3!E36,Table1[Campo],Plano_V3!F36)</f>
        <v>#N/A</v>
      </c>
      <c r="L36" s="183" t="e">
        <f t="shared" si="16"/>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3" t="e">
        <f>SUMIFS(Table1[Estimação (horas)],Table1[Tabela],Plano_V3!E37,Table1[Campo],Plano_V3!F37)</f>
        <v>#N/A</v>
      </c>
      <c r="J37" s="183" t="e">
        <f t="shared" si="15"/>
        <v>#N/A</v>
      </c>
      <c r="K37" s="183" t="e">
        <f>SUMIFS(Table1[Horas efetivas],Table1[Tabela],Plano_V3!E37,Table1[Campo],Plano_V3!F37)</f>
        <v>#N/A</v>
      </c>
      <c r="L37" s="183" t="e">
        <f t="shared" si="16"/>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3" t="e">
        <f>SUMIFS(Table1[Estimação (horas)],Table1[Tabela],Plano_V3!E38,Table1[Campo],Plano_V3!F38)</f>
        <v>#N/A</v>
      </c>
      <c r="J38" s="183" t="e">
        <f t="shared" si="15"/>
        <v>#N/A</v>
      </c>
      <c r="K38" s="183" t="e">
        <f>SUMIFS(Table1[Horas efetivas],Table1[Tabela],Plano_V3!E38,Table1[Campo],Plano_V3!F38)</f>
        <v>#N/A</v>
      </c>
      <c r="L38" s="183" t="e">
        <f t="shared" si="16"/>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3" t="e">
        <f>SUMIFS(Table1[Estimação (horas)],Table1[Tabela],Plano_V3!E39,Table1[Campo],Plano_V3!F39)</f>
        <v>#N/A</v>
      </c>
      <c r="J39" s="183" t="e">
        <f t="shared" si="15"/>
        <v>#N/A</v>
      </c>
      <c r="K39" s="183" t="e">
        <f>SUMIFS(Table1[Horas efetivas],Table1[Tabela],Plano_V3!E39,Table1[Campo],Plano_V3!F39)</f>
        <v>#N/A</v>
      </c>
      <c r="L39" s="183" t="e">
        <f t="shared" si="16"/>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3" t="e">
        <f>SUMIFS(Table1[Estimação (horas)],Table1[Tabela],Plano_V3!E40,Table1[Campo],Plano_V3!F40)</f>
        <v>#N/A</v>
      </c>
      <c r="J40" s="183" t="e">
        <f t="shared" si="15"/>
        <v>#N/A</v>
      </c>
      <c r="K40" s="183" t="e">
        <f>SUMIFS(Table1[Horas efetivas],Table1[Tabela],Plano_V3!E40,Table1[Campo],Plano_V3!F40)</f>
        <v>#N/A</v>
      </c>
      <c r="L40" s="183" t="e">
        <f t="shared" si="16"/>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3" t="e">
        <f>SUMIFS(Table1[Estimação (horas)],Table1[Tabela],Plano_V3!E41,Table1[Campo],Plano_V3!F41)</f>
        <v>#N/A</v>
      </c>
      <c r="J41" s="183" t="e">
        <f t="shared" si="15"/>
        <v>#N/A</v>
      </c>
      <c r="K41" s="183" t="e">
        <f>SUMIFS(Table1[Horas efetivas],Table1[Tabela],Plano_V3!E41,Table1[Campo],Plano_V3!F41)</f>
        <v>#N/A</v>
      </c>
      <c r="L41" s="183" t="e">
        <f t="shared" si="16"/>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3" t="e">
        <f>SUMIFS(Table1[Estimação (horas)],Table1[Tabela],Plano_V3!E42,Table1[Campo],Plano_V3!F42)</f>
        <v>#N/A</v>
      </c>
      <c r="J42" s="183" t="e">
        <f t="shared" si="15"/>
        <v>#N/A</v>
      </c>
      <c r="K42" s="183" t="e">
        <f>SUMIFS(Table1[Horas efetivas],Table1[Tabela],Plano_V3!E42,Table1[Campo],Plano_V3!F42)</f>
        <v>#N/A</v>
      </c>
      <c r="L42" s="183" t="e">
        <f t="shared" si="16"/>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3" t="e">
        <f>SUMIFS(Table1[Estimação (horas)],Table1[Tabela],Plano_V3!E43,Table1[Campo],Plano_V3!F43)</f>
        <v>#N/A</v>
      </c>
      <c r="J43" s="183" t="e">
        <f t="shared" si="15"/>
        <v>#N/A</v>
      </c>
      <c r="K43" s="183" t="e">
        <f>SUMIFS(Table1[Horas efetivas],Table1[Tabela],Plano_V3!E43,Table1[Campo],Plano_V3!F43)</f>
        <v>#N/A</v>
      </c>
      <c r="L43" s="183" t="e">
        <f t="shared" si="16"/>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3" t="e">
        <f>SUMIFS(Table1[Estimação (horas)],Table1[Tabela],Plano_V3!E44,Table1[Campo],Plano_V3!F44)</f>
        <v>#N/A</v>
      </c>
      <c r="J44" s="183" t="e">
        <f t="shared" si="15"/>
        <v>#N/A</v>
      </c>
      <c r="K44" s="183" t="e">
        <f>SUMIFS(Table1[Horas efetivas],Table1[Tabela],Plano_V3!E44,Table1[Campo],Plano_V3!F44)</f>
        <v>#N/A</v>
      </c>
      <c r="L44" s="183" t="e">
        <f t="shared" si="16"/>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3" t="e">
        <f>SUMIFS(Table1[Estimação (horas)],Table1[Tabela],Plano_V3!E45,Table1[Campo],Plano_V3!F45)</f>
        <v>#N/A</v>
      </c>
      <c r="J45" s="183" t="e">
        <f t="shared" si="15"/>
        <v>#N/A</v>
      </c>
      <c r="K45" s="183" t="e">
        <f>SUMIFS(Table1[Horas efetivas],Table1[Tabela],Plano_V3!E45,Table1[Campo],Plano_V3!F45)</f>
        <v>#N/A</v>
      </c>
      <c r="L45" s="183" t="e">
        <f t="shared" si="16"/>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3" t="e">
        <f>SUMIFS(Table1[Estimação (horas)],Table1[Tabela],Plano_V3!E46,Table1[Campo],Plano_V3!F46)</f>
        <v>#N/A</v>
      </c>
      <c r="J46" s="183" t="e">
        <f t="shared" si="15"/>
        <v>#N/A</v>
      </c>
      <c r="K46" s="183" t="e">
        <f>SUMIFS(Table1[Horas efetivas],Table1[Tabela],Plano_V3!E46,Table1[Campo],Plano_V3!F46)</f>
        <v>#N/A</v>
      </c>
      <c r="L46" s="183" t="e">
        <f t="shared" si="16"/>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3" t="e">
        <f>SUMIFS(Table1[Estimação (horas)],Table1[Tabela],Plano_V3!E47,Table1[Campo],Plano_V3!F47)</f>
        <v>#N/A</v>
      </c>
      <c r="J47" s="183" t="e">
        <f t="shared" si="15"/>
        <v>#N/A</v>
      </c>
      <c r="K47" s="183" t="e">
        <f>SUMIFS(Table1[Horas efetivas],Table1[Tabela],Plano_V3!E47,Table1[Campo],Plano_V3!F47)</f>
        <v>#N/A</v>
      </c>
      <c r="L47" s="183" t="e">
        <f t="shared" si="16"/>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3" t="e">
        <f>SUMIFS(Table1[Estimação (horas)],Table1[Tabela],Plano_V3!E48,Table1[Campo],Plano_V3!F48)</f>
        <v>#N/A</v>
      </c>
      <c r="J48" s="183" t="e">
        <f t="shared" si="15"/>
        <v>#N/A</v>
      </c>
      <c r="K48" s="183" t="e">
        <f>SUMIFS(Table1[Horas efetivas],Table1[Tabela],Plano_V3!E48,Table1[Campo],Plano_V3!F48)</f>
        <v>#N/A</v>
      </c>
      <c r="L48" s="183" t="e">
        <f t="shared" si="16"/>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3" t="e">
        <f>SUMIFS(Table1[Estimação (horas)],Table1[Tabela],Plano_V3!E49,Table1[Campo],Plano_V3!F49)</f>
        <v>#N/A</v>
      </c>
      <c r="J49" s="183" t="e">
        <f t="shared" si="15"/>
        <v>#N/A</v>
      </c>
      <c r="K49" s="183" t="e">
        <f>SUMIFS(Table1[Horas efetivas],Table1[Tabela],Plano_V3!E49,Table1[Campo],Plano_V3!F49)</f>
        <v>#N/A</v>
      </c>
      <c r="L49" s="183" t="e">
        <f t="shared" si="16"/>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3" t="e">
        <f>SUMIFS(Table1[Estimação (horas)],Table1[Tabela],Plano_V3!E50,Table1[Campo],Plano_V3!F50)</f>
        <v>#N/A</v>
      </c>
      <c r="J50" s="183" t="e">
        <f t="shared" si="15"/>
        <v>#N/A</v>
      </c>
      <c r="K50" s="183" t="e">
        <f>SUMIFS(Table1[Horas efetivas],Table1[Tabela],Plano_V3!E50,Table1[Campo],Plano_V3!F50)</f>
        <v>#N/A</v>
      </c>
      <c r="L50" s="183" t="e">
        <f t="shared" si="16"/>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3" t="e">
        <f>SUMIFS(Table1[Estimação (horas)],Table1[Tabela],Plano_V3!E51,Table1[Campo],Plano_V3!F51)</f>
        <v>#N/A</v>
      </c>
      <c r="J51" s="183" t="e">
        <f t="shared" si="15"/>
        <v>#N/A</v>
      </c>
      <c r="K51" s="183" t="e">
        <f>SUMIFS(Table1[Horas efetivas],Table1[Tabela],Plano_V3!E51,Table1[Campo],Plano_V3!F51)</f>
        <v>#N/A</v>
      </c>
      <c r="L51" s="183" t="e">
        <f t="shared" si="16"/>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3" t="e">
        <f>SUMIFS(Table1[Estimação (horas)],Table1[Tabela],Plano_V3!E52,Table1[Campo],Plano_V3!F52)</f>
        <v>#N/A</v>
      </c>
      <c r="J52" s="183" t="e">
        <f t="shared" si="15"/>
        <v>#N/A</v>
      </c>
      <c r="K52" s="183" t="e">
        <f>SUMIFS(Table1[Horas efetivas],Table1[Tabela],Plano_V3!E52,Table1[Campo],Plano_V3!F52)</f>
        <v>#N/A</v>
      </c>
      <c r="L52" s="183" t="e">
        <f t="shared" si="16"/>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3" t="e">
        <f>SUMIFS(Table1[Estimação (horas)],Table1[Tabela],Plano_V3!E53,Table1[Campo],Plano_V3!F53)</f>
        <v>#N/A</v>
      </c>
      <c r="J53" s="183" t="e">
        <f t="shared" si="15"/>
        <v>#N/A</v>
      </c>
      <c r="K53" s="183" t="e">
        <f>SUMIFS(Table1[Horas efetivas],Table1[Tabela],Plano_V3!E53,Table1[Campo],Plano_V3!F53)</f>
        <v>#N/A</v>
      </c>
      <c r="L53" s="183" t="e">
        <f t="shared" si="16"/>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3" t="e">
        <f>SUMIFS(Table1[Estimação (horas)],Table1[Tabela],Plano_V3!E54,Table1[Campo],Plano_V3!F54)</f>
        <v>#N/A</v>
      </c>
      <c r="J54" s="183" t="e">
        <f t="shared" si="15"/>
        <v>#N/A</v>
      </c>
      <c r="K54" s="183" t="e">
        <f>SUMIFS(Table1[Horas efetivas],Table1[Tabela],Plano_V3!E54,Table1[Campo],Plano_V3!F54)</f>
        <v>#N/A</v>
      </c>
      <c r="L54" s="183" t="e">
        <f t="shared" si="16"/>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3" t="e">
        <f>SUMIFS(Table1[Estimação (horas)],Table1[Tabela],Plano_V3!E55,Table1[Campo],Plano_V3!F55)</f>
        <v>#N/A</v>
      </c>
      <c r="J55" s="183" t="e">
        <f t="shared" ref="J55:J73" si="17">I55/8</f>
        <v>#N/A</v>
      </c>
      <c r="K55" s="183" t="e">
        <f>SUMIFS(Table1[Horas efetivas],Table1[Tabela],Plano_V3!E55,Table1[Campo],Plano_V3!F55)</f>
        <v>#N/A</v>
      </c>
      <c r="L55" s="183" t="e">
        <f t="shared" ref="L55:L73" si="18">K55/8</f>
        <v>#N/A</v>
      </c>
      <c r="M55" s="177"/>
      <c r="N55" s="177" t="e">
        <f t="shared" ref="N55:N73" si="19">L55/J55</f>
        <v>#N/A</v>
      </c>
      <c r="O55" s="177"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3" t="e">
        <f>SUMIFS(Table1[Estimação (horas)],Table1[Tabela],Plano_V3!E56,Table1[Campo],Plano_V3!F56)</f>
        <v>#N/A</v>
      </c>
      <c r="J56" s="183" t="e">
        <f t="shared" si="17"/>
        <v>#N/A</v>
      </c>
      <c r="K56" s="183" t="e">
        <f>SUMIFS(Table1[Horas efetivas],Table1[Tabela],Plano_V3!E56,Table1[Campo],Plano_V3!F56)</f>
        <v>#N/A</v>
      </c>
      <c r="L56" s="183" t="e">
        <f t="shared" si="18"/>
        <v>#N/A</v>
      </c>
      <c r="M56" s="177"/>
      <c r="N56" s="177" t="e">
        <f t="shared" si="19"/>
        <v>#N/A</v>
      </c>
      <c r="O56" s="177"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3" t="e">
        <f>SUMIFS(Table1[Estimação (horas)],Table1[Tabela],Plano_V3!E57,Table1[Campo],Plano_V3!F57)</f>
        <v>#N/A</v>
      </c>
      <c r="J57" s="183" t="e">
        <f t="shared" si="17"/>
        <v>#N/A</v>
      </c>
      <c r="K57" s="183" t="e">
        <f>SUMIFS(Table1[Horas efetivas],Table1[Tabela],Plano_V3!E57,Table1[Campo],Plano_V3!F57)</f>
        <v>#N/A</v>
      </c>
      <c r="L57" s="183" t="e">
        <f t="shared" si="18"/>
        <v>#N/A</v>
      </c>
      <c r="M57" s="177"/>
      <c r="N57" s="177" t="e">
        <f t="shared" si="19"/>
        <v>#N/A</v>
      </c>
      <c r="O57" s="177"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3" t="e">
        <f>SUMIFS(Table1[Estimação (horas)],Table1[Tabela],Plano_V3!E58,Table1[Campo],Plano_V3!F58)</f>
        <v>#N/A</v>
      </c>
      <c r="J58" s="183" t="e">
        <f t="shared" si="17"/>
        <v>#N/A</v>
      </c>
      <c r="K58" s="183" t="e">
        <f>SUMIFS(Table1[Horas efetivas],Table1[Tabela],Plano_V3!E58,Table1[Campo],Plano_V3!F58)</f>
        <v>#N/A</v>
      </c>
      <c r="L58" s="183" t="e">
        <f t="shared" si="18"/>
        <v>#N/A</v>
      </c>
      <c r="M58" s="177"/>
      <c r="N58" s="177" t="e">
        <f t="shared" si="19"/>
        <v>#N/A</v>
      </c>
      <c r="O58" s="177"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3" t="e">
        <f>SUMIFS(Table1[Estimação (horas)],Table1[Tabela],Plano_V3!E59,Table1[Campo],Plano_V3!F59)</f>
        <v>#N/A</v>
      </c>
      <c r="J59" s="183" t="e">
        <f t="shared" si="17"/>
        <v>#N/A</v>
      </c>
      <c r="K59" s="183" t="e">
        <f>SUMIFS(Table1[Horas efetivas],Table1[Tabela],Plano_V3!E59,Table1[Campo],Plano_V3!F59)</f>
        <v>#N/A</v>
      </c>
      <c r="L59" s="183" t="e">
        <f t="shared" si="18"/>
        <v>#N/A</v>
      </c>
      <c r="M59" s="177"/>
      <c r="N59" s="177" t="e">
        <f t="shared" si="19"/>
        <v>#N/A</v>
      </c>
      <c r="O59" s="177"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3" t="e">
        <f>SUMIFS(Table1[Estimação (horas)],Table1[Tabela],Plano_V3!E60,Table1[Campo],Plano_V3!F60)</f>
        <v>#N/A</v>
      </c>
      <c r="J60" s="183" t="e">
        <f t="shared" si="17"/>
        <v>#N/A</v>
      </c>
      <c r="K60" s="183" t="e">
        <f>SUMIFS(Table1[Horas efetivas],Table1[Tabela],Plano_V3!E60,Table1[Campo],Plano_V3!F60)</f>
        <v>#N/A</v>
      </c>
      <c r="L60" s="183" t="e">
        <f t="shared" si="18"/>
        <v>#N/A</v>
      </c>
      <c r="M60" s="177"/>
      <c r="N60" s="177" t="e">
        <f t="shared" si="19"/>
        <v>#N/A</v>
      </c>
      <c r="O60" s="177"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3" t="e">
        <f>SUMIFS(Table1[Estimação (horas)],Table1[Tabela],Plano_V3!E61,Table1[Campo],Plano_V3!F61)</f>
        <v>#N/A</v>
      </c>
      <c r="J61" s="183" t="e">
        <f t="shared" si="17"/>
        <v>#N/A</v>
      </c>
      <c r="K61" s="183" t="e">
        <f>SUMIFS(Table1[Horas efetivas],Table1[Tabela],Plano_V3!E61,Table1[Campo],Plano_V3!F61)</f>
        <v>#N/A</v>
      </c>
      <c r="L61" s="183" t="e">
        <f t="shared" si="18"/>
        <v>#N/A</v>
      </c>
      <c r="M61" s="177"/>
      <c r="N61" s="177" t="e">
        <f t="shared" si="19"/>
        <v>#N/A</v>
      </c>
      <c r="O61" s="177"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3" t="e">
        <f>SUMIFS(Table1[Estimação (horas)],Table1[Tabela],Plano_V3!E62,Table1[Campo],Plano_V3!F62)</f>
        <v>#N/A</v>
      </c>
      <c r="J62" s="183" t="e">
        <f t="shared" si="17"/>
        <v>#N/A</v>
      </c>
      <c r="K62" s="183" t="e">
        <f>SUMIFS(Table1[Horas efetivas],Table1[Tabela],Plano_V3!E62,Table1[Campo],Plano_V3!F62)</f>
        <v>#N/A</v>
      </c>
      <c r="L62" s="183" t="e">
        <f t="shared" si="18"/>
        <v>#N/A</v>
      </c>
      <c r="M62" s="177"/>
      <c r="N62" s="177" t="e">
        <f t="shared" si="19"/>
        <v>#N/A</v>
      </c>
      <c r="O62" s="177"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3" t="e">
        <f>SUMIFS(Table1[Estimação (horas)],Table1[Tabela],Plano_V3!E63,Table1[Campo],Plano_V3!F63)</f>
        <v>#N/A</v>
      </c>
      <c r="J63" s="183" t="e">
        <f t="shared" si="17"/>
        <v>#N/A</v>
      </c>
      <c r="K63" s="183" t="e">
        <f>SUMIFS(Table1[Horas efetivas],Table1[Tabela],Plano_V3!E63,Table1[Campo],Plano_V3!F63)</f>
        <v>#N/A</v>
      </c>
      <c r="L63" s="183" t="e">
        <f t="shared" si="18"/>
        <v>#N/A</v>
      </c>
      <c r="M63" s="177"/>
      <c r="N63" s="177" t="e">
        <f t="shared" si="19"/>
        <v>#N/A</v>
      </c>
      <c r="O63" s="177"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3" t="e">
        <f>SUMIFS(Table1[Estimação (horas)],Table1[Tabela],Plano_V3!E64,Table1[Campo],Plano_V3!F64)</f>
        <v>#N/A</v>
      </c>
      <c r="J64" s="183" t="e">
        <f t="shared" si="17"/>
        <v>#N/A</v>
      </c>
      <c r="K64" s="183" t="e">
        <f>SUMIFS(Table1[Horas efetivas],Table1[Tabela],Plano_V3!E64,Table1[Campo],Plano_V3!F64)</f>
        <v>#N/A</v>
      </c>
      <c r="L64" s="183" t="e">
        <f t="shared" si="18"/>
        <v>#N/A</v>
      </c>
      <c r="M64" s="177"/>
      <c r="N64" s="177" t="e">
        <f t="shared" si="19"/>
        <v>#N/A</v>
      </c>
      <c r="O64" s="177"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3" t="e">
        <f>SUMIFS(Table1[Estimação (horas)],Table1[Tabela],Plano_V3!E65,Table1[Campo],Plano_V3!F65)</f>
        <v>#N/A</v>
      </c>
      <c r="J65" s="183" t="e">
        <f t="shared" si="17"/>
        <v>#N/A</v>
      </c>
      <c r="K65" s="183" t="e">
        <f>SUMIFS(Table1[Horas efetivas],Table1[Tabela],Plano_V3!E65,Table1[Campo],Plano_V3!F65)</f>
        <v>#N/A</v>
      </c>
      <c r="L65" s="183" t="e">
        <f t="shared" si="18"/>
        <v>#N/A</v>
      </c>
      <c r="M65" s="177"/>
      <c r="N65" s="177" t="e">
        <f t="shared" si="19"/>
        <v>#N/A</v>
      </c>
      <c r="O65" s="177"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3" t="e">
        <f>SUMIFS(Table1[Estimação (horas)],Table1[Tabela],Plano_V3!E66,Table1[Campo],Plano_V3!F66)</f>
        <v>#N/A</v>
      </c>
      <c r="J66" s="183" t="e">
        <f t="shared" si="17"/>
        <v>#N/A</v>
      </c>
      <c r="K66" s="183" t="e">
        <f>SUMIFS(Table1[Horas efetivas],Table1[Tabela],Plano_V3!E66,Table1[Campo],Plano_V3!F66)</f>
        <v>#N/A</v>
      </c>
      <c r="L66" s="183" t="e">
        <f t="shared" si="18"/>
        <v>#N/A</v>
      </c>
      <c r="M66" s="177"/>
      <c r="N66" s="177" t="e">
        <f t="shared" si="19"/>
        <v>#N/A</v>
      </c>
      <c r="O66" s="177"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3" t="e">
        <f>SUMIFS(Table1[Estimação (horas)],Table1[Tabela],Plano_V3!E67,Table1[Campo],Plano_V3!F67)</f>
        <v>#N/A</v>
      </c>
      <c r="J67" s="183" t="e">
        <f t="shared" si="17"/>
        <v>#N/A</v>
      </c>
      <c r="K67" s="183" t="e">
        <f>SUMIFS(Table1[Horas efetivas],Table1[Tabela],Plano_V3!E67,Table1[Campo],Plano_V3!F67)</f>
        <v>#N/A</v>
      </c>
      <c r="L67" s="183" t="e">
        <f t="shared" si="18"/>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3" t="e">
        <f>SUMIFS(Table1[Estimação (horas)],Table1[Tabela],Plano_V3!E68,Table1[Campo],Plano_V3!F68)</f>
        <v>#N/A</v>
      </c>
      <c r="J68" s="183" t="e">
        <f t="shared" si="17"/>
        <v>#N/A</v>
      </c>
      <c r="K68" s="183" t="e">
        <f>SUMIFS(Table1[Horas efetivas],Table1[Tabela],Plano_V3!E68,Table1[Campo],Plano_V3!F68)</f>
        <v>#N/A</v>
      </c>
      <c r="L68" s="183" t="e">
        <f t="shared" si="18"/>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3" t="e">
        <f>SUMIFS(Table1[Estimação (horas)],Table1[Tabela],Plano_V3!E69,Table1[Campo],Plano_V3!F69)</f>
        <v>#N/A</v>
      </c>
      <c r="J69" s="183" t="e">
        <f t="shared" si="17"/>
        <v>#N/A</v>
      </c>
      <c r="K69" s="183" t="e">
        <f>SUMIFS(Table1[Horas efetivas],Table1[Tabela],Plano_V3!E69,Table1[Campo],Plano_V3!F69)</f>
        <v>#N/A</v>
      </c>
      <c r="L69" s="183" t="e">
        <f t="shared" si="18"/>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3" t="e">
        <f>SUMIFS(Table1[Estimação (horas)],Table1[Tabela],Plano_V3!E70,Table1[Campo],Plano_V3!F70)</f>
        <v>#N/A</v>
      </c>
      <c r="J70" s="183" t="e">
        <f t="shared" si="17"/>
        <v>#N/A</v>
      </c>
      <c r="K70" s="183" t="e">
        <f>SUMIFS(Table1[Horas efetivas],Table1[Tabela],Plano_V3!E70,Table1[Campo],Plano_V3!F70)</f>
        <v>#N/A</v>
      </c>
      <c r="L70" s="183" t="e">
        <f t="shared" si="18"/>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3" t="e">
        <f>SUMIFS(Table1[Estimação (horas)],Table1[Tabela],Plano_V3!E71,Table1[Campo],Plano_V3!F71)</f>
        <v>#N/A</v>
      </c>
      <c r="J71" s="183" t="e">
        <f t="shared" si="17"/>
        <v>#N/A</v>
      </c>
      <c r="K71" s="183" t="e">
        <f>SUMIFS(Table1[Horas efetivas],Table1[Tabela],Plano_V3!E71,Table1[Campo],Plano_V3!F71)</f>
        <v>#N/A</v>
      </c>
      <c r="L71" s="183" t="e">
        <f t="shared" si="18"/>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3" t="e">
        <f>SUMIFS(Table1[Estimação (horas)],Table1[Tabela],Plano_V3!E72,Table1[Campo],Plano_V3!F72)</f>
        <v>#N/A</v>
      </c>
      <c r="J72" s="183" t="e">
        <f t="shared" si="17"/>
        <v>#N/A</v>
      </c>
      <c r="K72" s="183" t="e">
        <f>SUMIFS(Table1[Horas efetivas],Table1[Tabela],Plano_V3!E72,Table1[Campo],Plano_V3!F72)</f>
        <v>#N/A</v>
      </c>
      <c r="L72" s="183" t="e">
        <f t="shared" si="18"/>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7"/>
        <v>#N/A</v>
      </c>
      <c r="K73" s="183" t="e">
        <f>SUM(K26:K66)*$D$6</f>
        <v>#N/A</v>
      </c>
      <c r="L73" s="183" t="e">
        <f t="shared" si="18"/>
        <v>#N/A</v>
      </c>
      <c r="M73" s="177"/>
      <c r="N73" s="177" t="e">
        <f t="shared" si="19"/>
        <v>#N/A</v>
      </c>
      <c r="O73" s="177"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12"/>
        <v>#N/A</v>
      </c>
      <c r="P74" s="201"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21">I75/8</f>
        <v>1</v>
      </c>
      <c r="K75" s="183">
        <f>SUMIFS(Table1[Horas efetivas],Table1[Tabela],Plano_V3!E75,Table1[Campo],Plano_V3!F75)</f>
        <v>8</v>
      </c>
      <c r="L75" s="183">
        <f t="shared" ref="L75:L139" si="22">K75/8</f>
        <v>1</v>
      </c>
      <c r="M75" s="177"/>
      <c r="N75" s="177">
        <f t="shared" ref="N75:N139" si="23">L75/J75</f>
        <v>1</v>
      </c>
      <c r="O75" s="177">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21"/>
        <v>0.51249999999999996</v>
      </c>
      <c r="K76" s="183">
        <f>SUMIFS(Table1[Horas efetivas],Table1[Tabela],Plano_V3!E76,Table1[Campo],Plano_V3!F76)</f>
        <v>4.0999999999999996</v>
      </c>
      <c r="L76" s="183">
        <f t="shared" si="22"/>
        <v>0.51249999999999996</v>
      </c>
      <c r="M76" s="177"/>
      <c r="N76" s="177">
        <f t="shared" si="23"/>
        <v>1</v>
      </c>
      <c r="O76" s="177">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21"/>
        <v>0.51249999999999996</v>
      </c>
      <c r="K77" s="183">
        <f>SUMIFS(Table1[Horas efetivas],Table1[Tabela],Plano_V3!E77,Table1[Campo],Plano_V3!F77)</f>
        <v>4.0999999999999996</v>
      </c>
      <c r="L77" s="183">
        <f t="shared" si="22"/>
        <v>0.51249999999999996</v>
      </c>
      <c r="M77" s="177"/>
      <c r="N77" s="177">
        <f t="shared" si="23"/>
        <v>1</v>
      </c>
      <c r="O77" s="177">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21"/>
        <v>0.51249999999999996</v>
      </c>
      <c r="K78" s="183">
        <f>SUMIFS(Table1[Horas efetivas],Table1[Tabela],Plano_V3!E78,Table1[Campo],Plano_V3!F78)</f>
        <v>4.0999999999999996</v>
      </c>
      <c r="L78" s="183">
        <f t="shared" si="22"/>
        <v>0.51249999999999996</v>
      </c>
      <c r="M78" s="177"/>
      <c r="N78" s="177">
        <f t="shared" si="23"/>
        <v>1</v>
      </c>
      <c r="O78" s="177">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21"/>
        <v>0</v>
      </c>
      <c r="K79" s="183">
        <f>SUMIFS(Table1[Horas efetivas],Table1[Tabela],Plano_V3!E79,Table1[Campo],Plano_V3!F79)</f>
        <v>0</v>
      </c>
      <c r="L79" s="183">
        <f t="shared" si="22"/>
        <v>0</v>
      </c>
      <c r="M79" s="177"/>
      <c r="N79" s="177" t="e">
        <f t="shared" si="23"/>
        <v>#DIV/0!</v>
      </c>
      <c r="O79" s="177"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21"/>
        <v>0.51249999999999996</v>
      </c>
      <c r="K80" s="183">
        <f>SUMIFS(Table1[Horas efetivas],Table1[Tabela],Plano_V3!E80,Table1[Campo],Plano_V3!F80)</f>
        <v>4.0999999999999996</v>
      </c>
      <c r="L80" s="183">
        <f t="shared" si="22"/>
        <v>0.51249999999999996</v>
      </c>
      <c r="M80" s="177"/>
      <c r="N80" s="177">
        <f t="shared" si="23"/>
        <v>1</v>
      </c>
      <c r="O80" s="177">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21"/>
        <v>0.51249999999999996</v>
      </c>
      <c r="K81" s="183">
        <f>SUMIFS(Table1[Horas efetivas],Table1[Tabela],Plano_V3!E81,Table1[Campo],Plano_V3!F81)</f>
        <v>4.0999999999999996</v>
      </c>
      <c r="L81" s="183">
        <f t="shared" si="22"/>
        <v>0.51249999999999996</v>
      </c>
      <c r="M81" s="177"/>
      <c r="N81" s="177">
        <f t="shared" si="23"/>
        <v>1</v>
      </c>
      <c r="O81" s="177">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21"/>
        <v>0.51249999999999996</v>
      </c>
      <c r="K82" s="183">
        <f>SUMIFS(Table1[Horas efetivas],Table1[Tabela],Plano_V3!E82,Table1[Campo],Plano_V3!F82)</f>
        <v>4.0999999999999996</v>
      </c>
      <c r="L82" s="183">
        <f t="shared" si="22"/>
        <v>0.51249999999999996</v>
      </c>
      <c r="M82" s="177"/>
      <c r="N82" s="177">
        <f t="shared" si="23"/>
        <v>1</v>
      </c>
      <c r="O82" s="177">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21"/>
        <v>0.51249999999999996</v>
      </c>
      <c r="K83" s="183">
        <f>SUMIFS(Table1[Horas efetivas],Table1[Tabela],Plano_V3!E83,Table1[Campo],Plano_V3!F83)</f>
        <v>4.0999999999999996</v>
      </c>
      <c r="L83" s="183">
        <f t="shared" si="22"/>
        <v>0.51249999999999996</v>
      </c>
      <c r="M83" s="177"/>
      <c r="N83" s="177">
        <f t="shared" si="23"/>
        <v>1</v>
      </c>
      <c r="O83" s="177">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21"/>
        <v>0.51249999999999996</v>
      </c>
      <c r="K84" s="183">
        <f>SUMIFS(Table1[Horas efetivas],Table1[Tabela],Plano_V3!E84,Table1[Campo],Plano_V3!F84)</f>
        <v>4.0999999999999996</v>
      </c>
      <c r="L84" s="183">
        <f t="shared" si="22"/>
        <v>0.51249999999999996</v>
      </c>
      <c r="M84" s="177"/>
      <c r="N84" s="177">
        <f t="shared" si="23"/>
        <v>1</v>
      </c>
      <c r="O84" s="177">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21"/>
        <v>0.51249999999999996</v>
      </c>
      <c r="K85" s="183">
        <f>SUMIFS(Table1[Horas efetivas],Table1[Tabela],Plano_V3!E85,Table1[Campo],Plano_V3!F85)</f>
        <v>4.0999999999999996</v>
      </c>
      <c r="L85" s="183">
        <f t="shared" si="22"/>
        <v>0.51249999999999996</v>
      </c>
      <c r="M85" s="177"/>
      <c r="N85" s="177">
        <f t="shared" si="23"/>
        <v>1</v>
      </c>
      <c r="O85" s="177">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21"/>
        <v>0.51249999999999996</v>
      </c>
      <c r="K86" s="183">
        <f>SUMIFS(Table1[Horas efetivas],Table1[Tabela],Plano_V3!E86,Table1[Campo],Plano_V3!F86)</f>
        <v>4.0999999999999996</v>
      </c>
      <c r="L86" s="183">
        <f t="shared" si="22"/>
        <v>0.51249999999999996</v>
      </c>
      <c r="M86" s="177"/>
      <c r="N86" s="177">
        <f t="shared" si="23"/>
        <v>1</v>
      </c>
      <c r="O86" s="177">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21"/>
        <v>0.51249999999999996</v>
      </c>
      <c r="K87" s="183">
        <f>SUMIFS(Table1[Horas efetivas],Table1[Tabela],Plano_V3!E87,Table1[Campo],Plano_V3!F87)</f>
        <v>4.0999999999999996</v>
      </c>
      <c r="L87" s="183">
        <f t="shared" si="22"/>
        <v>0.51249999999999996</v>
      </c>
      <c r="M87" s="177"/>
      <c r="N87" s="177">
        <f t="shared" si="23"/>
        <v>1</v>
      </c>
      <c r="O87" s="177">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21"/>
        <v>0.51249999999999996</v>
      </c>
      <c r="K88" s="183">
        <f>SUMIFS(Table1[Horas efetivas],Table1[Tabela],Plano_V3!E88,Table1[Campo],Plano_V3!F88)</f>
        <v>4.0999999999999996</v>
      </c>
      <c r="L88" s="183">
        <f t="shared" si="22"/>
        <v>0.51249999999999996</v>
      </c>
      <c r="M88" s="177"/>
      <c r="N88" s="177">
        <f t="shared" si="23"/>
        <v>1</v>
      </c>
      <c r="O88" s="177">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21"/>
        <v>0</v>
      </c>
      <c r="K89" s="183">
        <f>SUMIFS(Table1[Horas efetivas],Table1[Tabela],Plano_V3!E89,Table1[Campo],Plano_V3!F89)</f>
        <v>0</v>
      </c>
      <c r="L89" s="183">
        <f t="shared" si="22"/>
        <v>0</v>
      </c>
      <c r="M89" s="177"/>
      <c r="N89" s="177" t="e">
        <f t="shared" si="23"/>
        <v>#DIV/0!</v>
      </c>
      <c r="O89" s="177"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21"/>
        <v>0</v>
      </c>
      <c r="K90" s="183">
        <f>SUMIFS(Table1[Horas efetivas],Table1[Tabela],Plano_V3!E90,Table1[Campo],Plano_V3!F90)</f>
        <v>0</v>
      </c>
      <c r="L90" s="183">
        <f t="shared" si="22"/>
        <v>0</v>
      </c>
      <c r="M90" s="177"/>
      <c r="N90" s="177" t="e">
        <f t="shared" si="23"/>
        <v>#DIV/0!</v>
      </c>
      <c r="O90" s="177"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21"/>
        <v>0.51249999999999996</v>
      </c>
      <c r="K91" s="183">
        <f>SUMIFS(Table1[Horas efetivas],Table1[Tabela],Plano_V3!E91,Table1[Campo],Plano_V3!F91)</f>
        <v>0</v>
      </c>
      <c r="L91" s="183">
        <f t="shared" si="22"/>
        <v>0</v>
      </c>
      <c r="M91" s="177"/>
      <c r="N91" s="177">
        <f t="shared" si="23"/>
        <v>0</v>
      </c>
      <c r="O91" s="177">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21"/>
        <v>0.51249999999999996</v>
      </c>
      <c r="K92" s="183">
        <f>SUMIFS(Table1[Horas efetivas],Table1[Tabela],Plano_V3!E92,Table1[Campo],Plano_V3!F92)</f>
        <v>4.0999999999999996</v>
      </c>
      <c r="L92" s="183">
        <f t="shared" si="22"/>
        <v>0.51249999999999996</v>
      </c>
      <c r="M92" s="177"/>
      <c r="N92" s="177">
        <f t="shared" si="23"/>
        <v>1</v>
      </c>
      <c r="O92" s="177">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4">I93/8</f>
        <v>0.25</v>
      </c>
      <c r="K93" s="183">
        <f>SUMIFS(Table1[Horas efetivas],Table1[Tabela],Plano_V3!E93,Table1[Campo],Plano_V3!F93)</f>
        <v>2</v>
      </c>
      <c r="L93" s="183">
        <f t="shared" ref="L93" si="25">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21"/>
        <v>1</v>
      </c>
      <c r="K94" s="183">
        <f>SUMIFS(Table1[Horas efetivas],Table1[Tabela],Plano_V3!E94,Table1[Campo],Plano_V3!F94)</f>
        <v>8</v>
      </c>
      <c r="L94" s="183">
        <f t="shared" si="22"/>
        <v>1</v>
      </c>
      <c r="M94" s="177"/>
      <c r="N94" s="177">
        <f t="shared" si="23"/>
        <v>1</v>
      </c>
      <c r="O94" s="177">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21"/>
        <v>1.0125</v>
      </c>
      <c r="K95" s="183">
        <f>SUMIFS(Table1[Horas efetivas],Table1[Tabela],Plano_V3!E95,Table1[Campo],Plano_V3!F95)</f>
        <v>8.1</v>
      </c>
      <c r="L95" s="183">
        <f t="shared" si="22"/>
        <v>1.0125</v>
      </c>
      <c r="M95" s="177"/>
      <c r="N95" s="177">
        <f t="shared" si="23"/>
        <v>1</v>
      </c>
      <c r="O95" s="177">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21"/>
        <v>1.0125</v>
      </c>
      <c r="K96" s="183">
        <f>SUMIFS(Table1[Horas efetivas],Table1[Tabela],Plano_V3!E96,Table1[Campo],Plano_V3!F96)</f>
        <v>8.1</v>
      </c>
      <c r="L96" s="183">
        <f t="shared" si="22"/>
        <v>1.0125</v>
      </c>
      <c r="M96" s="177"/>
      <c r="N96" s="177">
        <f t="shared" si="23"/>
        <v>1</v>
      </c>
      <c r="O96" s="177">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21"/>
        <v>1.0125</v>
      </c>
      <c r="K97" s="183">
        <f>SUMIFS(Table1[Horas efetivas],Table1[Tabela],Plano_V3!E97,Table1[Campo],Plano_V3!F97)</f>
        <v>8.1</v>
      </c>
      <c r="L97" s="183">
        <f t="shared" si="22"/>
        <v>1.0125</v>
      </c>
      <c r="M97" s="177"/>
      <c r="N97" s="177">
        <f t="shared" si="23"/>
        <v>1</v>
      </c>
      <c r="O97" s="177">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21"/>
        <v>1.0125</v>
      </c>
      <c r="K98" s="183">
        <f>SUMIFS(Table1[Horas efetivas],Table1[Tabela],Plano_V3!E98,Table1[Campo],Plano_V3!F98)</f>
        <v>8.1</v>
      </c>
      <c r="L98" s="183">
        <f t="shared" si="22"/>
        <v>1.0125</v>
      </c>
      <c r="M98" s="177"/>
      <c r="N98" s="177">
        <f t="shared" si="23"/>
        <v>1</v>
      </c>
      <c r="O98" s="177">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21"/>
        <v>1.0125</v>
      </c>
      <c r="K99" s="183">
        <f>SUMIFS(Table1[Horas efetivas],Table1[Tabela],Plano_V3!E99,Table1[Campo],Plano_V3!F99)</f>
        <v>8.1</v>
      </c>
      <c r="L99" s="183">
        <f t="shared" si="22"/>
        <v>1.0125</v>
      </c>
      <c r="M99" s="177"/>
      <c r="N99" s="177">
        <f t="shared" si="23"/>
        <v>1</v>
      </c>
      <c r="O99" s="177">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21"/>
        <v>1.0125</v>
      </c>
      <c r="K100" s="183">
        <f>SUMIFS(Table1[Horas efetivas],Table1[Tabela],Plano_V3!E100,Table1[Campo],Plano_V3!F100)</f>
        <v>8.1</v>
      </c>
      <c r="L100" s="183">
        <f t="shared" si="22"/>
        <v>1.0125</v>
      </c>
      <c r="M100" s="177"/>
      <c r="N100" s="177">
        <f t="shared" si="23"/>
        <v>1</v>
      </c>
      <c r="O100" s="177">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21"/>
        <v>1.0125</v>
      </c>
      <c r="K101" s="183">
        <f>SUMIFS(Table1[Horas efetivas],Table1[Tabela],Plano_V3!E101,Table1[Campo],Plano_V3!F101)</f>
        <v>8.1</v>
      </c>
      <c r="L101" s="183">
        <f t="shared" si="22"/>
        <v>1.0125</v>
      </c>
      <c r="M101" s="177"/>
      <c r="N101" s="177">
        <f t="shared" si="23"/>
        <v>1</v>
      </c>
      <c r="O101" s="177">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21"/>
        <v>1.0125</v>
      </c>
      <c r="K102" s="183">
        <f>SUMIFS(Table1[Horas efetivas],Table1[Tabela],Plano_V3!E102,Table1[Campo],Plano_V3!F102)</f>
        <v>8.1</v>
      </c>
      <c r="L102" s="183">
        <f t="shared" si="22"/>
        <v>1.0125</v>
      </c>
      <c r="M102" s="177"/>
      <c r="N102" s="177">
        <f t="shared" si="23"/>
        <v>1</v>
      </c>
      <c r="O102" s="177">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21"/>
        <v>1.0125</v>
      </c>
      <c r="K103" s="183">
        <f>SUMIFS(Table1[Horas efetivas],Table1[Tabela],Plano_V3!E103,Table1[Campo],Plano_V3!F103)</f>
        <v>8.1</v>
      </c>
      <c r="L103" s="183">
        <f t="shared" si="22"/>
        <v>1.0125</v>
      </c>
      <c r="M103" s="177"/>
      <c r="N103" s="177">
        <f t="shared" si="23"/>
        <v>1</v>
      </c>
      <c r="O103" s="177">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21"/>
        <v>1.0125</v>
      </c>
      <c r="K104" s="183">
        <f>SUMIFS(Table1[Horas efetivas],Table1[Tabela],Plano_V3!E104,Table1[Campo],Plano_V3!F104)</f>
        <v>8.1</v>
      </c>
      <c r="L104" s="183">
        <f t="shared" si="22"/>
        <v>1.0125</v>
      </c>
      <c r="M104" s="177"/>
      <c r="N104" s="177">
        <f t="shared" si="23"/>
        <v>1</v>
      </c>
      <c r="O104" s="177">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21"/>
        <v>0</v>
      </c>
      <c r="K105" s="183">
        <f>SUMIFS(Table1[Horas efetivas],Table1[Tabela],Plano_V3!E105,Table1[Campo],Plano_V3!F105)</f>
        <v>0</v>
      </c>
      <c r="L105" s="183">
        <f t="shared" si="22"/>
        <v>0</v>
      </c>
      <c r="M105" s="177"/>
      <c r="N105" s="177" t="e">
        <f t="shared" si="23"/>
        <v>#DIV/0!</v>
      </c>
      <c r="O105" s="177"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21"/>
        <v>1.0125</v>
      </c>
      <c r="K106" s="183">
        <f>SUMIFS(Table1[Horas efetivas],Table1[Tabela],Plano_V3!E106,Table1[Campo],Plano_V3!F106)</f>
        <v>8.1</v>
      </c>
      <c r="L106" s="183">
        <f t="shared" si="22"/>
        <v>1.0125</v>
      </c>
      <c r="M106" s="177"/>
      <c r="N106" s="177">
        <f t="shared" si="23"/>
        <v>1</v>
      </c>
      <c r="O106" s="177">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21"/>
        <v>1.0125</v>
      </c>
      <c r="K107" s="183">
        <f>SUMIFS(Table1[Horas efetivas],Table1[Tabela],Plano_V3!E107,Table1[Campo],Plano_V3!F107)</f>
        <v>8.1</v>
      </c>
      <c r="L107" s="183">
        <f t="shared" si="22"/>
        <v>1.0125</v>
      </c>
      <c r="M107" s="177"/>
      <c r="N107" s="177">
        <f t="shared" si="23"/>
        <v>1</v>
      </c>
      <c r="O107" s="177">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21"/>
        <v>1.0125</v>
      </c>
      <c r="K108" s="183">
        <f>SUMIFS(Table1[Horas efetivas],Table1[Tabela],Plano_V3!E108,Table1[Campo],Plano_V3!F108)</f>
        <v>8.1</v>
      </c>
      <c r="L108" s="183">
        <f t="shared" si="22"/>
        <v>1.0125</v>
      </c>
      <c r="M108" s="177"/>
      <c r="N108" s="177">
        <f t="shared" si="23"/>
        <v>1</v>
      </c>
      <c r="O108" s="177">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2444</v>
      </c>
      <c r="G109" s="64" t="str">
        <f>INDEX(Auxiliar!$B$16:$B$24,MATCH(Plano_V3!H109,Auxiliar!$C$16:$C$24,0),1)</f>
        <v>1. Concluído</v>
      </c>
      <c r="H109" s="64">
        <f>VLOOKUP(A109,'Aux - pivots1'!$A:$B,2,0)</f>
        <v>1</v>
      </c>
      <c r="I109" s="183">
        <f>SUMIFS(Table1[Estimação (horas)],Table1[Tabela],Plano_V3!E109,Table1[Campo],Plano_V3!F109)</f>
        <v>8.1</v>
      </c>
      <c r="J109" s="183">
        <f t="shared" si="21"/>
        <v>1.0125</v>
      </c>
      <c r="K109" s="183">
        <f>SUMIFS(Table1[Horas efetivas],Table1[Tabela],Plano_V3!E109,Table1[Campo],Plano_V3!F109)</f>
        <v>8.1</v>
      </c>
      <c r="L109" s="183">
        <f t="shared" si="22"/>
        <v>1.0125</v>
      </c>
      <c r="M109" s="177"/>
      <c r="N109" s="177">
        <f t="shared" si="23"/>
        <v>1</v>
      </c>
      <c r="O109" s="177">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2445</v>
      </c>
      <c r="G110" s="64" t="str">
        <f>INDEX(Auxiliar!$B$16:$B$24,MATCH(Plano_V3!H110,Auxiliar!$C$16:$C$24,0),1)</f>
        <v>1. Concluído</v>
      </c>
      <c r="H110" s="64">
        <f>VLOOKUP(A110,'Aux - pivots1'!$A:$B,2,0)</f>
        <v>1</v>
      </c>
      <c r="I110" s="183">
        <f>SUMIFS(Table1[Estimação (horas)],Table1[Tabela],Plano_V3!E110,Table1[Campo],Plano_V3!F110)</f>
        <v>8.1</v>
      </c>
      <c r="J110" s="183">
        <f t="shared" si="21"/>
        <v>1.0125</v>
      </c>
      <c r="K110" s="183">
        <f>SUMIFS(Table1[Horas efetivas],Table1[Tabela],Plano_V3!E110,Table1[Campo],Plano_V3!F110)</f>
        <v>8.1</v>
      </c>
      <c r="L110" s="183">
        <f t="shared" si="22"/>
        <v>1.0125</v>
      </c>
      <c r="M110" s="177"/>
      <c r="N110" s="177">
        <f t="shared" si="23"/>
        <v>1</v>
      </c>
      <c r="O110" s="177">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21"/>
        <v>0</v>
      </c>
      <c r="K111" s="183">
        <f>SUMIFS(Table1[Horas efetivas],Table1[Tabela],Plano_V3!E111,Table1[Campo],Plano_V3!F111)</f>
        <v>0</v>
      </c>
      <c r="L111" s="183">
        <f t="shared" si="22"/>
        <v>0</v>
      </c>
      <c r="M111" s="177"/>
      <c r="N111" s="177" t="e">
        <f t="shared" si="23"/>
        <v>#DIV/0!</v>
      </c>
      <c r="O111" s="177"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21"/>
        <v>0</v>
      </c>
      <c r="K112" s="183">
        <f>SUMIFS(Table1[Horas efetivas],Table1[Tabela],Plano_V3!E112,Table1[Campo],Plano_V3!F112)</f>
        <v>0</v>
      </c>
      <c r="L112" s="183">
        <f t="shared" si="22"/>
        <v>0</v>
      </c>
      <c r="M112" s="177"/>
      <c r="N112" s="177" t="e">
        <f t="shared" si="23"/>
        <v>#DIV/0!</v>
      </c>
      <c r="O112" s="177"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21"/>
        <v>0.51249999999999996</v>
      </c>
      <c r="K113" s="183">
        <f>SUMIFS(Table1[Horas efetivas],Table1[Tabela],Plano_V3!E113,Table1[Campo],Plano_V3!F113)</f>
        <v>4.0999999999999996</v>
      </c>
      <c r="L113" s="183">
        <f t="shared" si="22"/>
        <v>0.51249999999999996</v>
      </c>
      <c r="M113" s="177"/>
      <c r="N113" s="177">
        <f t="shared" si="23"/>
        <v>1</v>
      </c>
      <c r="O113" s="177">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21"/>
        <v>0.51249999999999996</v>
      </c>
      <c r="K114" s="183">
        <f>SUMIFS(Table1[Horas efetivas],Table1[Tabela],Plano_V3!E114,Table1[Campo],Plano_V3!F114)</f>
        <v>4.0999999999999996</v>
      </c>
      <c r="L114" s="183">
        <f t="shared" si="22"/>
        <v>0.51249999999999996</v>
      </c>
      <c r="M114" s="177"/>
      <c r="N114" s="177">
        <f t="shared" si="23"/>
        <v>1</v>
      </c>
      <c r="O114" s="177">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21"/>
        <v>1</v>
      </c>
      <c r="K115" s="183">
        <f>SUMIFS(Table1[Horas efetivas],Table1[Tabela],Plano_V3!E115,Table1[Campo],Plano_V3!F115)</f>
        <v>8</v>
      </c>
      <c r="L115" s="183">
        <f t="shared" si="22"/>
        <v>1</v>
      </c>
      <c r="M115" s="177"/>
      <c r="N115" s="177">
        <f t="shared" si="23"/>
        <v>1</v>
      </c>
      <c r="O115" s="177">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21"/>
        <v>0.51249999999999996</v>
      </c>
      <c r="K116" s="183">
        <f>SUMIFS(Table1[Horas efetivas],Table1[Tabela],Plano_V3!E116,Table1[Campo],Plano_V3!F116)</f>
        <v>4.0999999999999996</v>
      </c>
      <c r="L116" s="183">
        <f t="shared" si="22"/>
        <v>0.51249999999999996</v>
      </c>
      <c r="M116" s="177"/>
      <c r="N116" s="177">
        <f t="shared" si="23"/>
        <v>1</v>
      </c>
      <c r="O116" s="177">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21"/>
        <v>1.0125</v>
      </c>
      <c r="K117" s="183">
        <f>SUMIFS(Table1[Horas efetivas],Table1[Tabela],Plano_V3!E117,Table1[Campo],Plano_V3!F117)</f>
        <v>8.1</v>
      </c>
      <c r="L117" s="183">
        <f t="shared" si="22"/>
        <v>1.0125</v>
      </c>
      <c r="M117" s="177"/>
      <c r="N117" s="177">
        <f t="shared" si="23"/>
        <v>1</v>
      </c>
      <c r="O117" s="177">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21"/>
        <v>1.0125</v>
      </c>
      <c r="K118" s="183">
        <f>SUMIFS(Table1[Horas efetivas],Table1[Tabela],Plano_V3!E118,Table1[Campo],Plano_V3!F118)</f>
        <v>8.1</v>
      </c>
      <c r="L118" s="183">
        <f t="shared" si="22"/>
        <v>1.0125</v>
      </c>
      <c r="M118" s="177"/>
      <c r="N118" s="177">
        <f t="shared" si="23"/>
        <v>1</v>
      </c>
      <c r="O118" s="177">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21"/>
        <v>1.0125</v>
      </c>
      <c r="K119" s="183">
        <f>SUMIFS(Table1[Horas efetivas],Table1[Tabela],Plano_V3!E119,Table1[Campo],Plano_V3!F119)</f>
        <v>8.1</v>
      </c>
      <c r="L119" s="183">
        <f t="shared" si="22"/>
        <v>1.0125</v>
      </c>
      <c r="M119" s="177"/>
      <c r="N119" s="177">
        <f t="shared" si="23"/>
        <v>1</v>
      </c>
      <c r="O119" s="177">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21"/>
        <v>1.0125</v>
      </c>
      <c r="K120" s="183">
        <f>SUMIFS(Table1[Horas efetivas],Table1[Tabela],Plano_V3!E120,Table1[Campo],Plano_V3!F120)</f>
        <v>8.1</v>
      </c>
      <c r="L120" s="183">
        <f t="shared" si="22"/>
        <v>1.0125</v>
      </c>
      <c r="M120" s="177"/>
      <c r="N120" s="177">
        <f t="shared" si="23"/>
        <v>1</v>
      </c>
      <c r="O120" s="177">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21"/>
        <v>1.0125</v>
      </c>
      <c r="K121" s="183">
        <f>SUMIFS(Table1[Horas efetivas],Table1[Tabela],Plano_V3!E121,Table1[Campo],Plano_V3!F121)</f>
        <v>8.1</v>
      </c>
      <c r="L121" s="183">
        <f t="shared" si="22"/>
        <v>1.0125</v>
      </c>
      <c r="M121" s="177"/>
      <c r="N121" s="177">
        <f t="shared" si="23"/>
        <v>1</v>
      </c>
      <c r="O121" s="177">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21"/>
        <v>0.51249999999999996</v>
      </c>
      <c r="K122" s="183">
        <f>SUMIFS(Table1[Horas efetivas],Table1[Tabela],Plano_V3!E122,Table1[Campo],Plano_V3!F122)</f>
        <v>4.0999999999999996</v>
      </c>
      <c r="L122" s="183">
        <f t="shared" si="22"/>
        <v>0.51249999999999996</v>
      </c>
      <c r="M122" s="177"/>
      <c r="N122" s="177">
        <f t="shared" si="23"/>
        <v>1</v>
      </c>
      <c r="O122" s="177">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21"/>
        <v>1.0125</v>
      </c>
      <c r="K123" s="183">
        <f>SUMIFS(Table1[Horas efetivas],Table1[Tabela],Plano_V3!E123,Table1[Campo],Plano_V3!F123)</f>
        <v>8.1</v>
      </c>
      <c r="L123" s="183">
        <f t="shared" si="22"/>
        <v>1.0125</v>
      </c>
      <c r="M123" s="177"/>
      <c r="N123" s="177">
        <f t="shared" si="23"/>
        <v>1</v>
      </c>
      <c r="O123" s="177">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21"/>
        <v>0</v>
      </c>
      <c r="K124" s="183">
        <f>SUMIFS(Table1[Horas efetivas],Table1[Tabela],Plano_V3!E124,Table1[Campo],Plano_V3!F124)</f>
        <v>0</v>
      </c>
      <c r="L124" s="183">
        <f t="shared" si="22"/>
        <v>0</v>
      </c>
      <c r="M124" s="177"/>
      <c r="N124" s="177" t="e">
        <f t="shared" si="23"/>
        <v>#DIV/0!</v>
      </c>
      <c r="O124" s="177"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21"/>
        <v>0.51249999999999996</v>
      </c>
      <c r="K125" s="183">
        <f>SUMIFS(Table1[Horas efetivas],Table1[Tabela],Plano_V3!E125,Table1[Campo],Plano_V3!F125)</f>
        <v>4.0999999999999996</v>
      </c>
      <c r="L125" s="183">
        <f t="shared" si="22"/>
        <v>0.51249999999999996</v>
      </c>
      <c r="M125" s="177"/>
      <c r="N125" s="177">
        <f t="shared" si="23"/>
        <v>1</v>
      </c>
      <c r="O125" s="177">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21"/>
        <v>0.51249999999999996</v>
      </c>
      <c r="K126" s="183">
        <f>SUMIFS(Table1[Horas efetivas],Table1[Tabela],Plano_V3!E126,Table1[Campo],Plano_V3!F126)</f>
        <v>4.0999999999999996</v>
      </c>
      <c r="L126" s="183">
        <f t="shared" si="22"/>
        <v>0.51249999999999996</v>
      </c>
      <c r="M126" s="177"/>
      <c r="N126" s="177">
        <f t="shared" si="23"/>
        <v>1</v>
      </c>
      <c r="O126" s="177">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21"/>
        <v>0.51249999999999996</v>
      </c>
      <c r="K127" s="183">
        <f>SUMIFS(Table1[Horas efetivas],Table1[Tabela],Plano_V3!E127,Table1[Campo],Plano_V3!F127)</f>
        <v>4.0999999999999996</v>
      </c>
      <c r="L127" s="183">
        <f t="shared" si="22"/>
        <v>0.51249999999999996</v>
      </c>
      <c r="M127" s="177"/>
      <c r="N127" s="177">
        <f t="shared" si="23"/>
        <v>1</v>
      </c>
      <c r="O127" s="177">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21"/>
        <v>0.51249999999999996</v>
      </c>
      <c r="K128" s="183">
        <f>SUMIFS(Table1[Horas efetivas],Table1[Tabela],Plano_V3!E128,Table1[Campo],Plano_V3!F128)</f>
        <v>4.0999999999999996</v>
      </c>
      <c r="L128" s="183">
        <f t="shared" si="22"/>
        <v>0.51249999999999996</v>
      </c>
      <c r="M128" s="177"/>
      <c r="N128" s="177">
        <f t="shared" si="23"/>
        <v>1</v>
      </c>
      <c r="O128" s="177">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21"/>
        <v>0.51249999999999996</v>
      </c>
      <c r="K129" s="183">
        <f>SUMIFS(Table1[Horas efetivas],Table1[Tabela],Plano_V3!E129,Table1[Campo],Plano_V3!F129)</f>
        <v>4.0999999999999996</v>
      </c>
      <c r="L129" s="183">
        <f t="shared" si="22"/>
        <v>0.51249999999999996</v>
      </c>
      <c r="M129" s="177"/>
      <c r="N129" s="177">
        <f t="shared" si="23"/>
        <v>1</v>
      </c>
      <c r="O129" s="177">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21"/>
        <v>0.51249999999999996</v>
      </c>
      <c r="K130" s="183">
        <f>SUMIFS(Table1[Horas efetivas],Table1[Tabela],Plano_V3!E130,Table1[Campo],Plano_V3!F130)</f>
        <v>4.0999999999999996</v>
      </c>
      <c r="L130" s="183">
        <f t="shared" si="22"/>
        <v>0.51249999999999996</v>
      </c>
      <c r="M130" s="177"/>
      <c r="N130" s="177">
        <f t="shared" si="23"/>
        <v>1</v>
      </c>
      <c r="O130" s="177">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21"/>
        <v>1</v>
      </c>
      <c r="K131" s="183">
        <f>SUMIFS(Table1[Horas efetivas],Table1[Tabela],Plano_V3!E131,Table1[Campo],Plano_V3!F131)</f>
        <v>8</v>
      </c>
      <c r="L131" s="183">
        <f t="shared" si="22"/>
        <v>1</v>
      </c>
      <c r="M131" s="177"/>
      <c r="N131" s="177">
        <f t="shared" si="23"/>
        <v>1</v>
      </c>
      <c r="O131" s="177">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21"/>
        <v>0</v>
      </c>
      <c r="K132" s="183">
        <f>SUMIFS(Table1[Horas efetivas],Table1[Tabela],Plano_V3!E132,Table1[Campo],Plano_V3!F132)</f>
        <v>4</v>
      </c>
      <c r="L132" s="183">
        <f t="shared" si="22"/>
        <v>0.5</v>
      </c>
      <c r="M132" s="177"/>
      <c r="N132" s="177" t="e">
        <f t="shared" si="23"/>
        <v>#DIV/0!</v>
      </c>
      <c r="O132" s="177"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21"/>
        <v>1.0125</v>
      </c>
      <c r="K133" s="183">
        <f>SUMIFS(Table1[Horas efetivas],Table1[Tabela],Plano_V3!E133,Table1[Campo],Plano_V3!F133)</f>
        <v>8.1</v>
      </c>
      <c r="L133" s="183">
        <f t="shared" si="22"/>
        <v>1.0125</v>
      </c>
      <c r="M133" s="177"/>
      <c r="N133" s="177">
        <f t="shared" si="23"/>
        <v>1</v>
      </c>
      <c r="O133" s="177">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21"/>
        <v>0.51249999999999996</v>
      </c>
      <c r="K134" s="183">
        <f>SUMIFS(Table1[Horas efetivas],Table1[Tabela],Plano_V3!E134,Table1[Campo],Plano_V3!F134)</f>
        <v>4.0999999999999996</v>
      </c>
      <c r="L134" s="183">
        <f t="shared" si="22"/>
        <v>0.51249999999999996</v>
      </c>
      <c r="M134" s="177"/>
      <c r="N134" s="177">
        <f t="shared" si="23"/>
        <v>1</v>
      </c>
      <c r="O134" s="177">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21"/>
        <v>0.51249999999999996</v>
      </c>
      <c r="K135" s="183">
        <f>SUMIFS(Table1[Horas efetivas],Table1[Tabela],Plano_V3!E135,Table1[Campo],Plano_V3!F135)</f>
        <v>4.0999999999999996</v>
      </c>
      <c r="L135" s="183">
        <f t="shared" si="22"/>
        <v>0.51249999999999996</v>
      </c>
      <c r="M135" s="177"/>
      <c r="N135" s="177">
        <f t="shared" si="23"/>
        <v>1</v>
      </c>
      <c r="O135" s="177">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21"/>
        <v>0.51249999999999996</v>
      </c>
      <c r="K136" s="183">
        <f>SUMIFS(Table1[Horas efetivas],Table1[Tabela],Plano_V3!E136,Table1[Campo],Plano_V3!F136)</f>
        <v>4.0999999999999996</v>
      </c>
      <c r="L136" s="183">
        <f t="shared" si="22"/>
        <v>0.51249999999999996</v>
      </c>
      <c r="M136" s="177"/>
      <c r="N136" s="177">
        <f t="shared" si="23"/>
        <v>1</v>
      </c>
      <c r="O136" s="177">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21"/>
        <v>0.51249999999999996</v>
      </c>
      <c r="K137" s="183">
        <f>SUMIFS(Table1[Horas efetivas],Table1[Tabela],Plano_V3!E137,Table1[Campo],Plano_V3!F137)</f>
        <v>4.0999999999999996</v>
      </c>
      <c r="L137" s="183">
        <f t="shared" si="22"/>
        <v>0.51249999999999996</v>
      </c>
      <c r="M137" s="177"/>
      <c r="N137" s="177">
        <f t="shared" si="23"/>
        <v>1</v>
      </c>
      <c r="O137" s="177">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21"/>
        <v>0.51249999999999996</v>
      </c>
      <c r="K138" s="183">
        <f>SUMIFS(Table1[Horas efetivas],Table1[Tabela],Plano_V3!E138,Table1[Campo],Plano_V3!F138)</f>
        <v>4.0999999999999996</v>
      </c>
      <c r="L138" s="183">
        <f t="shared" si="22"/>
        <v>0.51249999999999996</v>
      </c>
      <c r="M138" s="177"/>
      <c r="N138" s="177">
        <f t="shared" si="23"/>
        <v>1</v>
      </c>
      <c r="O138" s="177">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21"/>
        <v>0.51249999999999996</v>
      </c>
      <c r="K139" s="183">
        <f>SUMIFS(Table1[Horas efetivas],Table1[Tabela],Plano_V3!E139,Table1[Campo],Plano_V3!F139)</f>
        <v>4.0999999999999996</v>
      </c>
      <c r="L139" s="183">
        <f t="shared" si="22"/>
        <v>0.51249999999999996</v>
      </c>
      <c r="M139" s="177"/>
      <c r="N139" s="177">
        <f t="shared" si="23"/>
        <v>1</v>
      </c>
      <c r="O139" s="177">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9">I140/8</f>
        <v>0</v>
      </c>
      <c r="K140" s="183">
        <f>SUMIFS(Table1[Horas efetivas],Table1[Tabela],Plano_V3!E140,Table1[Campo],Plano_V3!F140)</f>
        <v>0</v>
      </c>
      <c r="L140" s="183">
        <f t="shared" ref="L140:L204" si="30">K140/8</f>
        <v>0</v>
      </c>
      <c r="M140" s="177"/>
      <c r="N140" s="177" t="e">
        <f t="shared" ref="N140:N204" si="31">L140/J140</f>
        <v>#DIV/0!</v>
      </c>
      <c r="O140" s="177"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9"/>
        <v>0.51249999999999996</v>
      </c>
      <c r="K141" s="183">
        <f>SUMIFS(Table1[Horas efetivas],Table1[Tabela],Plano_V3!E141,Table1[Campo],Plano_V3!F141)</f>
        <v>4.0999999999999996</v>
      </c>
      <c r="L141" s="183">
        <f t="shared" si="30"/>
        <v>0.51249999999999996</v>
      </c>
      <c r="M141" s="177"/>
      <c r="N141" s="177">
        <f t="shared" si="31"/>
        <v>1</v>
      </c>
      <c r="O141" s="177">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9"/>
        <v>0.51249999999999996</v>
      </c>
      <c r="K142" s="183">
        <f>SUMIFS(Table1[Horas efetivas],Table1[Tabela],Plano_V3!E142,Table1[Campo],Plano_V3!F142)</f>
        <v>4.0999999999999996</v>
      </c>
      <c r="L142" s="183">
        <f t="shared" si="30"/>
        <v>0.51249999999999996</v>
      </c>
      <c r="M142" s="177"/>
      <c r="N142" s="177">
        <f t="shared" si="31"/>
        <v>1</v>
      </c>
      <c r="O142" s="177">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9"/>
        <v>0.51249999999999996</v>
      </c>
      <c r="K143" s="183">
        <f>SUMIFS(Table1[Horas efetivas],Table1[Tabela],Plano_V3!E143,Table1[Campo],Plano_V3!F143)</f>
        <v>4.0999999999999996</v>
      </c>
      <c r="L143" s="183">
        <f t="shared" si="30"/>
        <v>0.51249999999999996</v>
      </c>
      <c r="M143" s="177"/>
      <c r="N143" s="177">
        <f t="shared" si="31"/>
        <v>1</v>
      </c>
      <c r="O143" s="177">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9"/>
        <v>0.51249999999999996</v>
      </c>
      <c r="K144" s="183">
        <f>SUMIFS(Table1[Horas efetivas],Table1[Tabela],Plano_V3!E144,Table1[Campo],Plano_V3!F144)</f>
        <v>4.0999999999999996</v>
      </c>
      <c r="L144" s="183">
        <f t="shared" si="30"/>
        <v>0.51249999999999996</v>
      </c>
      <c r="M144" s="177"/>
      <c r="N144" s="177">
        <f t="shared" si="31"/>
        <v>1</v>
      </c>
      <c r="O144" s="177">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9"/>
        <v>0.51249999999999996</v>
      </c>
      <c r="K145" s="183">
        <f>SUMIFS(Table1[Horas efetivas],Table1[Tabela],Plano_V3!E145,Table1[Campo],Plano_V3!F145)</f>
        <v>4.0999999999999996</v>
      </c>
      <c r="L145" s="183">
        <f t="shared" si="30"/>
        <v>0.51249999999999996</v>
      </c>
      <c r="M145" s="177"/>
      <c r="N145" s="177">
        <f t="shared" si="31"/>
        <v>1</v>
      </c>
      <c r="O145" s="177">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9"/>
        <v>0.51249999999999996</v>
      </c>
      <c r="K146" s="183">
        <f>SUMIFS(Table1[Horas efetivas],Table1[Tabela],Plano_V3!E146,Table1[Campo],Plano_V3!F146)</f>
        <v>4.0999999999999996</v>
      </c>
      <c r="L146" s="183">
        <f t="shared" si="30"/>
        <v>0.51249999999999996</v>
      </c>
      <c r="M146" s="177"/>
      <c r="N146" s="177">
        <f t="shared" si="31"/>
        <v>1</v>
      </c>
      <c r="O146" s="177">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9"/>
        <v>0.51249999999999996</v>
      </c>
      <c r="K147" s="183">
        <f>SUMIFS(Table1[Horas efetivas],Table1[Tabela],Plano_V3!E147,Table1[Campo],Plano_V3!F147)</f>
        <v>4.0999999999999996</v>
      </c>
      <c r="L147" s="183">
        <f t="shared" si="30"/>
        <v>0.51249999999999996</v>
      </c>
      <c r="M147" s="177"/>
      <c r="N147" s="177">
        <f t="shared" si="31"/>
        <v>1</v>
      </c>
      <c r="O147" s="177">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9"/>
        <v>0.51249999999999996</v>
      </c>
      <c r="K148" s="183">
        <f>SUMIFS(Table1[Horas efetivas],Table1[Tabela],Plano_V3!E148,Table1[Campo],Plano_V3!F148)</f>
        <v>4.0999999999999996</v>
      </c>
      <c r="L148" s="183">
        <f t="shared" si="30"/>
        <v>0.51249999999999996</v>
      </c>
      <c r="M148" s="177"/>
      <c r="N148" s="177">
        <f t="shared" si="31"/>
        <v>1</v>
      </c>
      <c r="O148" s="177">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9"/>
        <v>0.51249999999999996</v>
      </c>
      <c r="K149" s="183">
        <f>SUMIFS(Table1[Horas efetivas],Table1[Tabela],Plano_V3!E149,Table1[Campo],Plano_V3!F149)</f>
        <v>4.0999999999999996</v>
      </c>
      <c r="L149" s="183">
        <f t="shared" si="30"/>
        <v>0.51249999999999996</v>
      </c>
      <c r="M149" s="177"/>
      <c r="N149" s="177">
        <f t="shared" si="31"/>
        <v>1</v>
      </c>
      <c r="O149" s="177">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9"/>
        <v>0.51249999999999996</v>
      </c>
      <c r="K150" s="183">
        <f>SUMIFS(Table1[Horas efetivas],Table1[Tabela],Plano_V3!E150,Table1[Campo],Plano_V3!F150)</f>
        <v>4.0999999999999996</v>
      </c>
      <c r="L150" s="183">
        <f t="shared" si="30"/>
        <v>0.51249999999999996</v>
      </c>
      <c r="M150" s="177"/>
      <c r="N150" s="177">
        <f t="shared" si="31"/>
        <v>1</v>
      </c>
      <c r="O150" s="177">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9"/>
        <v>0.51249999999999996</v>
      </c>
      <c r="K151" s="183">
        <f>SUMIFS(Table1[Horas efetivas],Table1[Tabela],Plano_V3!E151,Table1[Campo],Plano_V3!F151)</f>
        <v>4.0999999999999996</v>
      </c>
      <c r="L151" s="183">
        <f t="shared" si="30"/>
        <v>0.51249999999999996</v>
      </c>
      <c r="M151" s="177"/>
      <c r="N151" s="177">
        <f t="shared" si="31"/>
        <v>1</v>
      </c>
      <c r="O151" s="177">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9"/>
        <v>0.51249999999999996</v>
      </c>
      <c r="K152" s="183">
        <f>SUMIFS(Table1[Horas efetivas],Table1[Tabela],Plano_V3!E152,Table1[Campo],Plano_V3!F152)</f>
        <v>4.0999999999999996</v>
      </c>
      <c r="L152" s="183">
        <f t="shared" si="30"/>
        <v>0.51249999999999996</v>
      </c>
      <c r="M152" s="177"/>
      <c r="N152" s="177">
        <f t="shared" si="31"/>
        <v>1</v>
      </c>
      <c r="O152" s="177">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9"/>
        <v>0.51249999999999996</v>
      </c>
      <c r="K153" s="183">
        <f>SUMIFS(Table1[Horas efetivas],Table1[Tabela],Plano_V3!E153,Table1[Campo],Plano_V3!F153)</f>
        <v>4.0999999999999996</v>
      </c>
      <c r="L153" s="183">
        <f t="shared" si="30"/>
        <v>0.51249999999999996</v>
      </c>
      <c r="M153" s="177"/>
      <c r="N153" s="177">
        <f t="shared" si="31"/>
        <v>1</v>
      </c>
      <c r="O153" s="177">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9"/>
        <v>0.51249999999999996</v>
      </c>
      <c r="K154" s="183">
        <f>SUMIFS(Table1[Horas efetivas],Table1[Tabela],Plano_V3!E154,Table1[Campo],Plano_V3!F154)</f>
        <v>4.0999999999999996</v>
      </c>
      <c r="L154" s="183">
        <f t="shared" si="30"/>
        <v>0.51249999999999996</v>
      </c>
      <c r="M154" s="177"/>
      <c r="N154" s="177">
        <f t="shared" si="31"/>
        <v>1</v>
      </c>
      <c r="O154" s="177">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9"/>
        <v>0.51249999999999996</v>
      </c>
      <c r="K155" s="183">
        <f>SUMIFS(Table1[Horas efetivas],Table1[Tabela],Plano_V3!E155,Table1[Campo],Plano_V3!F155)</f>
        <v>4.0999999999999996</v>
      </c>
      <c r="L155" s="183">
        <f t="shared" si="30"/>
        <v>0.51249999999999996</v>
      </c>
      <c r="M155" s="177"/>
      <c r="N155" s="177">
        <f t="shared" si="31"/>
        <v>1</v>
      </c>
      <c r="O155" s="177">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9"/>
        <v>0.51249999999999996</v>
      </c>
      <c r="K156" s="183">
        <f>SUMIFS(Table1[Horas efetivas],Table1[Tabela],Plano_V3!E156,Table1[Campo],Plano_V3!F156)</f>
        <v>4.0999999999999996</v>
      </c>
      <c r="L156" s="183">
        <f t="shared" si="30"/>
        <v>0.51249999999999996</v>
      </c>
      <c r="M156" s="177"/>
      <c r="N156" s="177">
        <f t="shared" si="31"/>
        <v>1</v>
      </c>
      <c r="O156" s="177">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9"/>
        <v>0.51249999999999996</v>
      </c>
      <c r="K157" s="183">
        <f>SUMIFS(Table1[Horas efetivas],Table1[Tabela],Plano_V3!E157,Table1[Campo],Plano_V3!F157)</f>
        <v>4.0999999999999996</v>
      </c>
      <c r="L157" s="183">
        <f t="shared" si="30"/>
        <v>0.51249999999999996</v>
      </c>
      <c r="M157" s="177"/>
      <c r="N157" s="177">
        <f t="shared" si="31"/>
        <v>1</v>
      </c>
      <c r="O157" s="177">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9"/>
        <v>0.51249999999999996</v>
      </c>
      <c r="K158" s="183">
        <f>SUMIFS(Table1[Horas efetivas],Table1[Tabela],Plano_V3!E158,Table1[Campo],Plano_V3!F158)</f>
        <v>4.0999999999999996</v>
      </c>
      <c r="L158" s="183">
        <f t="shared" si="30"/>
        <v>0.51249999999999996</v>
      </c>
      <c r="M158" s="177"/>
      <c r="N158" s="177">
        <f t="shared" si="31"/>
        <v>1</v>
      </c>
      <c r="O158" s="177">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9"/>
        <v>0.51249999999999996</v>
      </c>
      <c r="K159" s="183">
        <f>SUMIFS(Table1[Horas efetivas],Table1[Tabela],Plano_V3!E159,Table1[Campo],Plano_V3!F159)</f>
        <v>0</v>
      </c>
      <c r="L159" s="183">
        <f t="shared" si="30"/>
        <v>0</v>
      </c>
      <c r="M159" s="177"/>
      <c r="N159" s="177">
        <f t="shared" si="31"/>
        <v>0</v>
      </c>
      <c r="O159" s="177">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9"/>
        <v>1.0125</v>
      </c>
      <c r="K160" s="183">
        <f>SUMIFS(Table1[Horas efetivas],Table1[Tabela],Plano_V3!E160,Table1[Campo],Plano_V3!F160)</f>
        <v>8.1</v>
      </c>
      <c r="L160" s="183">
        <f t="shared" si="30"/>
        <v>1.0125</v>
      </c>
      <c r="M160" s="177"/>
      <c r="N160" s="177">
        <f t="shared" si="31"/>
        <v>1</v>
      </c>
      <c r="O160" s="177">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9"/>
        <v>1.0125</v>
      </c>
      <c r="K161" s="183">
        <f>SUMIFS(Table1[Horas efetivas],Table1[Tabela],Plano_V3!E161,Table1[Campo],Plano_V3!F161)</f>
        <v>8.1</v>
      </c>
      <c r="L161" s="183">
        <f t="shared" si="30"/>
        <v>1.0125</v>
      </c>
      <c r="M161" s="177"/>
      <c r="N161" s="177">
        <f t="shared" si="31"/>
        <v>1</v>
      </c>
      <c r="O161" s="177">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9"/>
        <v>0.51249999999999996</v>
      </c>
      <c r="K162" s="183">
        <f>SUMIFS(Table1[Horas efetivas],Table1[Tabela],Plano_V3!E162,Table1[Campo],Plano_V3!F162)</f>
        <v>4.0999999999999996</v>
      </c>
      <c r="L162" s="183">
        <f t="shared" si="30"/>
        <v>0.51249999999999996</v>
      </c>
      <c r="M162" s="177"/>
      <c r="N162" s="177">
        <f t="shared" si="31"/>
        <v>1</v>
      </c>
      <c r="O162" s="177">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9"/>
        <v>0.51249999999999996</v>
      </c>
      <c r="K163" s="183">
        <f>SUMIFS(Table1[Horas efetivas],Table1[Tabela],Plano_V3!E163,Table1[Campo],Plano_V3!F163)</f>
        <v>4.0999999999999996</v>
      </c>
      <c r="L163" s="183">
        <f t="shared" si="30"/>
        <v>0.51249999999999996</v>
      </c>
      <c r="M163" s="177"/>
      <c r="N163" s="177">
        <f t="shared" si="31"/>
        <v>1</v>
      </c>
      <c r="O163" s="177">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31"/>
        <v>1</v>
      </c>
      <c r="O164" s="177">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9"/>
        <v>1</v>
      </c>
      <c r="K165" s="183">
        <f>SUMIFS(Table1[Horas efetivas],Table1[Tabela],Plano_V3!E165,Table1[Campo],Plano_V3!F165)</f>
        <v>8</v>
      </c>
      <c r="L165" s="183">
        <f t="shared" si="30"/>
        <v>1</v>
      </c>
      <c r="M165" s="177"/>
      <c r="N165" s="177">
        <f t="shared" si="31"/>
        <v>1</v>
      </c>
      <c r="O165" s="177">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9"/>
        <v>0.51249999999999996</v>
      </c>
      <c r="K166" s="183">
        <f>SUMIFS(Table1[Horas efetivas],Table1[Tabela],Plano_V3!E166,Table1[Campo],Plano_V3!F166)</f>
        <v>4.0999999999999996</v>
      </c>
      <c r="L166" s="183">
        <f t="shared" si="30"/>
        <v>0.51249999999999996</v>
      </c>
      <c r="M166" s="177"/>
      <c r="N166" s="177">
        <f t="shared" si="31"/>
        <v>1</v>
      </c>
      <c r="O166" s="177">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9"/>
        <v>0.51249999999999996</v>
      </c>
      <c r="K167" s="183">
        <f>SUMIFS(Table1[Horas efetivas],Table1[Tabela],Plano_V3!E167,Table1[Campo],Plano_V3!F167)</f>
        <v>4.0999999999999996</v>
      </c>
      <c r="L167" s="183">
        <f t="shared" si="30"/>
        <v>0.51249999999999996</v>
      </c>
      <c r="M167" s="177"/>
      <c r="N167" s="177">
        <f t="shared" si="31"/>
        <v>1</v>
      </c>
      <c r="O167" s="177">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9"/>
        <v>0.51249999999999996</v>
      </c>
      <c r="K168" s="183">
        <f>SUMIFS(Table1[Horas efetivas],Table1[Tabela],Plano_V3!E168,Table1[Campo],Plano_V3!F168)</f>
        <v>4.0999999999999996</v>
      </c>
      <c r="L168" s="183">
        <f t="shared" si="30"/>
        <v>0.51249999999999996</v>
      </c>
      <c r="M168" s="177"/>
      <c r="N168" s="177">
        <f t="shared" si="31"/>
        <v>1</v>
      </c>
      <c r="O168" s="177">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9"/>
        <v>0.51249999999999996</v>
      </c>
      <c r="K169" s="183">
        <f>SUMIFS(Table1[Horas efetivas],Table1[Tabela],Plano_V3!E169,Table1[Campo],Plano_V3!F169)</f>
        <v>4.0999999999999996</v>
      </c>
      <c r="L169" s="183">
        <f t="shared" si="30"/>
        <v>0.51249999999999996</v>
      </c>
      <c r="M169" s="177"/>
      <c r="N169" s="177">
        <f t="shared" si="31"/>
        <v>1</v>
      </c>
      <c r="O169" s="177">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9"/>
        <v>0.51249999999999996</v>
      </c>
      <c r="K170" s="183">
        <f>SUMIFS(Table1[Horas efetivas],Table1[Tabela],Plano_V3!E170,Table1[Campo],Plano_V3!F170)</f>
        <v>4.0999999999999996</v>
      </c>
      <c r="L170" s="183">
        <f t="shared" si="30"/>
        <v>0.51249999999999996</v>
      </c>
      <c r="M170" s="177"/>
      <c r="N170" s="177">
        <f t="shared" si="31"/>
        <v>1</v>
      </c>
      <c r="O170" s="177">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9"/>
        <v>0.51249999999999996</v>
      </c>
      <c r="K171" s="183">
        <f>SUMIFS(Table1[Horas efetivas],Table1[Tabela],Plano_V3!E171,Table1[Campo],Plano_V3!F171)</f>
        <v>4.0999999999999996</v>
      </c>
      <c r="L171" s="183">
        <f t="shared" si="30"/>
        <v>0.51249999999999996</v>
      </c>
      <c r="M171" s="177"/>
      <c r="N171" s="177">
        <f t="shared" si="31"/>
        <v>1</v>
      </c>
      <c r="O171" s="177">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9"/>
        <v>0.51249999999999996</v>
      </c>
      <c r="K172" s="183">
        <f>SUMIFS(Table1[Horas efetivas],Table1[Tabela],Plano_V3!E172,Table1[Campo],Plano_V3!F172)</f>
        <v>4.0999999999999996</v>
      </c>
      <c r="L172" s="183">
        <f t="shared" si="30"/>
        <v>0.51249999999999996</v>
      </c>
      <c r="M172" s="177"/>
      <c r="N172" s="177">
        <f t="shared" si="31"/>
        <v>1</v>
      </c>
      <c r="O172" s="177">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9"/>
        <v>0.51249999999999996</v>
      </c>
      <c r="K173" s="183">
        <f>SUMIFS(Table1[Horas efetivas],Table1[Tabela],Plano_V3!E173,Table1[Campo],Plano_V3!F173)</f>
        <v>4.0999999999999996</v>
      </c>
      <c r="L173" s="183">
        <f t="shared" si="30"/>
        <v>0.51249999999999996</v>
      </c>
      <c r="M173" s="177"/>
      <c r="N173" s="177">
        <f t="shared" si="31"/>
        <v>1</v>
      </c>
      <c r="O173" s="177">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9"/>
        <v>0.51249999999999996</v>
      </c>
      <c r="K174" s="183">
        <f>SUMIFS(Table1[Horas efetivas],Table1[Tabela],Plano_V3!E174,Table1[Campo],Plano_V3!F174)</f>
        <v>4.0999999999999996</v>
      </c>
      <c r="L174" s="183">
        <f t="shared" si="30"/>
        <v>0.51249999999999996</v>
      </c>
      <c r="M174" s="177"/>
      <c r="N174" s="177">
        <f t="shared" si="31"/>
        <v>1</v>
      </c>
      <c r="O174" s="177">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3">
        <f>SUMIFS(Table1[Estimação (horas)],Table1[Tabela],Plano_V3!E175,Table1[Campo],Plano_V3!F175)</f>
        <v>4.0999999999999996</v>
      </c>
      <c r="J175" s="183">
        <f t="shared" si="29"/>
        <v>0.51249999999999996</v>
      </c>
      <c r="K175" s="183">
        <f>SUMIFS(Table1[Horas efetivas],Table1[Tabela],Plano_V3!E175,Table1[Campo],Plano_V3!F175)</f>
        <v>4.0999999999999996</v>
      </c>
      <c r="L175" s="183">
        <f t="shared" si="30"/>
        <v>0.51249999999999996</v>
      </c>
      <c r="M175" s="177"/>
      <c r="N175" s="177">
        <f t="shared" si="31"/>
        <v>1</v>
      </c>
      <c r="O175" s="177">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9"/>
        <v>0.51249999999999996</v>
      </c>
      <c r="K176" s="183">
        <f>SUMIFS(Table1[Horas efetivas],Table1[Tabela],Plano_V3!E176,Table1[Campo],Plano_V3!F176)</f>
        <v>4.0999999999999996</v>
      </c>
      <c r="L176" s="183">
        <f t="shared" si="30"/>
        <v>0.51249999999999996</v>
      </c>
      <c r="M176" s="177"/>
      <c r="N176" s="177">
        <f t="shared" si="31"/>
        <v>1</v>
      </c>
      <c r="O176" s="177">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9"/>
        <v>0.51249999999999996</v>
      </c>
      <c r="K177" s="183">
        <f>SUMIFS(Table1[Horas efetivas],Table1[Tabela],Plano_V3!E177,Table1[Campo],Plano_V3!F177)</f>
        <v>4.0999999999999996</v>
      </c>
      <c r="L177" s="183">
        <f t="shared" si="30"/>
        <v>0.51249999999999996</v>
      </c>
      <c r="M177" s="177"/>
      <c r="N177" s="177">
        <f t="shared" si="31"/>
        <v>1</v>
      </c>
      <c r="O177" s="177">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9"/>
        <v>0.51249999999999996</v>
      </c>
      <c r="K178" s="183">
        <f>SUMIFS(Table1[Horas efetivas],Table1[Tabela],Plano_V3!E178,Table1[Campo],Plano_V3!F178)</f>
        <v>4.0999999999999996</v>
      </c>
      <c r="L178" s="183">
        <f t="shared" si="30"/>
        <v>0.51249999999999996</v>
      </c>
      <c r="M178" s="177"/>
      <c r="N178" s="177">
        <f t="shared" si="31"/>
        <v>1</v>
      </c>
      <c r="O178" s="177">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9"/>
        <v>0.51249999999999996</v>
      </c>
      <c r="K179" s="183">
        <f>SUMIFS(Table1[Horas efetivas],Table1[Tabela],Plano_V3!E179,Table1[Campo],Plano_V3!F179)</f>
        <v>4.0999999999999996</v>
      </c>
      <c r="L179" s="183">
        <f t="shared" si="30"/>
        <v>0.51249999999999996</v>
      </c>
      <c r="M179" s="177"/>
      <c r="N179" s="177">
        <f t="shared" si="31"/>
        <v>1</v>
      </c>
      <c r="O179" s="177">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9"/>
        <v>0.51249999999999996</v>
      </c>
      <c r="K180" s="183">
        <f>SUMIFS(Table1[Horas efetivas],Table1[Tabela],Plano_V3!E180,Table1[Campo],Plano_V3!F180)</f>
        <v>4.0999999999999996</v>
      </c>
      <c r="L180" s="183">
        <f t="shared" si="30"/>
        <v>0.51249999999999996</v>
      </c>
      <c r="M180" s="177"/>
      <c r="N180" s="177">
        <f t="shared" si="31"/>
        <v>1</v>
      </c>
      <c r="O180" s="177">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9"/>
        <v>0.51249999999999996</v>
      </c>
      <c r="K181" s="183">
        <f>SUMIFS(Table1[Horas efetivas],Table1[Tabela],Plano_V3!E181,Table1[Campo],Plano_V3!F181)</f>
        <v>4.0999999999999996</v>
      </c>
      <c r="L181" s="183">
        <f t="shared" si="30"/>
        <v>0.51249999999999996</v>
      </c>
      <c r="M181" s="177"/>
      <c r="N181" s="177">
        <f t="shared" si="31"/>
        <v>1</v>
      </c>
      <c r="O181" s="177">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 xml:space="preserve">6. Em implementação </v>
      </c>
      <c r="H182" s="64">
        <f>VLOOKUP(A182,'Aux - pivots1'!$A:$B,2,0)</f>
        <v>7</v>
      </c>
      <c r="I182" s="183">
        <f>SUMIFS(Table1[Estimação (horas)],Table1[Tabela],Plano_V3!E182,Table1[Campo],Plano_V3!F182)</f>
        <v>4.0999999999999996</v>
      </c>
      <c r="J182" s="183">
        <f t="shared" si="29"/>
        <v>0.51249999999999996</v>
      </c>
      <c r="K182" s="183">
        <f>SUMIFS(Table1[Horas efetivas],Table1[Tabela],Plano_V3!E182,Table1[Campo],Plano_V3!F182)</f>
        <v>1.0249999999999999</v>
      </c>
      <c r="L182" s="183">
        <f t="shared" si="30"/>
        <v>0.12812499999999999</v>
      </c>
      <c r="M182" s="177"/>
      <c r="N182" s="177">
        <f t="shared" si="31"/>
        <v>0.25</v>
      </c>
      <c r="O182" s="177">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9"/>
        <v>0.51249999999999996</v>
      </c>
      <c r="K183" s="183">
        <f>SUMIFS(Table1[Horas efetivas],Table1[Tabela],Plano_V3!E183,Table1[Campo],Plano_V3!F183)</f>
        <v>4.0999999999999996</v>
      </c>
      <c r="L183" s="183">
        <f t="shared" si="30"/>
        <v>0.51249999999999996</v>
      </c>
      <c r="M183" s="177"/>
      <c r="N183" s="177">
        <f t="shared" si="31"/>
        <v>1</v>
      </c>
      <c r="O183" s="177">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9"/>
        <v>0.51249999999999996</v>
      </c>
      <c r="K184" s="183">
        <f>SUMIFS(Table1[Horas efetivas],Table1[Tabela],Plano_V3!E184,Table1[Campo],Plano_V3!F184)</f>
        <v>4.0999999999999996</v>
      </c>
      <c r="L184" s="183">
        <f t="shared" si="30"/>
        <v>0.51249999999999996</v>
      </c>
      <c r="M184" s="177"/>
      <c r="N184" s="177">
        <f t="shared" si="31"/>
        <v>1</v>
      </c>
      <c r="O184" s="177">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9"/>
        <v>0.51249999999999996</v>
      </c>
      <c r="K185" s="183">
        <f>SUMIFS(Table1[Horas efetivas],Table1[Tabela],Plano_V3!E185,Table1[Campo],Plano_V3!F185)</f>
        <v>4.0999999999999996</v>
      </c>
      <c r="L185" s="183">
        <f t="shared" si="30"/>
        <v>0.51249999999999996</v>
      </c>
      <c r="M185" s="177"/>
      <c r="N185" s="177">
        <f t="shared" si="31"/>
        <v>1</v>
      </c>
      <c r="O185" s="177">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9"/>
        <v>0.51249999999999996</v>
      </c>
      <c r="K186" s="183">
        <f>SUMIFS(Table1[Horas efetivas],Table1[Tabela],Plano_V3!E186,Table1[Campo],Plano_V3!F186)</f>
        <v>4.0999999999999996</v>
      </c>
      <c r="L186" s="183">
        <f t="shared" si="30"/>
        <v>0.51249999999999996</v>
      </c>
      <c r="M186" s="177"/>
      <c r="N186" s="177">
        <f t="shared" si="31"/>
        <v>1</v>
      </c>
      <c r="O186" s="177">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9"/>
        <v>0.51249999999999996</v>
      </c>
      <c r="K187" s="183">
        <f>SUMIFS(Table1[Horas efetivas],Table1[Tabela],Plano_V3!E187,Table1[Campo],Plano_V3!F187)</f>
        <v>4.0999999999999996</v>
      </c>
      <c r="L187" s="183">
        <f t="shared" si="30"/>
        <v>0.51249999999999996</v>
      </c>
      <c r="M187" s="177"/>
      <c r="N187" s="177">
        <f t="shared" si="31"/>
        <v>1</v>
      </c>
      <c r="O187" s="177">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9"/>
        <v>0.51249999999999996</v>
      </c>
      <c r="K188" s="183">
        <f>SUMIFS(Table1[Horas efetivas],Table1[Tabela],Plano_V3!E188,Table1[Campo],Plano_V3!F188)</f>
        <v>4.0999999999999996</v>
      </c>
      <c r="L188" s="183">
        <f t="shared" si="30"/>
        <v>0.51249999999999996</v>
      </c>
      <c r="M188" s="177"/>
      <c r="N188" s="177">
        <f t="shared" si="31"/>
        <v>1</v>
      </c>
      <c r="O188" s="177">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9"/>
        <v>0.51249999999999996</v>
      </c>
      <c r="K189" s="183">
        <f>SUMIFS(Table1[Horas efetivas],Table1[Tabela],Plano_V3!E189,Table1[Campo],Plano_V3!F189)</f>
        <v>4.0999999999999996</v>
      </c>
      <c r="L189" s="183">
        <f t="shared" si="30"/>
        <v>0.51249999999999996</v>
      </c>
      <c r="M189" s="177"/>
      <c r="N189" s="177">
        <f t="shared" si="31"/>
        <v>1</v>
      </c>
      <c r="O189" s="177">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9"/>
        <v>0.51249999999999996</v>
      </c>
      <c r="K190" s="183">
        <f>SUMIFS(Table1[Horas efetivas],Table1[Tabela],Plano_V3!E190,Table1[Campo],Plano_V3!F190)</f>
        <v>4.0999999999999996</v>
      </c>
      <c r="L190" s="183">
        <f t="shared" si="30"/>
        <v>0.51249999999999996</v>
      </c>
      <c r="M190" s="177"/>
      <c r="N190" s="177">
        <f t="shared" si="31"/>
        <v>1</v>
      </c>
      <c r="O190" s="177">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9"/>
        <v>0.51249999999999996</v>
      </c>
      <c r="K191" s="183">
        <f>SUMIFS(Table1[Horas efetivas],Table1[Tabela],Plano_V3!E191,Table1[Campo],Plano_V3!F191)</f>
        <v>4.0999999999999996</v>
      </c>
      <c r="L191" s="183">
        <f t="shared" si="30"/>
        <v>0.51249999999999996</v>
      </c>
      <c r="M191" s="177"/>
      <c r="N191" s="177">
        <f t="shared" si="31"/>
        <v>1</v>
      </c>
      <c r="O191" s="177">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9"/>
        <v>0.51249999999999996</v>
      </c>
      <c r="K192" s="183">
        <f>SUMIFS(Table1[Horas efetivas],Table1[Tabela],Plano_V3!E192,Table1[Campo],Plano_V3!F192)</f>
        <v>4.0999999999999996</v>
      </c>
      <c r="L192" s="183">
        <f t="shared" si="30"/>
        <v>0.51249999999999996</v>
      </c>
      <c r="M192" s="177"/>
      <c r="N192" s="177">
        <f t="shared" si="31"/>
        <v>1</v>
      </c>
      <c r="O192" s="177">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9"/>
        <v>0.51249999999999996</v>
      </c>
      <c r="K193" s="183">
        <f>SUMIFS(Table1[Horas efetivas],Table1[Tabela],Plano_V3!E193,Table1[Campo],Plano_V3!F193)</f>
        <v>4.0999999999999996</v>
      </c>
      <c r="L193" s="183">
        <f t="shared" si="30"/>
        <v>0.51249999999999996</v>
      </c>
      <c r="M193" s="177"/>
      <c r="N193" s="177">
        <f t="shared" si="31"/>
        <v>1</v>
      </c>
      <c r="O193" s="177">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9"/>
        <v>0.51249999999999996</v>
      </c>
      <c r="K194" s="183">
        <f>SUMIFS(Table1[Horas efetivas],Table1[Tabela],Plano_V3!E194,Table1[Campo],Plano_V3!F194)</f>
        <v>4.0999999999999996</v>
      </c>
      <c r="L194" s="183">
        <f t="shared" si="30"/>
        <v>0.51249999999999996</v>
      </c>
      <c r="M194" s="177"/>
      <c r="N194" s="177">
        <f t="shared" si="31"/>
        <v>1</v>
      </c>
      <c r="O194" s="177">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9"/>
        <v>0.51249999999999996</v>
      </c>
      <c r="K195" s="183">
        <f>SUMIFS(Table1[Horas efetivas],Table1[Tabela],Plano_V3!E195,Table1[Campo],Plano_V3!F195)</f>
        <v>4.0999999999999996</v>
      </c>
      <c r="L195" s="183">
        <f t="shared" si="30"/>
        <v>0.51249999999999996</v>
      </c>
      <c r="M195" s="177"/>
      <c r="N195" s="177">
        <f t="shared" si="31"/>
        <v>1</v>
      </c>
      <c r="O195" s="177">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9"/>
        <v>0.51249999999999996</v>
      </c>
      <c r="K196" s="183">
        <f>SUMIFS(Table1[Horas efetivas],Table1[Tabela],Plano_V3!E196,Table1[Campo],Plano_V3!F196)</f>
        <v>4.0999999999999996</v>
      </c>
      <c r="L196" s="183">
        <f t="shared" si="30"/>
        <v>0.51249999999999996</v>
      </c>
      <c r="M196" s="177"/>
      <c r="N196" s="177">
        <f t="shared" si="31"/>
        <v>1</v>
      </c>
      <c r="O196" s="177">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 xml:space="preserve">6. Em implementação </v>
      </c>
      <c r="H197" s="64">
        <f>VLOOKUP(A197,'Aux - pivots1'!$A:$B,2,0)</f>
        <v>7</v>
      </c>
      <c r="I197" s="183">
        <f>SUMIFS(Table1[Estimação (horas)],Table1[Tabela],Plano_V3!E197,Table1[Campo],Plano_V3!F197)</f>
        <v>4.0999999999999996</v>
      </c>
      <c r="J197" s="183">
        <f t="shared" si="29"/>
        <v>0.51249999999999996</v>
      </c>
      <c r="K197" s="183">
        <f>SUMIFS(Table1[Horas efetivas],Table1[Tabela],Plano_V3!E197,Table1[Campo],Plano_V3!F197)</f>
        <v>1.0249999999999999</v>
      </c>
      <c r="L197" s="183">
        <f t="shared" si="30"/>
        <v>0.12812499999999999</v>
      </c>
      <c r="M197" s="177"/>
      <c r="N197" s="177">
        <f t="shared" si="31"/>
        <v>0.25</v>
      </c>
      <c r="O197" s="177">
        <f t="shared" si="32"/>
        <v>0.25</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9"/>
        <v>0.51249999999999996</v>
      </c>
      <c r="K198" s="183">
        <f>SUMIFS(Table1[Horas efetivas],Table1[Tabela],Plano_V3!E198,Table1[Campo],Plano_V3!F198)</f>
        <v>2.1</v>
      </c>
      <c r="L198" s="183">
        <f t="shared" si="30"/>
        <v>0.26250000000000001</v>
      </c>
      <c r="M198" s="177"/>
      <c r="N198" s="177">
        <f t="shared" si="31"/>
        <v>0.51219512195121952</v>
      </c>
      <c r="O198" s="177">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9"/>
        <v>0.51249999999999996</v>
      </c>
      <c r="K199" s="183">
        <f>SUMIFS(Table1[Horas efetivas],Table1[Tabela],Plano_V3!E199,Table1[Campo],Plano_V3!F199)</f>
        <v>4.0999999999999996</v>
      </c>
      <c r="L199" s="183">
        <f t="shared" si="30"/>
        <v>0.51249999999999996</v>
      </c>
      <c r="M199" s="177"/>
      <c r="N199" s="177">
        <f t="shared" si="31"/>
        <v>1</v>
      </c>
      <c r="O199" s="177">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9"/>
        <v>0.51249999999999996</v>
      </c>
      <c r="K200" s="183">
        <f>SUMIFS(Table1[Horas efetivas],Table1[Tabela],Plano_V3!E200,Table1[Campo],Plano_V3!F200)</f>
        <v>4.0999999999999996</v>
      </c>
      <c r="L200" s="183">
        <f t="shared" si="30"/>
        <v>0.51249999999999996</v>
      </c>
      <c r="M200" s="177"/>
      <c r="N200" s="177">
        <f t="shared" si="31"/>
        <v>1</v>
      </c>
      <c r="O200" s="177">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9"/>
        <v>0.51249999999999996</v>
      </c>
      <c r="K201" s="183">
        <f>SUMIFS(Table1[Horas efetivas],Table1[Tabela],Plano_V3!E201,Table1[Campo],Plano_V3!F201)</f>
        <v>4.0999999999999996</v>
      </c>
      <c r="L201" s="183">
        <f t="shared" si="30"/>
        <v>0.51249999999999996</v>
      </c>
      <c r="M201" s="177"/>
      <c r="N201" s="177">
        <f t="shared" si="31"/>
        <v>1</v>
      </c>
      <c r="O201" s="177">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9"/>
        <v>0.51249999999999996</v>
      </c>
      <c r="K202" s="183">
        <f>SUMIFS(Table1[Horas efetivas],Table1[Tabela],Plano_V3!E202,Table1[Campo],Plano_V3!F202)</f>
        <v>4.0999999999999996</v>
      </c>
      <c r="L202" s="183">
        <f t="shared" si="30"/>
        <v>0.51249999999999996</v>
      </c>
      <c r="M202" s="177"/>
      <c r="N202" s="177">
        <f t="shared" si="31"/>
        <v>1</v>
      </c>
      <c r="O202" s="177">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9"/>
        <v>0.51249999999999996</v>
      </c>
      <c r="K203" s="183">
        <f>SUMIFS(Table1[Horas efetivas],Table1[Tabela],Plano_V3!E203,Table1[Campo],Plano_V3!F203)</f>
        <v>4.0999999999999996</v>
      </c>
      <c r="L203" s="183">
        <f t="shared" si="30"/>
        <v>0.51249999999999996</v>
      </c>
      <c r="M203" s="177"/>
      <c r="N203" s="177">
        <f t="shared" si="31"/>
        <v>1</v>
      </c>
      <c r="O203" s="177">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9"/>
        <v>0.51249999999999996</v>
      </c>
      <c r="K204" s="183">
        <f>SUMIFS(Table1[Horas efetivas],Table1[Tabela],Plano_V3!E204,Table1[Campo],Plano_V3!F204)</f>
        <v>4.0999999999999996</v>
      </c>
      <c r="L204" s="183">
        <f t="shared" si="30"/>
        <v>0.51249999999999996</v>
      </c>
      <c r="M204" s="177"/>
      <c r="N204" s="177">
        <f t="shared" si="31"/>
        <v>1</v>
      </c>
      <c r="O204" s="177">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5">I205/8</f>
        <v>0.51249999999999996</v>
      </c>
      <c r="K205" s="183">
        <f>SUMIFS(Table1[Horas efetivas],Table1[Tabela],Plano_V3!E205,Table1[Campo],Plano_V3!F205)</f>
        <v>4.0999999999999996</v>
      </c>
      <c r="L205" s="183">
        <f t="shared" ref="L205:L237" si="36">K205/8</f>
        <v>0.51249999999999996</v>
      </c>
      <c r="M205" s="177"/>
      <c r="N205" s="177">
        <f t="shared" ref="N205:N242" si="37">L205/J205</f>
        <v>1</v>
      </c>
      <c r="O205" s="177">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2.2 Em especificação</v>
      </c>
      <c r="H206" s="64">
        <f>VLOOKUP(A206,'Aux - pivots1'!$A:$B,2,0)</f>
        <v>3</v>
      </c>
      <c r="I206" s="183">
        <f>SUMIFS(Table1[Estimação (horas)],Table1[Tabela],Plano_V3!E206,Table1[Campo],Plano_V3!F206)</f>
        <v>4.0999999999999996</v>
      </c>
      <c r="J206" s="183">
        <f t="shared" si="35"/>
        <v>0.51249999999999996</v>
      </c>
      <c r="K206" s="183">
        <f>SUMIFS(Table1[Horas efetivas],Table1[Tabela],Plano_V3!E206,Table1[Campo],Plano_V3!F206)</f>
        <v>2.0499999999999998</v>
      </c>
      <c r="L206" s="183">
        <f t="shared" si="36"/>
        <v>0.25624999999999998</v>
      </c>
      <c r="M206" s="177"/>
      <c r="N206" s="177">
        <f t="shared" si="37"/>
        <v>0.5</v>
      </c>
      <c r="O206" s="177">
        <f t="shared" si="32"/>
        <v>0.5</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5"/>
        <v>0.51249999999999996</v>
      </c>
      <c r="K207" s="183">
        <f>SUMIFS(Table1[Horas efetivas],Table1[Tabela],Plano_V3!E207,Table1[Campo],Plano_V3!F207)</f>
        <v>4.0999999999999996</v>
      </c>
      <c r="L207" s="183">
        <f t="shared" si="36"/>
        <v>0.51249999999999996</v>
      </c>
      <c r="M207" s="177"/>
      <c r="N207" s="177">
        <f t="shared" si="37"/>
        <v>1</v>
      </c>
      <c r="O207" s="177">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5"/>
        <v>0.51249999999999996</v>
      </c>
      <c r="K208" s="183">
        <f>SUMIFS(Table1[Horas efetivas],Table1[Tabela],Plano_V3!E208,Table1[Campo],Plano_V3!F208)</f>
        <v>4.0999999999999996</v>
      </c>
      <c r="L208" s="183">
        <f t="shared" si="36"/>
        <v>0.51249999999999996</v>
      </c>
      <c r="M208" s="177"/>
      <c r="N208" s="177">
        <f t="shared" si="37"/>
        <v>1</v>
      </c>
      <c r="O208" s="177">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5"/>
        <v>0.51249999999999996</v>
      </c>
      <c r="K209" s="183">
        <f>SUMIFS(Table1[Horas efetivas],Table1[Tabela],Plano_V3!E209,Table1[Campo],Plano_V3!F209)</f>
        <v>4.0999999999999996</v>
      </c>
      <c r="L209" s="183">
        <f t="shared" si="36"/>
        <v>0.51249999999999996</v>
      </c>
      <c r="M209" s="177"/>
      <c r="N209" s="177">
        <f t="shared" si="37"/>
        <v>1</v>
      </c>
      <c r="O209" s="177">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5"/>
        <v>0.51249999999999996</v>
      </c>
      <c r="K210" s="183">
        <f>SUMIFS(Table1[Horas efetivas],Table1[Tabela],Plano_V3!E210,Table1[Campo],Plano_V3!F210)</f>
        <v>4.0999999999999996</v>
      </c>
      <c r="L210" s="183">
        <f t="shared" si="36"/>
        <v>0.51249999999999996</v>
      </c>
      <c r="M210" s="177"/>
      <c r="N210" s="177">
        <f t="shared" si="37"/>
        <v>1</v>
      </c>
      <c r="O210" s="177">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5"/>
        <v>0.51249999999999996</v>
      </c>
      <c r="K211" s="183">
        <f>SUMIFS(Table1[Horas efetivas],Table1[Tabela],Plano_V3!E211,Table1[Campo],Plano_V3!F211)</f>
        <v>4.0999999999999996</v>
      </c>
      <c r="L211" s="183">
        <f t="shared" si="36"/>
        <v>0.51249999999999996</v>
      </c>
      <c r="M211" s="177"/>
      <c r="N211" s="177">
        <f t="shared" si="37"/>
        <v>1</v>
      </c>
      <c r="O211" s="177">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5"/>
        <v>0.51249999999999996</v>
      </c>
      <c r="K212" s="183">
        <f>SUMIFS(Table1[Horas efetivas],Table1[Tabela],Plano_V3!E212,Table1[Campo],Plano_V3!F212)</f>
        <v>4.0999999999999996</v>
      </c>
      <c r="L212" s="183">
        <f t="shared" si="36"/>
        <v>0.51249999999999996</v>
      </c>
      <c r="M212" s="177"/>
      <c r="N212" s="177">
        <f t="shared" si="37"/>
        <v>1</v>
      </c>
      <c r="O212" s="177">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5"/>
        <v>0.51249999999999996</v>
      </c>
      <c r="K213" s="183">
        <f>SUMIFS(Table1[Horas efetivas],Table1[Tabela],Plano_V3!E213,Table1[Campo],Plano_V3!F213)</f>
        <v>4.0999999999999996</v>
      </c>
      <c r="L213" s="183">
        <f t="shared" si="36"/>
        <v>0.51249999999999996</v>
      </c>
      <c r="M213" s="177"/>
      <c r="N213" s="177">
        <f t="shared" si="37"/>
        <v>1</v>
      </c>
      <c r="O213" s="177">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5"/>
        <v>0.51249999999999996</v>
      </c>
      <c r="K214" s="183">
        <f>SUMIFS(Table1[Horas efetivas],Table1[Tabela],Plano_V3!E214,Table1[Campo],Plano_V3!F214)</f>
        <v>4.0999999999999996</v>
      </c>
      <c r="L214" s="183">
        <f t="shared" si="36"/>
        <v>0.51249999999999996</v>
      </c>
      <c r="M214" s="177"/>
      <c r="N214" s="177">
        <f t="shared" si="37"/>
        <v>1</v>
      </c>
      <c r="O214" s="177">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5"/>
        <v>0.51249999999999996</v>
      </c>
      <c r="K215" s="183">
        <f>SUMIFS(Table1[Horas efetivas],Table1[Tabela],Plano_V3!E215,Table1[Campo],Plano_V3!F215)</f>
        <v>4.0999999999999996</v>
      </c>
      <c r="L215" s="183">
        <f t="shared" si="36"/>
        <v>0.51249999999999996</v>
      </c>
      <c r="M215" s="177"/>
      <c r="N215" s="177">
        <f t="shared" si="37"/>
        <v>1</v>
      </c>
      <c r="O215" s="177">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5"/>
        <v>0.51249999999999996</v>
      </c>
      <c r="K216" s="183">
        <f>SUMIFS(Table1[Horas efetivas],Table1[Tabela],Plano_V3!E216,Table1[Campo],Plano_V3!F216)</f>
        <v>4.0999999999999996</v>
      </c>
      <c r="L216" s="183">
        <f t="shared" si="36"/>
        <v>0.51249999999999996</v>
      </c>
      <c r="M216" s="177"/>
      <c r="N216" s="177">
        <f t="shared" si="37"/>
        <v>1</v>
      </c>
      <c r="O216" s="177">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5"/>
        <v>0.51249999999999996</v>
      </c>
      <c r="K217" s="183">
        <f>SUMIFS(Table1[Horas efetivas],Table1[Tabela],Plano_V3!E217,Table1[Campo],Plano_V3!F217)</f>
        <v>4.0999999999999996</v>
      </c>
      <c r="L217" s="183">
        <f t="shared" si="36"/>
        <v>0.51249999999999996</v>
      </c>
      <c r="M217" s="177"/>
      <c r="N217" s="177">
        <f t="shared" si="37"/>
        <v>1</v>
      </c>
      <c r="O217" s="177">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5"/>
        <v>0.51249999999999996</v>
      </c>
      <c r="K218" s="183">
        <f>SUMIFS(Table1[Horas efetivas],Table1[Tabela],Plano_V3!E218,Table1[Campo],Plano_V3!F218)</f>
        <v>4.0999999999999996</v>
      </c>
      <c r="L218" s="183">
        <f t="shared" si="36"/>
        <v>0.51249999999999996</v>
      </c>
      <c r="M218" s="177"/>
      <c r="N218" s="177">
        <f t="shared" si="37"/>
        <v>1</v>
      </c>
      <c r="O218" s="177">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5"/>
        <v>0.51249999999999996</v>
      </c>
      <c r="K219" s="183">
        <f>SUMIFS(Table1[Horas efetivas],Table1[Tabela],Plano_V3!E219,Table1[Campo],Plano_V3!F219)</f>
        <v>4.0999999999999996</v>
      </c>
      <c r="L219" s="183">
        <f t="shared" si="36"/>
        <v>0.51249999999999996</v>
      </c>
      <c r="M219" s="177"/>
      <c r="N219" s="177">
        <f t="shared" si="37"/>
        <v>1</v>
      </c>
      <c r="O219" s="177">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5"/>
        <v>0.51249999999999996</v>
      </c>
      <c r="K220" s="183">
        <f>SUMIFS(Table1[Horas efetivas],Table1[Tabela],Plano_V3!E220,Table1[Campo],Plano_V3!F220)</f>
        <v>4.0999999999999996</v>
      </c>
      <c r="L220" s="183">
        <f t="shared" si="36"/>
        <v>0.51249999999999996</v>
      </c>
      <c r="M220" s="177"/>
      <c r="N220" s="177">
        <f t="shared" si="37"/>
        <v>1</v>
      </c>
      <c r="O220" s="177">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5"/>
        <v>0.51249999999999996</v>
      </c>
      <c r="K221" s="183">
        <f>SUMIFS(Table1[Horas efetivas],Table1[Tabela],Plano_V3!E221,Table1[Campo],Plano_V3!F221)</f>
        <v>4.0999999999999996</v>
      </c>
      <c r="L221" s="183">
        <f t="shared" si="36"/>
        <v>0.51249999999999996</v>
      </c>
      <c r="M221" s="177"/>
      <c r="N221" s="177">
        <f t="shared" si="37"/>
        <v>1</v>
      </c>
      <c r="O221" s="177">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5"/>
        <v>0.51249999999999996</v>
      </c>
      <c r="K222" s="183">
        <f>SUMIFS(Table1[Horas efetivas],Table1[Tabela],Plano_V3!E222,Table1[Campo],Plano_V3!F222)</f>
        <v>4.0999999999999996</v>
      </c>
      <c r="L222" s="183">
        <f t="shared" si="36"/>
        <v>0.51249999999999996</v>
      </c>
      <c r="M222" s="177"/>
      <c r="N222" s="177">
        <f t="shared" si="37"/>
        <v>1</v>
      </c>
      <c r="O222" s="177">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5"/>
        <v>0.51249999999999996</v>
      </c>
      <c r="K223" s="183">
        <f>SUMIFS(Table1[Horas efetivas],Table1[Tabela],Plano_V3!E223,Table1[Campo],Plano_V3!F223)</f>
        <v>4.0999999999999996</v>
      </c>
      <c r="L223" s="183">
        <f t="shared" si="36"/>
        <v>0.51249999999999996</v>
      </c>
      <c r="M223" s="177"/>
      <c r="N223" s="177">
        <f t="shared" si="37"/>
        <v>1</v>
      </c>
      <c r="O223" s="177">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5"/>
        <v>0.51249999999999996</v>
      </c>
      <c r="K224" s="183">
        <f>SUMIFS(Table1[Horas efetivas],Table1[Tabela],Plano_V3!E224,Table1[Campo],Plano_V3!F224)</f>
        <v>4.0999999999999996</v>
      </c>
      <c r="L224" s="183">
        <f t="shared" si="36"/>
        <v>0.51249999999999996</v>
      </c>
      <c r="M224" s="177"/>
      <c r="N224" s="177">
        <f t="shared" si="37"/>
        <v>1</v>
      </c>
      <c r="O224" s="177">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5"/>
        <v>0.51249999999999996</v>
      </c>
      <c r="K225" s="183">
        <f>SUMIFS(Table1[Horas efetivas],Table1[Tabela],Plano_V3!E225,Table1[Campo],Plano_V3!F225)</f>
        <v>4.0999999999999996</v>
      </c>
      <c r="L225" s="183">
        <f t="shared" si="36"/>
        <v>0.51249999999999996</v>
      </c>
      <c r="M225" s="177"/>
      <c r="N225" s="177">
        <f t="shared" si="37"/>
        <v>1</v>
      </c>
      <c r="O225" s="177">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5"/>
        <v>0.51249999999999996</v>
      </c>
      <c r="K226" s="183">
        <f>SUMIFS(Table1[Horas efetivas],Table1[Tabela],Plano_V3!E226,Table1[Campo],Plano_V3!F226)</f>
        <v>4.0999999999999996</v>
      </c>
      <c r="L226" s="183">
        <f t="shared" si="36"/>
        <v>0.51249999999999996</v>
      </c>
      <c r="M226" s="177"/>
      <c r="N226" s="177">
        <f t="shared" si="37"/>
        <v>1</v>
      </c>
      <c r="O226" s="177">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5"/>
        <v>0.51249999999999996</v>
      </c>
      <c r="K227" s="183">
        <f>SUMIFS(Table1[Horas efetivas],Table1[Tabela],Plano_V3!E227,Table1[Campo],Plano_V3!F227)</f>
        <v>4.0999999999999996</v>
      </c>
      <c r="L227" s="183">
        <f t="shared" si="36"/>
        <v>0.51249999999999996</v>
      </c>
      <c r="M227" s="177"/>
      <c r="N227" s="177">
        <f t="shared" si="37"/>
        <v>1</v>
      </c>
      <c r="O227" s="177">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5"/>
        <v>0.51249999999999996</v>
      </c>
      <c r="K228" s="183">
        <f>SUMIFS(Table1[Horas efetivas],Table1[Tabela],Plano_V3!E228,Table1[Campo],Plano_V3!F228)</f>
        <v>4.0999999999999996</v>
      </c>
      <c r="L228" s="183">
        <f t="shared" si="36"/>
        <v>0.51249999999999996</v>
      </c>
      <c r="M228" s="177"/>
      <c r="N228" s="177">
        <f t="shared" si="37"/>
        <v>1</v>
      </c>
      <c r="O228" s="177">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5"/>
        <v>0.51249999999999996</v>
      </c>
      <c r="K229" s="183">
        <f>SUMIFS(Table1[Horas efetivas],Table1[Tabela],Plano_V3!E229,Table1[Campo],Plano_V3!F229)</f>
        <v>4.0999999999999996</v>
      </c>
      <c r="L229" s="183">
        <f t="shared" si="36"/>
        <v>0.51249999999999996</v>
      </c>
      <c r="M229" s="177"/>
      <c r="N229" s="177">
        <f t="shared" si="37"/>
        <v>1</v>
      </c>
      <c r="O229" s="177">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8">I230/8</f>
        <v>0.51249999999999996</v>
      </c>
      <c r="K230" s="183">
        <f>SUMIFS(Table1[Horas efetivas],Table1[Tabela],Plano_V3!E230,Table1[Campo],Plano_V3!F230)</f>
        <v>4.0999999999999996</v>
      </c>
      <c r="L230" s="183">
        <f t="shared" ref="L230:L236" si="39">K230/8</f>
        <v>0.51249999999999996</v>
      </c>
      <c r="M230" s="177"/>
      <c r="N230" s="177">
        <f t="shared" ref="N230:N236" si="40">L230/J230</f>
        <v>1</v>
      </c>
      <c r="O230" s="177">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8"/>
        <v>0.51249999999999996</v>
      </c>
      <c r="K231" s="183">
        <f>SUMIFS(Table1[Horas efetivas],Table1[Tabela],Plano_V3!E231,Table1[Campo],Plano_V3!F231)</f>
        <v>4.0999999999999996</v>
      </c>
      <c r="L231" s="183">
        <f t="shared" si="39"/>
        <v>0.51249999999999996</v>
      </c>
      <c r="M231" s="177"/>
      <c r="N231" s="177">
        <f t="shared" si="40"/>
        <v>1</v>
      </c>
      <c r="O231" s="177">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8"/>
        <v>0.51249999999999996</v>
      </c>
      <c r="K232" s="183">
        <f>SUMIFS(Table1[Horas efetivas],Table1[Tabela],Plano_V3!E232,Table1[Campo],Plano_V3!F232)</f>
        <v>4.0999999999999996</v>
      </c>
      <c r="L232" s="183">
        <f t="shared" si="39"/>
        <v>0.51249999999999996</v>
      </c>
      <c r="M232" s="177"/>
      <c r="N232" s="177">
        <f t="shared" si="40"/>
        <v>1</v>
      </c>
      <c r="O232" s="177">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8"/>
        <v>0.51249999999999996</v>
      </c>
      <c r="K233" s="183">
        <f>SUMIFS(Table1[Horas efetivas],Table1[Tabela],Plano_V3!E233,Table1[Campo],Plano_V3!F233)</f>
        <v>4.0999999999999996</v>
      </c>
      <c r="L233" s="183">
        <f t="shared" si="39"/>
        <v>0.51249999999999996</v>
      </c>
      <c r="M233" s="177"/>
      <c r="N233" s="177">
        <f t="shared" si="40"/>
        <v>1</v>
      </c>
      <c r="O233" s="177">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8"/>
        <v>0.51249999999999996</v>
      </c>
      <c r="K234" s="183">
        <f>SUMIFS(Table1[Horas efetivas],Table1[Tabela],Plano_V3!E234,Table1[Campo],Plano_V3!F234)</f>
        <v>4.0999999999999996</v>
      </c>
      <c r="L234" s="183">
        <f t="shared" si="39"/>
        <v>0.51249999999999996</v>
      </c>
      <c r="M234" s="177"/>
      <c r="N234" s="177">
        <f t="shared" si="40"/>
        <v>1</v>
      </c>
      <c r="O234" s="177">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8"/>
        <v>0.51249999999999996</v>
      </c>
      <c r="K235" s="183">
        <f>SUMIFS(Table1[Horas efetivas],Table1[Tabela],Plano_V3!E235,Table1[Campo],Plano_V3!F235)</f>
        <v>4.0999999999999996</v>
      </c>
      <c r="L235" s="183">
        <f t="shared" si="39"/>
        <v>0.51249999999999996</v>
      </c>
      <c r="M235" s="177"/>
      <c r="N235" s="177">
        <f t="shared" si="40"/>
        <v>1</v>
      </c>
      <c r="O235" s="177">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8"/>
        <v>0.51249999999999996</v>
      </c>
      <c r="K236" s="183">
        <f>SUMIFS(Table1[Horas efetivas],Table1[Tabela],Plano_V3!E236,Table1[Campo],Plano_V3!F236)</f>
        <v>4.0999999999999996</v>
      </c>
      <c r="L236" s="183">
        <f t="shared" si="39"/>
        <v>0.51249999999999996</v>
      </c>
      <c r="M236" s="177"/>
      <c r="N236" s="177">
        <f t="shared" si="40"/>
        <v>1</v>
      </c>
      <c r="O236" s="177">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5"/>
        <v>0.51249999999999996</v>
      </c>
      <c r="K237" s="183">
        <f>SUMIFS(Table1[Horas efetivas],Table1[Tabela],Plano_V3!E237,Table1[Campo],Plano_V3!F237)</f>
        <v>4.0999999999999996</v>
      </c>
      <c r="L237" s="183">
        <f t="shared" si="36"/>
        <v>0.51249999999999996</v>
      </c>
      <c r="M237" s="177"/>
      <c r="N237" s="177">
        <f t="shared" si="37"/>
        <v>1</v>
      </c>
      <c r="O237" s="177">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 xml:space="preserve">6. Em implementação </v>
      </c>
      <c r="H239" s="64">
        <f>VLOOKUP(A239,'Aux - pivots1'!$A:$B,2,0)</f>
        <v>7</v>
      </c>
      <c r="I239" s="183">
        <f>SUMIFS(Table1[Estimação (horas)],Table1[Tabela],Plano_V3!E239,Table1[Campo],Plano_V3!F239)</f>
        <v>4.0999999999999996</v>
      </c>
      <c r="J239" s="183">
        <f>I239/8</f>
        <v>0.51249999999999996</v>
      </c>
      <c r="K239" s="183">
        <f>SUMIFS(Table1[Horas efetivas],Table1[Tabela],Plano_V3!E239,Table1[Campo],Plano_V3!F239)</f>
        <v>1.0249999999999999</v>
      </c>
      <c r="L239" s="183">
        <f>K239/8</f>
        <v>0.12812499999999999</v>
      </c>
      <c r="M239" s="177"/>
      <c r="N239" s="177">
        <f>L239/J239</f>
        <v>0.25</v>
      </c>
      <c r="O239" s="177">
        <f>N239-M239</f>
        <v>0.25</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2431</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2432</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3">
        <f>SUM(I75:I237)*$D$7</f>
        <v>93.100000000000293</v>
      </c>
      <c r="J242" s="183">
        <f>I242/8</f>
        <v>11.637500000000037</v>
      </c>
      <c r="K242" s="183">
        <f>SUM(K75:K237)*$D$7</f>
        <v>91.300000000000281</v>
      </c>
      <c r="L242" s="183">
        <f>K242/8</f>
        <v>11.412500000000035</v>
      </c>
      <c r="M242" s="177"/>
      <c r="N242" s="177">
        <f t="shared" si="37"/>
        <v>0.98066595059076256</v>
      </c>
      <c r="O242" s="177">
        <f t="shared" si="32"/>
        <v>0.98066595059076256</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32"/>
        <v>#N/A</v>
      </c>
      <c r="P243" s="188" t="s">
        <v>1845</v>
      </c>
      <c r="Q243" s="90" t="e">
        <f t="shared" si="33"/>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43">I244/8</f>
        <v>1.0625</v>
      </c>
      <c r="K244" s="183">
        <f>SUMIFS(Table1[Horas efetivas],Table1[Tabela],Plano_V3!E244,Table1[Campo],Plano_V3!F244)</f>
        <v>2.125</v>
      </c>
      <c r="L244" s="183">
        <f>K244/8</f>
        <v>0.265625</v>
      </c>
      <c r="M244" s="177"/>
      <c r="N244" s="177">
        <f>L244/J244</f>
        <v>0.25</v>
      </c>
      <c r="O244" s="177">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43"/>
        <v>#N/A</v>
      </c>
      <c r="K245" s="183" t="e">
        <f>SUMIFS(Table1[Horas efetivas],Table1[Tabela],Plano_V3!E245,Table1[Campo],Plano_V3!F245)</f>
        <v>#N/A</v>
      </c>
      <c r="L245" s="183" t="e">
        <f t="shared" ref="L245:L331" si="44">K245/8</f>
        <v>#N/A</v>
      </c>
      <c r="M245" s="177"/>
      <c r="N245" s="177" t="e">
        <f t="shared" ref="N245:N331" si="45">L245/J245</f>
        <v>#N/A</v>
      </c>
      <c r="O245" s="177"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3" t="e">
        <f>SUMIFS(Table1[Estimação (horas)],Table1[Tabela],Plano_V3!E246,Table1[Campo],Plano_V3!F246)</f>
        <v>#N/A</v>
      </c>
      <c r="J246" s="183" t="e">
        <f t="shared" si="43"/>
        <v>#N/A</v>
      </c>
      <c r="K246" s="183" t="e">
        <f>SUMIFS(Table1[Horas efetivas],Table1[Tabela],Plano_V3!E246,Table1[Campo],Plano_V3!F246)</f>
        <v>#N/A</v>
      </c>
      <c r="L246" s="183" t="e">
        <f t="shared" si="44"/>
        <v>#N/A</v>
      </c>
      <c r="M246" s="177"/>
      <c r="N246" s="177" t="e">
        <f t="shared" si="45"/>
        <v>#N/A</v>
      </c>
      <c r="O246" s="177"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2"/>
        <v>modesg_param_sfics_taxon_europeiagrupo_regra</v>
      </c>
      <c r="B247" s="67" t="s">
        <v>26</v>
      </c>
      <c r="C247" s="68" t="s">
        <v>181</v>
      </c>
      <c r="D247" s="64" t="s">
        <v>40</v>
      </c>
      <c r="E247" s="66" t="s">
        <v>2097</v>
      </c>
      <c r="F247" s="64" t="s">
        <v>2417</v>
      </c>
      <c r="G247" s="64" t="s">
        <v>2320</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hidden="1"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43"/>
        <v>7.4999999999999997E-2</v>
      </c>
      <c r="K248" s="183">
        <f>SUMIFS(Table1[Horas efetivas],Table1[Tabela],Plano_V3!E248,Table1[Campo],Plano_V3!F248)</f>
        <v>0.15</v>
      </c>
      <c r="L248" s="183">
        <f t="shared" si="44"/>
        <v>1.8749999999999999E-2</v>
      </c>
      <c r="M248" s="177"/>
      <c r="N248" s="177">
        <f t="shared" si="45"/>
        <v>0.25</v>
      </c>
      <c r="O248" s="177">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43"/>
        <v>7.4999999999999997E-2</v>
      </c>
      <c r="K249" s="183">
        <f>SUMIFS(Table1[Horas efetivas],Table1[Tabela],Plano_V3!E249,Table1[Campo],Plano_V3!F249)</f>
        <v>0.15</v>
      </c>
      <c r="L249" s="183">
        <f t="shared" si="44"/>
        <v>1.8749999999999999E-2</v>
      </c>
      <c r="M249" s="177"/>
      <c r="N249" s="177">
        <f t="shared" si="45"/>
        <v>0.25</v>
      </c>
      <c r="O249" s="177">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43"/>
        <v>#N/A</v>
      </c>
      <c r="K250" s="183" t="e">
        <f>SUMIFS(Table1[Horas efetivas],Table1[Tabela],Plano_V3!E250,Table1[Campo],Plano_V3!F250)</f>
        <v>#N/A</v>
      </c>
      <c r="L250" s="183" t="e">
        <f t="shared" si="44"/>
        <v>#N/A</v>
      </c>
      <c r="M250" s="177"/>
      <c r="N250" s="177" t="e">
        <f t="shared" si="45"/>
        <v>#N/A</v>
      </c>
      <c r="O250" s="177"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43"/>
        <v>#N/A</v>
      </c>
      <c r="K251" s="183" t="e">
        <f>SUMIFS(Table1[Horas efetivas],Table1[Tabela],Plano_V3!E251,Table1[Campo],Plano_V3!F251)</f>
        <v>#N/A</v>
      </c>
      <c r="L251" s="183" t="e">
        <f t="shared" si="44"/>
        <v>#N/A</v>
      </c>
      <c r="M251" s="177"/>
      <c r="N251" s="177" t="e">
        <f t="shared" si="45"/>
        <v>#N/A</v>
      </c>
      <c r="O251" s="177"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43"/>
        <v>#N/A</v>
      </c>
      <c r="K252" s="183" t="e">
        <f>SUMIFS(Table1[Horas efetivas],Table1[Tabela],Plano_V3!E252,Table1[Campo],Plano_V3!F252)</f>
        <v>#N/A</v>
      </c>
      <c r="L252" s="183" t="e">
        <f t="shared" si="44"/>
        <v>#N/A</v>
      </c>
      <c r="M252" s="177"/>
      <c r="N252" s="177" t="e">
        <f t="shared" si="45"/>
        <v>#N/A</v>
      </c>
      <c r="O252" s="177"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43"/>
        <v>#N/A</v>
      </c>
      <c r="K253" s="183" t="e">
        <f>SUMIFS(Table1[Horas efetivas],Table1[Tabela],Plano_V3!E253,Table1[Campo],Plano_V3!F253)</f>
        <v>#N/A</v>
      </c>
      <c r="L253" s="183" t="e">
        <f t="shared" si="44"/>
        <v>#N/A</v>
      </c>
      <c r="M253" s="177"/>
      <c r="N253" s="177" t="e">
        <f t="shared" si="45"/>
        <v>#N/A</v>
      </c>
      <c r="O253" s="177"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43"/>
        <v>7.4999999999999997E-2</v>
      </c>
      <c r="K254" s="183">
        <f>SUMIFS(Table1[Horas efetivas],Table1[Tabela],Plano_V3!E254,Table1[Campo],Plano_V3!F254)</f>
        <v>0.15</v>
      </c>
      <c r="L254" s="183">
        <f t="shared" si="44"/>
        <v>1.8749999999999999E-2</v>
      </c>
      <c r="M254" s="177"/>
      <c r="N254" s="177">
        <f t="shared" si="45"/>
        <v>0.25</v>
      </c>
      <c r="O254" s="177">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43"/>
        <v>7.4999999999999997E-2</v>
      </c>
      <c r="K255" s="183">
        <f>SUMIFS(Table1[Horas efetivas],Table1[Tabela],Plano_V3!E255,Table1[Campo],Plano_V3!F255)</f>
        <v>0.15</v>
      </c>
      <c r="L255" s="183">
        <f t="shared" si="44"/>
        <v>1.8749999999999999E-2</v>
      </c>
      <c r="M255" s="177"/>
      <c r="N255" s="177">
        <f t="shared" si="45"/>
        <v>0.25</v>
      </c>
      <c r="O255" s="177">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43"/>
        <v>6.25E-2</v>
      </c>
      <c r="K256" s="183">
        <f>SUMIFS(Table1[Horas efetivas],Table1[Tabela],Plano_V3!E256,Table1[Campo],Plano_V3!F256)</f>
        <v>0.125</v>
      </c>
      <c r="L256" s="183">
        <f t="shared" si="44"/>
        <v>1.5625E-2</v>
      </c>
      <c r="M256" s="177"/>
      <c r="N256" s="177">
        <f t="shared" si="45"/>
        <v>0.25</v>
      </c>
      <c r="O256" s="177">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43"/>
        <v>7.4999999999999997E-2</v>
      </c>
      <c r="K261" s="183">
        <f>SUMIFS(Table1[Horas efetivas],Table1[Tabela],Plano_V3!E261,Table1[Campo],Plano_V3!F261)</f>
        <v>0.15</v>
      </c>
      <c r="L261" s="183">
        <f t="shared" si="44"/>
        <v>1.8749999999999999E-2</v>
      </c>
      <c r="M261" s="177"/>
      <c r="N261" s="177">
        <f t="shared" si="45"/>
        <v>0.25</v>
      </c>
      <c r="O261" s="177">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2"/>
        <v>modesg_param_sfics_taxon_europeiaambito</v>
      </c>
      <c r="B262" s="67" t="s">
        <v>26</v>
      </c>
      <c r="C262" s="68" t="s">
        <v>181</v>
      </c>
      <c r="D262" s="64" t="s">
        <v>40</v>
      </c>
      <c r="E262" s="66" t="s">
        <v>2097</v>
      </c>
      <c r="F262" s="64" t="s">
        <v>390</v>
      </c>
      <c r="G262" s="64" t="str">
        <f>INDEX(Auxiliar!$B$16:$B$24,MATCH(Plano_V3!H262,Auxiliar!$C$16:$C$24,0),1)</f>
        <v>0. Cancelado</v>
      </c>
      <c r="H262" s="64">
        <f>VLOOKUP(A262,'Aux - pivots1'!$A:$B,2,0)</f>
        <v>0</v>
      </c>
      <c r="I262" s="183" t="e">
        <f>SUMIFS(Table1[Estimação (horas)],Table1[Tabela],Plano_V3!E262,Table1[Campo],Plano_V3!F262)</f>
        <v>#N/A</v>
      </c>
      <c r="J262" s="183" t="e">
        <f t="shared" si="43"/>
        <v>#N/A</v>
      </c>
      <c r="K262" s="183" t="e">
        <f>SUMIFS(Table1[Horas efetivas],Table1[Tabela],Plano_V3!E262,Table1[Campo],Plano_V3!F262)</f>
        <v>#N/A</v>
      </c>
      <c r="L262" s="183" t="e">
        <f t="shared" si="44"/>
        <v>#N/A</v>
      </c>
      <c r="M262" s="177"/>
      <c r="N262" s="177" t="e">
        <f t="shared" si="45"/>
        <v>#N/A</v>
      </c>
      <c r="O262" s="177"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43"/>
        <v>#N/A</v>
      </c>
      <c r="K263" s="183" t="e">
        <f>SUMIFS(Table1[Horas efetivas],Table1[Tabela],Plano_V3!E263,Table1[Campo],Plano_V3!F263)</f>
        <v>#N/A</v>
      </c>
      <c r="L263" s="183" t="e">
        <f t="shared" si="44"/>
        <v>#N/A</v>
      </c>
      <c r="M263" s="177"/>
      <c r="N263" s="177" t="e">
        <f t="shared" si="45"/>
        <v>#N/A</v>
      </c>
      <c r="O263" s="177"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43"/>
        <v>#N/A</v>
      </c>
      <c r="K264" s="183" t="e">
        <f>SUMIFS(Table1[Horas efetivas],Table1[Tabela],Plano_V3!E264,Table1[Campo],Plano_V3!F264)</f>
        <v>#N/A</v>
      </c>
      <c r="L264" s="183" t="e">
        <f t="shared" si="44"/>
        <v>#N/A</v>
      </c>
      <c r="M264" s="177"/>
      <c r="N264" s="177" t="e">
        <f t="shared" si="45"/>
        <v>#N/A</v>
      </c>
      <c r="O264" s="177"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43"/>
        <v>#N/A</v>
      </c>
      <c r="K265" s="183" t="e">
        <f>SUMIFS(Table1[Horas efetivas],Table1[Tabela],Plano_V3!E265,Table1[Campo],Plano_V3!F265)</f>
        <v>#N/A</v>
      </c>
      <c r="L265" s="183" t="e">
        <f t="shared" si="44"/>
        <v>#N/A</v>
      </c>
      <c r="M265" s="177"/>
      <c r="N265" s="177" t="e">
        <f t="shared" si="45"/>
        <v>#N/A</v>
      </c>
      <c r="O265" s="177"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43"/>
        <v>#N/A</v>
      </c>
      <c r="K266" s="183" t="e">
        <f>SUMIFS(Table1[Horas efetivas],Table1[Tabela],Plano_V3!E266,Table1[Campo],Plano_V3!F266)</f>
        <v>#N/A</v>
      </c>
      <c r="L266" s="183" t="e">
        <f t="shared" si="44"/>
        <v>#N/A</v>
      </c>
      <c r="M266" s="177"/>
      <c r="N266" s="177" t="e">
        <f t="shared" si="45"/>
        <v>#N/A</v>
      </c>
      <c r="O266" s="177"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43"/>
        <v>#N/A</v>
      </c>
      <c r="K267" s="183" t="e">
        <f>SUMIFS(Table1[Horas efetivas],Table1[Tabela],Plano_V3!E267,Table1[Campo],Plano_V3!F267)</f>
        <v>#N/A</v>
      </c>
      <c r="L267" s="183" t="e">
        <f t="shared" si="44"/>
        <v>#N/A</v>
      </c>
      <c r="M267" s="177"/>
      <c r="N267" s="177" t="e">
        <f t="shared" si="45"/>
        <v>#N/A</v>
      </c>
      <c r="O267" s="177"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43"/>
        <v>7.4999999999999997E-2</v>
      </c>
      <c r="K268" s="183">
        <f>SUMIFS(Table1[Horas efetivas],Table1[Tabela],Plano_V3!E268,Table1[Campo],Plano_V3!F268)</f>
        <v>0.15</v>
      </c>
      <c r="L268" s="183">
        <f t="shared" si="44"/>
        <v>1.8749999999999999E-2</v>
      </c>
      <c r="M268" s="177"/>
      <c r="N268" s="177">
        <f t="shared" si="45"/>
        <v>0.25</v>
      </c>
      <c r="O268" s="177">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43"/>
        <v>7.4999999999999997E-2</v>
      </c>
      <c r="K269" s="183">
        <f>SUMIFS(Table1[Horas efetivas],Table1[Tabela],Plano_V3!E269,Table1[Campo],Plano_V3!F269)</f>
        <v>0.15</v>
      </c>
      <c r="L269" s="183">
        <f t="shared" si="44"/>
        <v>1.8749999999999999E-2</v>
      </c>
      <c r="M269" s="177"/>
      <c r="N269" s="177">
        <f t="shared" si="45"/>
        <v>0.25</v>
      </c>
      <c r="O269" s="177">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43"/>
        <v>#N/A</v>
      </c>
      <c r="K270" s="183" t="e">
        <f>SUMIFS(Table1[Horas efetivas],Table1[Tabela],Plano_V3!E270,Table1[Campo],Plano_V3!F270)</f>
        <v>#N/A</v>
      </c>
      <c r="L270" s="183" t="e">
        <f t="shared" si="44"/>
        <v>#N/A</v>
      </c>
      <c r="M270" s="177"/>
      <c r="N270" s="177" t="e">
        <f t="shared" si="45"/>
        <v>#N/A</v>
      </c>
      <c r="O270" s="177"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43"/>
        <v>7.4999999999999997E-2</v>
      </c>
      <c r="K271" s="183">
        <f>SUMIFS(Table1[Horas efetivas],Table1[Tabela],Plano_V3!E271,Table1[Campo],Plano_V3!F271)</f>
        <v>0.15</v>
      </c>
      <c r="L271" s="183">
        <f t="shared" si="44"/>
        <v>1.8749999999999999E-2</v>
      </c>
      <c r="M271" s="177"/>
      <c r="N271" s="177">
        <f t="shared" si="45"/>
        <v>0.25</v>
      </c>
      <c r="O271" s="177">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43"/>
        <v>7.4999999999999997E-2</v>
      </c>
      <c r="K272" s="183">
        <f>SUMIFS(Table1[Horas efetivas],Table1[Tabela],Plano_V3!E272,Table1[Campo],Plano_V3!F272)</f>
        <v>0.15</v>
      </c>
      <c r="L272" s="183">
        <f t="shared" si="44"/>
        <v>1.8749999999999999E-2</v>
      </c>
      <c r="M272" s="177"/>
      <c r="N272" s="177">
        <f t="shared" si="45"/>
        <v>0.25</v>
      </c>
      <c r="O272" s="177">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43"/>
        <v>7.4999999999999997E-2</v>
      </c>
      <c r="K273" s="183">
        <f>SUMIFS(Table1[Horas efetivas],Table1[Tabela],Plano_V3!E273,Table1[Campo],Plano_V3!F273)</f>
        <v>0.15</v>
      </c>
      <c r="L273" s="183">
        <f t="shared" si="44"/>
        <v>1.8749999999999999E-2</v>
      </c>
      <c r="M273" s="177"/>
      <c r="N273" s="177">
        <f t="shared" si="45"/>
        <v>0.25</v>
      </c>
      <c r="O273" s="177">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43"/>
        <v>#N/A</v>
      </c>
      <c r="K274" s="183" t="e">
        <f>SUMIFS(Table1[Horas efetivas],Table1[Tabela],Plano_V3!E274,Table1[Campo],Plano_V3!F274)</f>
        <v>#N/A</v>
      </c>
      <c r="L274" s="183" t="e">
        <f t="shared" si="44"/>
        <v>#N/A</v>
      </c>
      <c r="M274" s="177"/>
      <c r="N274" s="177" t="e">
        <f t="shared" si="45"/>
        <v>#N/A</v>
      </c>
      <c r="O274" s="177"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43"/>
        <v>#N/A</v>
      </c>
      <c r="K275" s="183" t="e">
        <f>SUMIFS(Table1[Horas efetivas],Table1[Tabela],Plano_V3!E275,Table1[Campo],Plano_V3!F275)</f>
        <v>#N/A</v>
      </c>
      <c r="L275" s="183" t="e">
        <f t="shared" si="44"/>
        <v>#N/A</v>
      </c>
      <c r="M275" s="177"/>
      <c r="N275" s="177" t="e">
        <f t="shared" si="45"/>
        <v>#N/A</v>
      </c>
      <c r="O275" s="177"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43"/>
        <v>7.4999999999999997E-2</v>
      </c>
      <c r="K276" s="183">
        <f>SUMIFS(Table1[Horas efetivas],Table1[Tabela],Plano_V3!E276,Table1[Campo],Plano_V3!F276)</f>
        <v>0.15</v>
      </c>
      <c r="L276" s="183">
        <f t="shared" si="44"/>
        <v>1.8749999999999999E-2</v>
      </c>
      <c r="M276" s="177"/>
      <c r="N276" s="177">
        <f t="shared" si="45"/>
        <v>0.25</v>
      </c>
      <c r="O276" s="177">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43"/>
        <v>#N/A</v>
      </c>
      <c r="K277" s="183" t="e">
        <f>SUMIFS(Table1[Horas efetivas],Table1[Tabela],Plano_V3!E277,Table1[Campo],Plano_V3!F277)</f>
        <v>#N/A</v>
      </c>
      <c r="L277" s="183" t="e">
        <f t="shared" si="44"/>
        <v>#N/A</v>
      </c>
      <c r="M277" s="177"/>
      <c r="N277" s="177" t="e">
        <f t="shared" si="45"/>
        <v>#N/A</v>
      </c>
      <c r="O277" s="177"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5">I279/8</f>
        <v>#N/A</v>
      </c>
      <c r="K279" s="183" t="e">
        <f>SUMIFS(Table1[Horas efetivas],Table1[Tabela],Plano_V3!E279,Table1[Campo],Plano_V3!F279)</f>
        <v>#N/A</v>
      </c>
      <c r="L279" s="183" t="e">
        <f t="shared" ref="L279:L287" si="306">K279/8</f>
        <v>#N/A</v>
      </c>
      <c r="M279" s="177"/>
      <c r="N279" s="177" t="e">
        <f t="shared" ref="N279:N287" si="307">L279/J279</f>
        <v>#N/A</v>
      </c>
      <c r="O279" s="177"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5"/>
        <v>#N/A</v>
      </c>
      <c r="K280" s="183" t="e">
        <f>SUMIFS(Table1[Horas efetivas],Table1[Tabela],Plano_V3!E280,Table1[Campo],Plano_V3!F280)</f>
        <v>#N/A</v>
      </c>
      <c r="L280" s="183" t="e">
        <f t="shared" si="306"/>
        <v>#N/A</v>
      </c>
      <c r="M280" s="177"/>
      <c r="N280" s="177" t="e">
        <f t="shared" si="307"/>
        <v>#N/A</v>
      </c>
      <c r="O280" s="177"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5"/>
        <v>7.4999999999999997E-2</v>
      </c>
      <c r="K281" s="183">
        <f>SUMIFS(Table1[Horas efetivas],Table1[Tabela],Plano_V3!E281,Table1[Campo],Plano_V3!F281)</f>
        <v>0.15</v>
      </c>
      <c r="L281" s="183">
        <f t="shared" si="306"/>
        <v>1.8749999999999999E-2</v>
      </c>
      <c r="M281" s="177"/>
      <c r="N281" s="177">
        <f t="shared" si="307"/>
        <v>0.25</v>
      </c>
      <c r="O281" s="177">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5"/>
        <v>7.4999999999999997E-2</v>
      </c>
      <c r="K282" s="183">
        <f>SUMIFS(Table1[Horas efetivas],Table1[Tabela],Plano_V3!E282,Table1[Campo],Plano_V3!F282)</f>
        <v>0.15</v>
      </c>
      <c r="L282" s="183">
        <f t="shared" si="306"/>
        <v>1.8749999999999999E-2</v>
      </c>
      <c r="M282" s="177"/>
      <c r="N282" s="177">
        <f t="shared" si="307"/>
        <v>0.25</v>
      </c>
      <c r="O282" s="177">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5"/>
        <v>7.4999999999999997E-2</v>
      </c>
      <c r="K283" s="183">
        <f>SUMIFS(Table1[Horas efetivas],Table1[Tabela],Plano_V3!E283,Table1[Campo],Plano_V3!F283)</f>
        <v>0.15</v>
      </c>
      <c r="L283" s="183">
        <f t="shared" si="306"/>
        <v>1.8749999999999999E-2</v>
      </c>
      <c r="M283" s="177"/>
      <c r="N283" s="177">
        <f t="shared" si="307"/>
        <v>0.25</v>
      </c>
      <c r="O283" s="177">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5"/>
        <v>7.4999999999999997E-2</v>
      </c>
      <c r="K284" s="183">
        <f>SUMIFS(Table1[Horas efetivas],Table1[Tabela],Plano_V3!E284,Table1[Campo],Plano_V3!F284)</f>
        <v>0.15</v>
      </c>
      <c r="L284" s="183">
        <f t="shared" si="306"/>
        <v>1.8749999999999999E-2</v>
      </c>
      <c r="M284" s="177"/>
      <c r="N284" s="177">
        <f t="shared" si="307"/>
        <v>0.25</v>
      </c>
      <c r="O284" s="177">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5"/>
        <v>#N/A</v>
      </c>
      <c r="K285" s="183" t="e">
        <f>SUMIFS(Table1[Horas efetivas],Table1[Tabela],Plano_V3!E285,Table1[Campo],Plano_V3!F285)</f>
        <v>#N/A</v>
      </c>
      <c r="L285" s="183" t="e">
        <f t="shared" si="306"/>
        <v>#N/A</v>
      </c>
      <c r="M285" s="177"/>
      <c r="N285" s="177" t="e">
        <f t="shared" si="307"/>
        <v>#N/A</v>
      </c>
      <c r="O285" s="177"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4"/>
        <v>modesg_param_sfics_taxon_europeiasst_indctr_aux</v>
      </c>
      <c r="B286" s="67" t="s">
        <v>26</v>
      </c>
      <c r="C286" s="68" t="s">
        <v>181</v>
      </c>
      <c r="D286" s="64" t="s">
        <v>40</v>
      </c>
      <c r="E286" s="66" t="s">
        <v>2097</v>
      </c>
      <c r="F286" s="64" t="s">
        <v>2418</v>
      </c>
      <c r="G286" s="64" t="s">
        <v>2320</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5"/>
        <v>#N/A</v>
      </c>
      <c r="K287" s="183" t="e">
        <f>SUMIFS(Table1[Horas efetivas],Table1[Tabela],Plano_V3!E287,Table1[Campo],Plano_V3!F287)</f>
        <v>#N/A</v>
      </c>
      <c r="L287" s="183" t="e">
        <f t="shared" si="306"/>
        <v>#N/A</v>
      </c>
      <c r="M287" s="177"/>
      <c r="N287" s="177" t="e">
        <f t="shared" si="307"/>
        <v>#N/A</v>
      </c>
      <c r="O287" s="177"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2097</v>
      </c>
      <c r="F292" s="64" t="s">
        <v>196</v>
      </c>
      <c r="G292" s="64" t="str">
        <f>INDEX(Auxiliar!$B$16:$B$24,MATCH(Plano_V3!H292,Auxiliar!$C$16:$C$24,0),1)</f>
        <v xml:space="preserve">6. Em implementação </v>
      </c>
      <c r="H292" s="64">
        <f>VLOOKUP(A292,'Aux - pivots1'!$A:$B,2,0)</f>
        <v>7</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43"/>
        <v>1.0625</v>
      </c>
      <c r="K293" s="183">
        <f>SUMIFS(Table1[Horas efetivas],Table1[Tabela],Plano_V3!E293,Table1[Campo],Plano_V3!F293)</f>
        <v>8.5</v>
      </c>
      <c r="L293" s="183">
        <f t="shared" si="44"/>
        <v>1.0625</v>
      </c>
      <c r="M293" s="177"/>
      <c r="N293" s="177">
        <f t="shared" si="45"/>
        <v>1</v>
      </c>
      <c r="O293" s="177">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43"/>
        <v>1.0625</v>
      </c>
      <c r="K294" s="183">
        <f>SUMIFS(Table1[Horas efetivas],Table1[Tabela],Plano_V3!E294,Table1[Campo],Plano_V3!F294)</f>
        <v>8.5</v>
      </c>
      <c r="L294" s="183">
        <f t="shared" si="44"/>
        <v>1.0625</v>
      </c>
      <c r="M294" s="177"/>
      <c r="N294" s="177">
        <f t="shared" si="45"/>
        <v>1</v>
      </c>
      <c r="O294" s="177">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43"/>
        <v>1.0625</v>
      </c>
      <c r="K295" s="183">
        <f>SUMIFS(Table1[Horas efetivas],Table1[Tabela],Plano_V3!E295,Table1[Campo],Plano_V3!F295)</f>
        <v>8.5</v>
      </c>
      <c r="L295" s="183">
        <f t="shared" si="44"/>
        <v>1.0625</v>
      </c>
      <c r="M295" s="177"/>
      <c r="N295" s="177">
        <f t="shared" si="45"/>
        <v>1</v>
      </c>
      <c r="O295" s="177">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43"/>
        <v>1.0625</v>
      </c>
      <c r="K296" s="183">
        <f>SUMIFS(Table1[Horas efetivas],Table1[Tabela],Plano_V3!E296,Table1[Campo],Plano_V3!F296)</f>
        <v>8.5</v>
      </c>
      <c r="L296" s="183">
        <f t="shared" si="44"/>
        <v>1.0625</v>
      </c>
      <c r="M296" s="177"/>
      <c r="N296" s="177">
        <f t="shared" si="45"/>
        <v>1</v>
      </c>
      <c r="O296" s="177">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43"/>
        <v>1.0625</v>
      </c>
      <c r="K297" s="183">
        <f>SUMIFS(Table1[Horas efetivas],Table1[Tabela],Plano_V3!E297,Table1[Campo],Plano_V3!F297)</f>
        <v>8.5</v>
      </c>
      <c r="L297" s="183">
        <f t="shared" si="44"/>
        <v>1.0625</v>
      </c>
      <c r="M297" s="177"/>
      <c r="N297" s="177">
        <f t="shared" si="45"/>
        <v>1</v>
      </c>
      <c r="O297" s="177">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43"/>
        <v>1.0625</v>
      </c>
      <c r="K298" s="183">
        <f>SUMIFS(Table1[Horas efetivas],Table1[Tabela],Plano_V3!E298,Table1[Campo],Plano_V3!F298)</f>
        <v>8.5</v>
      </c>
      <c r="L298" s="183">
        <f t="shared" si="44"/>
        <v>1.0625</v>
      </c>
      <c r="M298" s="177"/>
      <c r="N298" s="177">
        <f t="shared" si="45"/>
        <v>1</v>
      </c>
      <c r="O298" s="177">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43"/>
        <v>1.0625</v>
      </c>
      <c r="K299" s="183">
        <f>SUMIFS(Table1[Horas efetivas],Table1[Tabela],Plano_V3!E299,Table1[Campo],Plano_V3!F299)</f>
        <v>8.5</v>
      </c>
      <c r="L299" s="183">
        <f t="shared" si="44"/>
        <v>1.0625</v>
      </c>
      <c r="M299" s="177"/>
      <c r="N299" s="177">
        <f t="shared" si="45"/>
        <v>1</v>
      </c>
      <c r="O299" s="177">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43"/>
        <v>1.0625</v>
      </c>
      <c r="K300" s="183">
        <f>SUMIFS(Table1[Horas efetivas],Table1[Tabela],Plano_V3!E300,Table1[Campo],Plano_V3!F300)</f>
        <v>8.5</v>
      </c>
      <c r="L300" s="183">
        <f t="shared" si="44"/>
        <v>1.0625</v>
      </c>
      <c r="M300" s="177"/>
      <c r="N300" s="177">
        <f t="shared" si="45"/>
        <v>1</v>
      </c>
      <c r="O300" s="177">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43"/>
        <v>6.25E-2</v>
      </c>
      <c r="K301" s="183">
        <f>SUMIFS(Table1[Horas efetivas],Table1[Tabela],Plano_V3!E301,Table1[Campo],Plano_V3!F301)</f>
        <v>0.5</v>
      </c>
      <c r="L301" s="183">
        <f t="shared" si="44"/>
        <v>6.25E-2</v>
      </c>
      <c r="M301" s="177"/>
      <c r="N301" s="177">
        <f t="shared" si="45"/>
        <v>1</v>
      </c>
      <c r="O301" s="177">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43"/>
        <v>7.4999999999999997E-2</v>
      </c>
      <c r="K302" s="183">
        <f>SUMIFS(Table1[Horas efetivas],Table1[Tabela],Plano_V3!E302,Table1[Campo],Plano_V3!F302)</f>
        <v>0.6</v>
      </c>
      <c r="L302" s="183">
        <f t="shared" si="44"/>
        <v>7.4999999999999997E-2</v>
      </c>
      <c r="M302" s="177"/>
      <c r="N302" s="177">
        <f t="shared" si="45"/>
        <v>1</v>
      </c>
      <c r="O302" s="177">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43"/>
        <v>7.4999999999999997E-2</v>
      </c>
      <c r="K303" s="183">
        <f>SUMIFS(Table1[Horas efetivas],Table1[Tabela],Plano_V3!E303,Table1[Campo],Plano_V3!F303)</f>
        <v>0.6</v>
      </c>
      <c r="L303" s="183">
        <f t="shared" si="44"/>
        <v>7.4999999999999997E-2</v>
      </c>
      <c r="M303" s="177"/>
      <c r="N303" s="177">
        <f t="shared" si="45"/>
        <v>1</v>
      </c>
      <c r="O303" s="177">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43"/>
        <v>6.25E-2</v>
      </c>
      <c r="K304" s="183">
        <f>SUMIFS(Table1[Horas efetivas],Table1[Tabela],Plano_V3!E304,Table1[Campo],Plano_V3!F304)</f>
        <v>0.5</v>
      </c>
      <c r="L304" s="183">
        <f t="shared" si="44"/>
        <v>6.25E-2</v>
      </c>
      <c r="M304" s="177"/>
      <c r="N304" s="177">
        <f t="shared" si="45"/>
        <v>1</v>
      </c>
      <c r="O304" s="177">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43"/>
        <v>7.4999999999999997E-2</v>
      </c>
      <c r="K305" s="183">
        <f>SUMIFS(Table1[Horas efetivas],Table1[Tabela],Plano_V3!E305,Table1[Campo],Plano_V3!F305)</f>
        <v>0.6</v>
      </c>
      <c r="L305" s="183">
        <f t="shared" si="44"/>
        <v>7.4999999999999997E-2</v>
      </c>
      <c r="M305" s="177"/>
      <c r="N305" s="177">
        <f t="shared" si="45"/>
        <v>1</v>
      </c>
      <c r="O305" s="177">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43"/>
        <v>7.4999999999999997E-2</v>
      </c>
      <c r="K306" s="183">
        <f>SUMIFS(Table1[Horas efetivas],Table1[Tabela],Plano_V3!E306,Table1[Campo],Plano_V3!F306)</f>
        <v>0.6</v>
      </c>
      <c r="L306" s="183">
        <f t="shared" si="44"/>
        <v>7.4999999999999997E-2</v>
      </c>
      <c r="M306" s="177"/>
      <c r="N306" s="177">
        <f t="shared" si="45"/>
        <v>1</v>
      </c>
      <c r="O306" s="177">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43"/>
        <v>7.4999999999999997E-2</v>
      </c>
      <c r="K307" s="183">
        <f>SUMIFS(Table1[Horas efetivas],Table1[Tabela],Plano_V3!E307,Table1[Campo],Plano_V3!F307)</f>
        <v>0.6</v>
      </c>
      <c r="L307" s="183">
        <f t="shared" si="44"/>
        <v>7.4999999999999997E-2</v>
      </c>
      <c r="M307" s="177"/>
      <c r="N307" s="177">
        <f t="shared" si="45"/>
        <v>1</v>
      </c>
      <c r="O307" s="177">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43"/>
        <v>7.4999999999999997E-2</v>
      </c>
      <c r="K308" s="183">
        <f>SUMIFS(Table1[Horas efetivas],Table1[Tabela],Plano_V3!E308,Table1[Campo],Plano_V3!F308)</f>
        <v>0.6</v>
      </c>
      <c r="L308" s="183">
        <f t="shared" si="44"/>
        <v>7.4999999999999997E-2</v>
      </c>
      <c r="M308" s="177"/>
      <c r="N308" s="177">
        <f t="shared" si="45"/>
        <v>1</v>
      </c>
      <c r="O308" s="177">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43"/>
        <v>7.4999999999999997E-2</v>
      </c>
      <c r="K309" s="183">
        <f>SUMIFS(Table1[Horas efetivas],Table1[Tabela],Plano_V3!E309,Table1[Campo],Plano_V3!F309)</f>
        <v>0.6</v>
      </c>
      <c r="L309" s="183">
        <f t="shared" si="44"/>
        <v>7.4999999999999997E-2</v>
      </c>
      <c r="M309" s="177"/>
      <c r="N309" s="177">
        <f t="shared" si="45"/>
        <v>1</v>
      </c>
      <c r="O309" s="177">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43"/>
        <v>7.4999999999999997E-2</v>
      </c>
      <c r="K310" s="183">
        <f>SUMIFS(Table1[Horas efetivas],Table1[Tabela],Plano_V3!E310,Table1[Campo],Plano_V3!F310)</f>
        <v>0.6</v>
      </c>
      <c r="L310" s="183">
        <f t="shared" si="44"/>
        <v>7.4999999999999997E-2</v>
      </c>
      <c r="M310" s="177"/>
      <c r="N310" s="177">
        <f t="shared" si="45"/>
        <v>1</v>
      </c>
      <c r="O310" s="177">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43"/>
        <v>7.4999999999999997E-2</v>
      </c>
      <c r="K311" s="183">
        <f>SUMIFS(Table1[Horas efetivas],Table1[Tabela],Plano_V3!E311,Table1[Campo],Plano_V3!F311)</f>
        <v>0.6</v>
      </c>
      <c r="L311" s="183">
        <f t="shared" si="44"/>
        <v>7.4999999999999997E-2</v>
      </c>
      <c r="M311" s="177"/>
      <c r="N311" s="177">
        <f t="shared" si="45"/>
        <v>1</v>
      </c>
      <c r="O311" s="177">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43"/>
        <v>7.4999999999999997E-2</v>
      </c>
      <c r="K312" s="183">
        <f>SUMIFS(Table1[Horas efetivas],Table1[Tabela],Plano_V3!E312,Table1[Campo],Plano_V3!F312)</f>
        <v>0.6</v>
      </c>
      <c r="L312" s="183">
        <f t="shared" si="44"/>
        <v>7.4999999999999997E-2</v>
      </c>
      <c r="M312" s="177"/>
      <c r="N312" s="177">
        <f t="shared" si="45"/>
        <v>1</v>
      </c>
      <c r="O312" s="177">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43"/>
        <v>7.4999999999999997E-2</v>
      </c>
      <c r="K313" s="183">
        <f>SUMIFS(Table1[Horas efetivas],Table1[Tabela],Plano_V3!E313,Table1[Campo],Plano_V3!F313)</f>
        <v>0.6</v>
      </c>
      <c r="L313" s="183">
        <f t="shared" si="44"/>
        <v>7.4999999999999997E-2</v>
      </c>
      <c r="M313" s="177"/>
      <c r="N313" s="177">
        <f t="shared" si="45"/>
        <v>1</v>
      </c>
      <c r="O313" s="177">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43"/>
        <v>7.4999999999999997E-2</v>
      </c>
      <c r="K314" s="183">
        <f>SUMIFS(Table1[Horas efetivas],Table1[Tabela],Plano_V3!E314,Table1[Campo],Plano_V3!F314)</f>
        <v>0.6</v>
      </c>
      <c r="L314" s="183">
        <f t="shared" si="44"/>
        <v>7.4999999999999997E-2</v>
      </c>
      <c r="M314" s="177"/>
      <c r="N314" s="177">
        <f t="shared" si="45"/>
        <v>1</v>
      </c>
      <c r="O314" s="177">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43"/>
        <v>7.4999999999999997E-2</v>
      </c>
      <c r="K315" s="183">
        <f>SUMIFS(Table1[Horas efetivas],Table1[Tabela],Plano_V3!E315,Table1[Campo],Plano_V3!F315)</f>
        <v>0.6</v>
      </c>
      <c r="L315" s="183">
        <f t="shared" si="44"/>
        <v>7.4999999999999997E-2</v>
      </c>
      <c r="M315" s="177"/>
      <c r="N315" s="177">
        <f t="shared" si="45"/>
        <v>1</v>
      </c>
      <c r="O315" s="177">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43"/>
        <v>7.4999999999999997E-2</v>
      </c>
      <c r="K316" s="183">
        <f>SUMIFS(Table1[Horas efetivas],Table1[Tabela],Plano_V3!E316,Table1[Campo],Plano_V3!F316)</f>
        <v>0.6</v>
      </c>
      <c r="L316" s="183">
        <f t="shared" si="44"/>
        <v>7.4999999999999997E-2</v>
      </c>
      <c r="M316" s="177"/>
      <c r="N316" s="177">
        <f t="shared" si="45"/>
        <v>1</v>
      </c>
      <c r="O316" s="177">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43"/>
        <v>7.4999999999999997E-2</v>
      </c>
      <c r="K317" s="183">
        <f>SUMIFS(Table1[Horas efetivas],Table1[Tabela],Plano_V3!E317,Table1[Campo],Plano_V3!F317)</f>
        <v>0.6</v>
      </c>
      <c r="L317" s="183">
        <f t="shared" si="44"/>
        <v>7.4999999999999997E-2</v>
      </c>
      <c r="M317" s="177"/>
      <c r="N317" s="177">
        <f t="shared" si="45"/>
        <v>1</v>
      </c>
      <c r="O317" s="177">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43"/>
        <v>6.25E-2</v>
      </c>
      <c r="K318" s="183">
        <f>SUMIFS(Table1[Horas efetivas],Table1[Tabela],Plano_V3!E318,Table1[Campo],Plano_V3!F318)</f>
        <v>0.5</v>
      </c>
      <c r="L318" s="183">
        <f t="shared" si="44"/>
        <v>6.25E-2</v>
      </c>
      <c r="M318" s="177"/>
      <c r="N318" s="177">
        <f t="shared" si="45"/>
        <v>1</v>
      </c>
      <c r="O318" s="177">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43"/>
        <v>7.4999999999999997E-2</v>
      </c>
      <c r="K319" s="183">
        <f>SUMIFS(Table1[Horas efetivas],Table1[Tabela],Plano_V3!E319,Table1[Campo],Plano_V3!F319)</f>
        <v>0.6</v>
      </c>
      <c r="L319" s="183">
        <f t="shared" si="44"/>
        <v>7.4999999999999997E-2</v>
      </c>
      <c r="M319" s="177"/>
      <c r="N319" s="177">
        <f t="shared" si="45"/>
        <v>1</v>
      </c>
      <c r="O319" s="177">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43"/>
        <v>7.4999999999999997E-2</v>
      </c>
      <c r="K320" s="183">
        <f>SUMIFS(Table1[Horas efetivas],Table1[Tabela],Plano_V3!E320,Table1[Campo],Plano_V3!F320)</f>
        <v>0.6</v>
      </c>
      <c r="L320" s="183">
        <f t="shared" si="44"/>
        <v>7.4999999999999997E-2</v>
      </c>
      <c r="M320" s="177"/>
      <c r="N320" s="177">
        <f t="shared" si="45"/>
        <v>1</v>
      </c>
      <c r="O320" s="177">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43"/>
        <v>7.4999999999999997E-2</v>
      </c>
      <c r="K321" s="183">
        <f>SUMIFS(Table1[Horas efetivas],Table1[Tabela],Plano_V3!E321,Table1[Campo],Plano_V3!F321)</f>
        <v>0.6</v>
      </c>
      <c r="L321" s="183">
        <f t="shared" si="44"/>
        <v>7.4999999999999997E-2</v>
      </c>
      <c r="M321" s="177"/>
      <c r="N321" s="177">
        <f t="shared" si="45"/>
        <v>1</v>
      </c>
      <c r="O321" s="177">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43"/>
        <v>7.4999999999999997E-2</v>
      </c>
      <c r="K322" s="183">
        <f>SUMIFS(Table1[Horas efetivas],Table1[Tabela],Plano_V3!E322,Table1[Campo],Plano_V3!F322)</f>
        <v>0.6</v>
      </c>
      <c r="L322" s="183">
        <f t="shared" si="44"/>
        <v>7.4999999999999997E-2</v>
      </c>
      <c r="M322" s="177"/>
      <c r="N322" s="177">
        <f t="shared" si="45"/>
        <v>1</v>
      </c>
      <c r="O322" s="177">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43"/>
        <v>7.4999999999999997E-2</v>
      </c>
      <c r="K323" s="183">
        <f>SUMIFS(Table1[Horas efetivas],Table1[Tabela],Plano_V3!E323,Table1[Campo],Plano_V3!F323)</f>
        <v>0.6</v>
      </c>
      <c r="L323" s="183">
        <f t="shared" si="44"/>
        <v>7.4999999999999997E-2</v>
      </c>
      <c r="M323" s="177"/>
      <c r="N323" s="177">
        <f t="shared" si="45"/>
        <v>1</v>
      </c>
      <c r="O323" s="177">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43"/>
        <v>6.25E-2</v>
      </c>
      <c r="K327" s="183">
        <f>SUMIFS(Table1[Horas efetivas],Table1[Tabela],Plano_V3!E327,Table1[Campo],Plano_V3!F327)</f>
        <v>0.5</v>
      </c>
      <c r="L327" s="183">
        <f t="shared" si="44"/>
        <v>6.25E-2</v>
      </c>
      <c r="M327" s="177"/>
      <c r="N327" s="177">
        <f t="shared" si="45"/>
        <v>1</v>
      </c>
      <c r="O327" s="177">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43"/>
        <v>7.4999999999999997E-2</v>
      </c>
      <c r="K328" s="183">
        <f>SUMIFS(Table1[Horas efetivas],Table1[Tabela],Plano_V3!E328,Table1[Campo],Plano_V3!F328)</f>
        <v>0.6</v>
      </c>
      <c r="L328" s="183">
        <f t="shared" si="44"/>
        <v>7.4999999999999997E-2</v>
      </c>
      <c r="M328" s="177"/>
      <c r="N328" s="177">
        <f t="shared" si="45"/>
        <v>1</v>
      </c>
      <c r="O328" s="177">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43"/>
        <v>7.4999999999999997E-2</v>
      </c>
      <c r="K329" s="183">
        <f>SUMIFS(Table1[Horas efetivas],Table1[Tabela],Plano_V3!E329,Table1[Campo],Plano_V3!F329)</f>
        <v>0.6</v>
      </c>
      <c r="L329" s="183">
        <f t="shared" si="44"/>
        <v>7.4999999999999997E-2</v>
      </c>
      <c r="M329" s="177"/>
      <c r="N329" s="177">
        <f t="shared" si="45"/>
        <v>1</v>
      </c>
      <c r="O329" s="177">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43"/>
        <v>7.4999999999999997E-2</v>
      </c>
      <c r="K330" s="183">
        <f>SUMIFS(Table1[Horas efetivas],Table1[Tabela],Plano_V3!E330,Table1[Campo],Plano_V3!F330)</f>
        <v>0.6</v>
      </c>
      <c r="L330" s="183">
        <f t="shared" si="44"/>
        <v>7.4999999999999997E-2</v>
      </c>
      <c r="M330" s="177"/>
      <c r="N330" s="177">
        <f t="shared" si="45"/>
        <v>1</v>
      </c>
      <c r="O330" s="177">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9">I331/8</f>
        <v>6.25E-2</v>
      </c>
      <c r="K331" s="183">
        <f>SUMIFS(Table1[Horas efetivas],Table1[Tabela],Plano_V3!E331,Table1[Campo],Plano_V3!F331)</f>
        <v>0.5</v>
      </c>
      <c r="L331" s="183">
        <f t="shared" si="44"/>
        <v>6.25E-2</v>
      </c>
      <c r="M331" s="177"/>
      <c r="N331" s="177">
        <f t="shared" si="45"/>
        <v>1</v>
      </c>
      <c r="O331" s="177">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9"/>
        <v>6.25E-2</v>
      </c>
      <c r="K332" s="183">
        <f>SUMIFS(Table1[Horas efetivas],Table1[Tabela],Plano_V3!E332,Table1[Campo],Plano_V3!F332)</f>
        <v>0.5</v>
      </c>
      <c r="L332" s="183">
        <f t="shared" ref="L332:L401" si="310">K332/8</f>
        <v>6.25E-2</v>
      </c>
      <c r="M332" s="177"/>
      <c r="N332" s="177">
        <f t="shared" ref="N332:N401" si="311">L332/J332</f>
        <v>1</v>
      </c>
      <c r="O332" s="177">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9"/>
        <v>6.25E-2</v>
      </c>
      <c r="K333" s="183">
        <f>SUMIFS(Table1[Horas efetivas],Table1[Tabela],Plano_V3!E333,Table1[Campo],Plano_V3!F333)</f>
        <v>0.5</v>
      </c>
      <c r="L333" s="183">
        <f t="shared" si="310"/>
        <v>6.25E-2</v>
      </c>
      <c r="M333" s="177"/>
      <c r="N333" s="177">
        <f t="shared" si="311"/>
        <v>1</v>
      </c>
      <c r="O333" s="177">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9"/>
        <v>6.25E-2</v>
      </c>
      <c r="K334" s="183">
        <f>SUMIFS(Table1[Horas efetivas],Table1[Tabela],Plano_V3!E334,Table1[Campo],Plano_V3!F334)</f>
        <v>0.5</v>
      </c>
      <c r="L334" s="183">
        <f t="shared" si="310"/>
        <v>6.25E-2</v>
      </c>
      <c r="M334" s="177"/>
      <c r="N334" s="177">
        <f t="shared" si="311"/>
        <v>1</v>
      </c>
      <c r="O334" s="177">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9"/>
        <v>7.4999999999999997E-2</v>
      </c>
      <c r="K335" s="183">
        <f>SUMIFS(Table1[Horas efetivas],Table1[Tabela],Plano_V3!E335,Table1[Campo],Plano_V3!F335)</f>
        <v>0.6</v>
      </c>
      <c r="L335" s="183">
        <f t="shared" si="310"/>
        <v>7.4999999999999997E-2</v>
      </c>
      <c r="M335" s="177"/>
      <c r="N335" s="177">
        <f t="shared" si="311"/>
        <v>1</v>
      </c>
      <c r="O335" s="177">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9"/>
        <v>7.4999999999999997E-2</v>
      </c>
      <c r="K336" s="183">
        <f>SUMIFS(Table1[Horas efetivas],Table1[Tabela],Plano_V3!E336,Table1[Campo],Plano_V3!F336)</f>
        <v>0.6</v>
      </c>
      <c r="L336" s="183">
        <f t="shared" si="310"/>
        <v>7.4999999999999997E-2</v>
      </c>
      <c r="M336" s="177"/>
      <c r="N336" s="177">
        <f t="shared" si="311"/>
        <v>1</v>
      </c>
      <c r="O336" s="177">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9"/>
        <v>6.25E-2</v>
      </c>
      <c r="K337" s="183">
        <f>SUMIFS(Table1[Horas efetivas],Table1[Tabela],Plano_V3!E337,Table1[Campo],Plano_V3!F337)</f>
        <v>0.5</v>
      </c>
      <c r="L337" s="183">
        <f t="shared" si="310"/>
        <v>6.25E-2</v>
      </c>
      <c r="M337" s="177"/>
      <c r="N337" s="177">
        <f t="shared" si="311"/>
        <v>1</v>
      </c>
      <c r="O337" s="177">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9"/>
        <v>6.25E-2</v>
      </c>
      <c r="K338" s="183">
        <f>SUMIFS(Table1[Horas efetivas],Table1[Tabela],Plano_V3!E338,Table1[Campo],Plano_V3!F338)</f>
        <v>0.5</v>
      </c>
      <c r="L338" s="183">
        <f t="shared" si="310"/>
        <v>6.25E-2</v>
      </c>
      <c r="M338" s="177"/>
      <c r="N338" s="177">
        <f t="shared" si="311"/>
        <v>1</v>
      </c>
      <c r="O338" s="177">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9"/>
        <v>6.25E-2</v>
      </c>
      <c r="K340" s="183">
        <f>SUMIFS(Table1[Horas efetivas],Table1[Tabela],Plano_V3!E340,Table1[Campo],Plano_V3!F340)</f>
        <v>0.5</v>
      </c>
      <c r="L340" s="183">
        <f t="shared" si="310"/>
        <v>6.25E-2</v>
      </c>
      <c r="M340" s="177"/>
      <c r="N340" s="177">
        <f t="shared" si="311"/>
        <v>1</v>
      </c>
      <c r="O340" s="177">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9"/>
        <v>7.4999999999999997E-2</v>
      </c>
      <c r="K341" s="183">
        <f>SUMIFS(Table1[Horas efetivas],Table1[Tabela],Plano_V3!E341,Table1[Campo],Plano_V3!F341)</f>
        <v>0.6</v>
      </c>
      <c r="L341" s="183">
        <f t="shared" si="310"/>
        <v>7.4999999999999997E-2</v>
      </c>
      <c r="M341" s="177"/>
      <c r="N341" s="177">
        <f t="shared" si="311"/>
        <v>1</v>
      </c>
      <c r="O341" s="177">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9"/>
        <v>7.4999999999999997E-2</v>
      </c>
      <c r="K342" s="183">
        <f>SUMIFS(Table1[Horas efetivas],Table1[Tabela],Plano_V3!E342,Table1[Campo],Plano_V3!F342)</f>
        <v>0.6</v>
      </c>
      <c r="L342" s="183">
        <f t="shared" si="310"/>
        <v>7.4999999999999997E-2</v>
      </c>
      <c r="M342" s="177"/>
      <c r="N342" s="177">
        <f t="shared" si="311"/>
        <v>1</v>
      </c>
      <c r="O342" s="177">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9"/>
        <v>7.4999999999999997E-2</v>
      </c>
      <c r="K343" s="183">
        <f>SUMIFS(Table1[Horas efetivas],Table1[Tabela],Plano_V3!E343,Table1[Campo],Plano_V3!F343)</f>
        <v>0.6</v>
      </c>
      <c r="L343" s="183">
        <f t="shared" si="310"/>
        <v>7.4999999999999997E-2</v>
      </c>
      <c r="M343" s="177"/>
      <c r="N343" s="177">
        <f t="shared" si="311"/>
        <v>1</v>
      </c>
      <c r="O343" s="177">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9"/>
        <v>7.4999999999999997E-2</v>
      </c>
      <c r="K344" s="183">
        <f>SUMIFS(Table1[Horas efetivas],Table1[Tabela],Plano_V3!E344,Table1[Campo],Plano_V3!F344)</f>
        <v>0.6</v>
      </c>
      <c r="L344" s="183">
        <f t="shared" si="310"/>
        <v>7.4999999999999997E-2</v>
      </c>
      <c r="M344" s="177"/>
      <c r="N344" s="177">
        <f t="shared" si="311"/>
        <v>1</v>
      </c>
      <c r="O344" s="177">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9"/>
        <v>7.4999999999999997E-2</v>
      </c>
      <c r="K345" s="183">
        <f>SUMIFS(Table1[Horas efetivas],Table1[Tabela],Plano_V3!E345,Table1[Campo],Plano_V3!F345)</f>
        <v>0.6</v>
      </c>
      <c r="L345" s="183">
        <f t="shared" si="310"/>
        <v>7.4999999999999997E-2</v>
      </c>
      <c r="M345" s="177"/>
      <c r="N345" s="177">
        <f t="shared" si="311"/>
        <v>1</v>
      </c>
      <c r="O345" s="177">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9"/>
        <v>7.4999999999999997E-2</v>
      </c>
      <c r="K346" s="183">
        <f>SUMIFS(Table1[Horas efetivas],Table1[Tabela],Plano_V3!E346,Table1[Campo],Plano_V3!F346)</f>
        <v>0.6</v>
      </c>
      <c r="L346" s="183">
        <f t="shared" si="310"/>
        <v>7.4999999999999997E-2</v>
      </c>
      <c r="M346" s="177"/>
      <c r="N346" s="177">
        <f t="shared" si="311"/>
        <v>1</v>
      </c>
      <c r="O346" s="177">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9"/>
        <v>7.4999999999999997E-2</v>
      </c>
      <c r="K347" s="183">
        <f>SUMIFS(Table1[Horas efetivas],Table1[Tabela],Plano_V3!E347,Table1[Campo],Plano_V3!F347)</f>
        <v>0.6</v>
      </c>
      <c r="L347" s="183">
        <f t="shared" si="310"/>
        <v>7.4999999999999997E-2</v>
      </c>
      <c r="M347" s="177"/>
      <c r="N347" s="177">
        <f t="shared" si="311"/>
        <v>1</v>
      </c>
      <c r="O347" s="177">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9"/>
        <v>7.4999999999999997E-2</v>
      </c>
      <c r="K348" s="183">
        <f>SUMIFS(Table1[Horas efetivas],Table1[Tabela],Plano_V3!E348,Table1[Campo],Plano_V3!F348)</f>
        <v>0.6</v>
      </c>
      <c r="L348" s="183">
        <f t="shared" si="310"/>
        <v>7.4999999999999997E-2</v>
      </c>
      <c r="M348" s="177"/>
      <c r="N348" s="177">
        <f t="shared" si="311"/>
        <v>1</v>
      </c>
      <c r="O348" s="177">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9"/>
        <v>7.4999999999999997E-2</v>
      </c>
      <c r="K349" s="183">
        <f>SUMIFS(Table1[Horas efetivas],Table1[Tabela],Plano_V3!E349,Table1[Campo],Plano_V3!F349)</f>
        <v>0.6</v>
      </c>
      <c r="L349" s="183">
        <f t="shared" si="310"/>
        <v>7.4999999999999997E-2</v>
      </c>
      <c r="M349" s="177"/>
      <c r="N349" s="177">
        <f t="shared" si="311"/>
        <v>1</v>
      </c>
      <c r="O349" s="177">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9"/>
        <v>7.4999999999999997E-2</v>
      </c>
      <c r="K350" s="183">
        <f>SUMIFS(Table1[Horas efetivas],Table1[Tabela],Plano_V3!E350,Table1[Campo],Plano_V3!F350)</f>
        <v>0.6</v>
      </c>
      <c r="L350" s="183">
        <f t="shared" si="310"/>
        <v>7.4999999999999997E-2</v>
      </c>
      <c r="M350" s="177"/>
      <c r="N350" s="177">
        <f t="shared" si="311"/>
        <v>1</v>
      </c>
      <c r="O350" s="177">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9"/>
        <v>7.4999999999999997E-2</v>
      </c>
      <c r="K351" s="183">
        <f>SUMIFS(Table1[Horas efetivas],Table1[Tabela],Plano_V3!E351,Table1[Campo],Plano_V3!F351)</f>
        <v>0.6</v>
      </c>
      <c r="L351" s="183">
        <f t="shared" si="310"/>
        <v>7.4999999999999997E-2</v>
      </c>
      <c r="M351" s="177"/>
      <c r="N351" s="177">
        <f t="shared" si="311"/>
        <v>1</v>
      </c>
      <c r="O351" s="177">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9"/>
        <v>7.4999999999999997E-2</v>
      </c>
      <c r="K352" s="183">
        <f>SUMIFS(Table1[Horas efetivas],Table1[Tabela],Plano_V3!E352,Table1[Campo],Plano_V3!F352)</f>
        <v>0.6</v>
      </c>
      <c r="L352" s="183">
        <f t="shared" si="310"/>
        <v>7.4999999999999997E-2</v>
      </c>
      <c r="M352" s="177"/>
      <c r="N352" s="177">
        <f t="shared" si="311"/>
        <v>1</v>
      </c>
      <c r="O352" s="177">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9"/>
        <v>7.4999999999999997E-2</v>
      </c>
      <c r="K353" s="183">
        <f>SUMIFS(Table1[Horas efetivas],Table1[Tabela],Plano_V3!E353,Table1[Campo],Plano_V3!F353)</f>
        <v>0.6</v>
      </c>
      <c r="L353" s="183">
        <f t="shared" si="310"/>
        <v>7.4999999999999997E-2</v>
      </c>
      <c r="M353" s="177"/>
      <c r="N353" s="177">
        <f t="shared" si="311"/>
        <v>1</v>
      </c>
      <c r="O353" s="177">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9"/>
        <v>7.4999999999999997E-2</v>
      </c>
      <c r="K354" s="183">
        <f>SUMIFS(Table1[Horas efetivas],Table1[Tabela],Plano_V3!E354,Table1[Campo],Plano_V3!F354)</f>
        <v>0.6</v>
      </c>
      <c r="L354" s="183">
        <f t="shared" si="310"/>
        <v>7.4999999999999997E-2</v>
      </c>
      <c r="M354" s="177"/>
      <c r="N354" s="177">
        <f t="shared" si="311"/>
        <v>1</v>
      </c>
      <c r="O354" s="177">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9"/>
        <v>7.4999999999999997E-2</v>
      </c>
      <c r="K355" s="183">
        <f>SUMIFS(Table1[Horas efetivas],Table1[Tabela],Plano_V3!E355,Table1[Campo],Plano_V3!F355)</f>
        <v>0.6</v>
      </c>
      <c r="L355" s="183">
        <f t="shared" si="310"/>
        <v>7.4999999999999997E-2</v>
      </c>
      <c r="M355" s="177"/>
      <c r="N355" s="177">
        <f t="shared" si="311"/>
        <v>1</v>
      </c>
      <c r="O355" s="177">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9"/>
        <v>7.4999999999999997E-2</v>
      </c>
      <c r="K356" s="183">
        <f>SUMIFS(Table1[Horas efetivas],Table1[Tabela],Plano_V3!E356,Table1[Campo],Plano_V3!F356)</f>
        <v>0.6</v>
      </c>
      <c r="L356" s="183">
        <f t="shared" si="310"/>
        <v>7.4999999999999997E-2</v>
      </c>
      <c r="M356" s="177"/>
      <c r="N356" s="177">
        <f t="shared" si="311"/>
        <v>1</v>
      </c>
      <c r="O356" s="177">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9"/>
        <v>7.4999999999999997E-2</v>
      </c>
      <c r="K357" s="183">
        <f>SUMIFS(Table1[Horas efetivas],Table1[Tabela],Plano_V3!E357,Table1[Campo],Plano_V3!F357)</f>
        <v>0.6</v>
      </c>
      <c r="L357" s="183">
        <f t="shared" si="310"/>
        <v>7.4999999999999997E-2</v>
      </c>
      <c r="M357" s="177"/>
      <c r="N357" s="177">
        <f t="shared" si="311"/>
        <v>1</v>
      </c>
      <c r="O357" s="177">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9"/>
        <v>7.4999999999999997E-2</v>
      </c>
      <c r="K358" s="183">
        <f>SUMIFS(Table1[Horas efetivas],Table1[Tabela],Plano_V3!E358,Table1[Campo],Plano_V3!F358)</f>
        <v>0.6</v>
      </c>
      <c r="L358" s="183">
        <f t="shared" si="310"/>
        <v>7.4999999999999997E-2</v>
      </c>
      <c r="M358" s="177"/>
      <c r="N358" s="177">
        <f t="shared" si="311"/>
        <v>1</v>
      </c>
      <c r="O358" s="177">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9"/>
        <v>7.4999999999999997E-2</v>
      </c>
      <c r="K359" s="183">
        <f>SUMIFS(Table1[Horas efetivas],Table1[Tabela],Plano_V3!E359,Table1[Campo],Plano_V3!F359)</f>
        <v>0.6</v>
      </c>
      <c r="L359" s="183">
        <f t="shared" si="310"/>
        <v>7.4999999999999997E-2</v>
      </c>
      <c r="M359" s="177"/>
      <c r="N359" s="177">
        <f t="shared" si="311"/>
        <v>1</v>
      </c>
      <c r="O359" s="177">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9"/>
        <v>7.4999999999999997E-2</v>
      </c>
      <c r="K360" s="183">
        <f>SUMIFS(Table1[Horas efetivas],Table1[Tabela],Plano_V3!E360,Table1[Campo],Plano_V3!F360)</f>
        <v>0.6</v>
      </c>
      <c r="L360" s="183">
        <f t="shared" si="310"/>
        <v>7.4999999999999997E-2</v>
      </c>
      <c r="M360" s="177"/>
      <c r="N360" s="177">
        <f t="shared" si="311"/>
        <v>1</v>
      </c>
      <c r="O360" s="177">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9"/>
        <v>7.4999999999999997E-2</v>
      </c>
      <c r="K361" s="183">
        <f>SUMIFS(Table1[Horas efetivas],Table1[Tabela],Plano_V3!E361,Table1[Campo],Plano_V3!F361)</f>
        <v>0.6</v>
      </c>
      <c r="L361" s="183">
        <f t="shared" si="310"/>
        <v>7.4999999999999997E-2</v>
      </c>
      <c r="M361" s="177"/>
      <c r="N361" s="177">
        <f t="shared" si="311"/>
        <v>1</v>
      </c>
      <c r="O361" s="177">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9"/>
        <v>7.4999999999999997E-2</v>
      </c>
      <c r="K362" s="183">
        <f>SUMIFS(Table1[Horas efetivas],Table1[Tabela],Plano_V3!E362,Table1[Campo],Plano_V3!F362)</f>
        <v>0.6</v>
      </c>
      <c r="L362" s="183">
        <f t="shared" si="310"/>
        <v>7.4999999999999997E-2</v>
      </c>
      <c r="M362" s="177"/>
      <c r="N362" s="177">
        <f t="shared" si="311"/>
        <v>1</v>
      </c>
      <c r="O362" s="177">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9"/>
        <v>7.4999999999999997E-2</v>
      </c>
      <c r="K363" s="183">
        <f>SUMIFS(Table1[Horas efetivas],Table1[Tabela],Plano_V3!E363,Table1[Campo],Plano_V3!F363)</f>
        <v>0.6</v>
      </c>
      <c r="L363" s="183">
        <f t="shared" si="310"/>
        <v>7.4999999999999997E-2</v>
      </c>
      <c r="M363" s="177"/>
      <c r="N363" s="177">
        <f t="shared" si="311"/>
        <v>1</v>
      </c>
      <c r="O363" s="177">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9"/>
        <v>7.4999999999999997E-2</v>
      </c>
      <c r="K364" s="183">
        <f>SUMIFS(Table1[Horas efetivas],Table1[Tabela],Plano_V3!E364,Table1[Campo],Plano_V3!F364)</f>
        <v>0.6</v>
      </c>
      <c r="L364" s="183">
        <f t="shared" si="310"/>
        <v>7.4999999999999997E-2</v>
      </c>
      <c r="M364" s="177"/>
      <c r="N364" s="177">
        <f t="shared" si="311"/>
        <v>1</v>
      </c>
      <c r="O364" s="177">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9"/>
        <v>7.4999999999999997E-2</v>
      </c>
      <c r="K365" s="183">
        <f>SUMIFS(Table1[Horas efetivas],Table1[Tabela],Plano_V3!E365,Table1[Campo],Plano_V3!F365)</f>
        <v>0.6</v>
      </c>
      <c r="L365" s="183">
        <f t="shared" si="310"/>
        <v>7.4999999999999997E-2</v>
      </c>
      <c r="M365" s="177"/>
      <c r="N365" s="177">
        <f t="shared" si="311"/>
        <v>1</v>
      </c>
      <c r="O365" s="177">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9"/>
        <v>7.4999999999999997E-2</v>
      </c>
      <c r="K366" s="183">
        <f>SUMIFS(Table1[Horas efetivas],Table1[Tabela],Plano_V3!E366,Table1[Campo],Plano_V3!F366)</f>
        <v>0.6</v>
      </c>
      <c r="L366" s="183">
        <f t="shared" si="310"/>
        <v>7.4999999999999997E-2</v>
      </c>
      <c r="M366" s="177"/>
      <c r="N366" s="177">
        <f t="shared" si="311"/>
        <v>1</v>
      </c>
      <c r="O366" s="177">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9"/>
        <v>7.4999999999999997E-2</v>
      </c>
      <c r="K367" s="183">
        <f>SUMIFS(Table1[Horas efetivas],Table1[Tabela],Plano_V3!E367,Table1[Campo],Plano_V3!F367)</f>
        <v>0.6</v>
      </c>
      <c r="L367" s="183">
        <f t="shared" si="310"/>
        <v>7.4999999999999997E-2</v>
      </c>
      <c r="M367" s="177"/>
      <c r="N367" s="177">
        <f t="shared" si="311"/>
        <v>1</v>
      </c>
      <c r="O367" s="177">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9"/>
        <v>7.4999999999999997E-2</v>
      </c>
      <c r="K368" s="183">
        <f>SUMIFS(Table1[Horas efetivas],Table1[Tabela],Plano_V3!E368,Table1[Campo],Plano_V3!F368)</f>
        <v>0.6</v>
      </c>
      <c r="L368" s="183">
        <f t="shared" si="310"/>
        <v>7.4999999999999997E-2</v>
      </c>
      <c r="M368" s="177"/>
      <c r="N368" s="177">
        <f t="shared" si="311"/>
        <v>1</v>
      </c>
      <c r="O368" s="177">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9"/>
        <v>7.4999999999999997E-2</v>
      </c>
      <c r="K369" s="183">
        <f>SUMIFS(Table1[Horas efetivas],Table1[Tabela],Plano_V3!E369,Table1[Campo],Plano_V3!F369)</f>
        <v>0.6</v>
      </c>
      <c r="L369" s="183">
        <f t="shared" si="310"/>
        <v>7.4999999999999997E-2</v>
      </c>
      <c r="M369" s="177"/>
      <c r="N369" s="177">
        <f t="shared" si="311"/>
        <v>1</v>
      </c>
      <c r="O369" s="177">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9"/>
        <v>7.4999999999999997E-2</v>
      </c>
      <c r="K370" s="183">
        <f>SUMIFS(Table1[Horas efetivas],Table1[Tabela],Plano_V3!E370,Table1[Campo],Plano_V3!F370)</f>
        <v>0.6</v>
      </c>
      <c r="L370" s="183">
        <f t="shared" si="310"/>
        <v>7.4999999999999997E-2</v>
      </c>
      <c r="M370" s="177"/>
      <c r="N370" s="177">
        <f t="shared" si="311"/>
        <v>1</v>
      </c>
      <c r="O370" s="177">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9"/>
        <v>7.4999999999999997E-2</v>
      </c>
      <c r="K371" s="183">
        <f>SUMIFS(Table1[Horas efetivas],Table1[Tabela],Plano_V3!E371,Table1[Campo],Plano_V3!F371)</f>
        <v>0.6</v>
      </c>
      <c r="L371" s="183">
        <f t="shared" si="310"/>
        <v>7.4999999999999997E-2</v>
      </c>
      <c r="M371" s="177"/>
      <c r="N371" s="177">
        <f t="shared" si="311"/>
        <v>1</v>
      </c>
      <c r="O371" s="177">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9"/>
        <v>7.4999999999999997E-2</v>
      </c>
      <c r="K372" s="183">
        <f>SUMIFS(Table1[Horas efetivas],Table1[Tabela],Plano_V3!E372,Table1[Campo],Plano_V3!F372)</f>
        <v>0.6</v>
      </c>
      <c r="L372" s="183">
        <f t="shared" si="310"/>
        <v>7.4999999999999997E-2</v>
      </c>
      <c r="M372" s="177"/>
      <c r="N372" s="177">
        <f t="shared" si="311"/>
        <v>1</v>
      </c>
      <c r="O372" s="177">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9"/>
        <v>7.4999999999999997E-2</v>
      </c>
      <c r="K373" s="183">
        <f>SUMIFS(Table1[Horas efetivas],Table1[Tabela],Plano_V3!E373,Table1[Campo],Plano_V3!F373)</f>
        <v>0.6</v>
      </c>
      <c r="L373" s="183">
        <f t="shared" si="310"/>
        <v>7.4999999999999997E-2</v>
      </c>
      <c r="M373" s="177"/>
      <c r="N373" s="177">
        <f t="shared" si="311"/>
        <v>1</v>
      </c>
      <c r="O373" s="177">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9"/>
        <v>7.4999999999999997E-2</v>
      </c>
      <c r="K374" s="183">
        <f>SUMIFS(Table1[Horas efetivas],Table1[Tabela],Plano_V3!E374,Table1[Campo],Plano_V3!F374)</f>
        <v>0.6</v>
      </c>
      <c r="L374" s="183">
        <f t="shared" si="310"/>
        <v>7.4999999999999997E-2</v>
      </c>
      <c r="M374" s="177"/>
      <c r="N374" s="177">
        <f t="shared" si="311"/>
        <v>1</v>
      </c>
      <c r="O374" s="177">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9"/>
        <v>6.25E-2</v>
      </c>
      <c r="K375" s="183">
        <f>SUMIFS(Table1[Horas efetivas],Table1[Tabela],Plano_V3!E375,Table1[Campo],Plano_V3!F375)</f>
        <v>0.5</v>
      </c>
      <c r="L375" s="183">
        <f t="shared" si="310"/>
        <v>6.25E-2</v>
      </c>
      <c r="M375" s="177"/>
      <c r="N375" s="177">
        <f t="shared" si="311"/>
        <v>1</v>
      </c>
      <c r="O375" s="177">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9"/>
        <v>7.4999999999999997E-2</v>
      </c>
      <c r="K376" s="183">
        <f>SUMIFS(Table1[Horas efetivas],Table1[Tabela],Plano_V3!E376,Table1[Campo],Plano_V3!F376)</f>
        <v>0.6</v>
      </c>
      <c r="L376" s="183">
        <f t="shared" si="310"/>
        <v>7.4999999999999997E-2</v>
      </c>
      <c r="M376" s="177"/>
      <c r="N376" s="177">
        <f t="shared" si="311"/>
        <v>1</v>
      </c>
      <c r="O376" s="177">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9"/>
        <v>6.25E-2</v>
      </c>
      <c r="K377" s="183">
        <f>SUMIFS(Table1[Horas efetivas],Table1[Tabela],Plano_V3!E377,Table1[Campo],Plano_V3!F377)</f>
        <v>0.5</v>
      </c>
      <c r="L377" s="183">
        <f t="shared" si="310"/>
        <v>6.25E-2</v>
      </c>
      <c r="M377" s="177"/>
      <c r="N377" s="177">
        <f t="shared" si="311"/>
        <v>1</v>
      </c>
      <c r="O377" s="177">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9"/>
        <v>7.4999999999999997E-2</v>
      </c>
      <c r="K378" s="183">
        <f>SUMIFS(Table1[Horas efetivas],Table1[Tabela],Plano_V3!E378,Table1[Campo],Plano_V3!F378)</f>
        <v>0.6</v>
      </c>
      <c r="L378" s="183">
        <f t="shared" si="310"/>
        <v>7.4999999999999997E-2</v>
      </c>
      <c r="M378" s="177"/>
      <c r="N378" s="177">
        <f t="shared" si="311"/>
        <v>1</v>
      </c>
      <c r="O378" s="177">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9"/>
        <v>7.4999999999999997E-2</v>
      </c>
      <c r="K379" s="183">
        <f>SUMIFS(Table1[Horas efetivas],Table1[Tabela],Plano_V3!E379,Table1[Campo],Plano_V3!F379)</f>
        <v>0.6</v>
      </c>
      <c r="L379" s="183">
        <f t="shared" si="310"/>
        <v>7.4999999999999997E-2</v>
      </c>
      <c r="M379" s="177"/>
      <c r="N379" s="177">
        <f t="shared" si="311"/>
        <v>1</v>
      </c>
      <c r="O379" s="177">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9"/>
        <v>7.4999999999999997E-2</v>
      </c>
      <c r="K380" s="183">
        <f>SUMIFS(Table1[Horas efetivas],Table1[Tabela],Plano_V3!E380,Table1[Campo],Plano_V3!F380)</f>
        <v>0.6</v>
      </c>
      <c r="L380" s="183">
        <f t="shared" si="310"/>
        <v>7.4999999999999997E-2</v>
      </c>
      <c r="M380" s="177"/>
      <c r="N380" s="177">
        <f t="shared" si="311"/>
        <v>1</v>
      </c>
      <c r="O380" s="177">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9"/>
        <v>6.25E-2</v>
      </c>
      <c r="K386" s="183">
        <f>SUMIFS(Table1[Horas efetivas],Table1[Tabela],Plano_V3!E386,Table1[Campo],Plano_V3!F386)</f>
        <v>0.5</v>
      </c>
      <c r="L386" s="183">
        <f t="shared" si="310"/>
        <v>6.25E-2</v>
      </c>
      <c r="M386" s="177"/>
      <c r="N386" s="177">
        <f t="shared" si="311"/>
        <v>1</v>
      </c>
      <c r="O386" s="177">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9"/>
        <v>7.4999999999999997E-2</v>
      </c>
      <c r="K387" s="183">
        <f>SUMIFS(Table1[Horas efetivas],Table1[Tabela],Plano_V3!E387,Table1[Campo],Plano_V3!F387)</f>
        <v>0.6</v>
      </c>
      <c r="L387" s="183">
        <f t="shared" si="310"/>
        <v>7.4999999999999997E-2</v>
      </c>
      <c r="M387" s="177"/>
      <c r="N387" s="177">
        <f t="shared" si="311"/>
        <v>1</v>
      </c>
      <c r="O387" s="177">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9"/>
        <v>6.25E-2</v>
      </c>
      <c r="K388" s="183">
        <f>SUMIFS(Table1[Horas efetivas],Table1[Tabela],Plano_V3!E388,Table1[Campo],Plano_V3!F388)</f>
        <v>0.5</v>
      </c>
      <c r="L388" s="183">
        <f t="shared" si="310"/>
        <v>6.25E-2</v>
      </c>
      <c r="M388" s="177"/>
      <c r="N388" s="177">
        <f t="shared" si="311"/>
        <v>1</v>
      </c>
      <c r="O388" s="177">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9"/>
        <v>7.4999999999999997E-2</v>
      </c>
      <c r="K389" s="183">
        <f>SUMIFS(Table1[Horas efetivas],Table1[Tabela],Plano_V3!E389,Table1[Campo],Plano_V3!F389)</f>
        <v>0.6</v>
      </c>
      <c r="L389" s="183">
        <f t="shared" si="310"/>
        <v>7.4999999999999997E-2</v>
      </c>
      <c r="M389" s="177"/>
      <c r="N389" s="177">
        <f t="shared" si="311"/>
        <v>1</v>
      </c>
      <c r="O389" s="177">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9"/>
        <v>7.4999999999999997E-2</v>
      </c>
      <c r="K390" s="183">
        <f>SUMIFS(Table1[Horas efetivas],Table1[Tabela],Plano_V3!E390,Table1[Campo],Plano_V3!F390)</f>
        <v>0.6</v>
      </c>
      <c r="L390" s="183">
        <f t="shared" si="310"/>
        <v>7.4999999999999997E-2</v>
      </c>
      <c r="M390" s="177"/>
      <c r="N390" s="177">
        <f t="shared" si="311"/>
        <v>1</v>
      </c>
      <c r="O390" s="177">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9"/>
        <v>7.4999999999999997E-2</v>
      </c>
      <c r="K391" s="183">
        <f>SUMIFS(Table1[Horas efetivas],Table1[Tabela],Plano_V3!E391,Table1[Campo],Plano_V3!F391)</f>
        <v>0.6</v>
      </c>
      <c r="L391" s="183">
        <f t="shared" si="310"/>
        <v>7.4999999999999997E-2</v>
      </c>
      <c r="M391" s="177"/>
      <c r="N391" s="177">
        <f t="shared" si="311"/>
        <v>1</v>
      </c>
      <c r="O391" s="177">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9"/>
        <v>7.4999999999999997E-2</v>
      </c>
      <c r="K392" s="183">
        <f>SUMIFS(Table1[Horas efetivas],Table1[Tabela],Plano_V3!E392,Table1[Campo],Plano_V3!F392)</f>
        <v>0.6</v>
      </c>
      <c r="L392" s="183">
        <f t="shared" si="310"/>
        <v>7.4999999999999997E-2</v>
      </c>
      <c r="M392" s="177"/>
      <c r="N392" s="177">
        <f t="shared" si="311"/>
        <v>1</v>
      </c>
      <c r="O392" s="177">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9"/>
        <v>7.4999999999999997E-2</v>
      </c>
      <c r="K393" s="183">
        <f>SUMIFS(Table1[Horas efetivas],Table1[Tabela],Plano_V3!E393,Table1[Campo],Plano_V3!F393)</f>
        <v>0.6</v>
      </c>
      <c r="L393" s="183">
        <f t="shared" si="310"/>
        <v>7.4999999999999997E-2</v>
      </c>
      <c r="M393" s="177"/>
      <c r="N393" s="177">
        <f t="shared" si="311"/>
        <v>1</v>
      </c>
      <c r="O393" s="177">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9"/>
        <v>6.25E-2</v>
      </c>
      <c r="K394" s="183">
        <f>SUMIFS(Table1[Horas efetivas],Table1[Tabela],Plano_V3!E394,Table1[Campo],Plano_V3!F394)</f>
        <v>0.5</v>
      </c>
      <c r="L394" s="183">
        <f t="shared" si="310"/>
        <v>6.25E-2</v>
      </c>
      <c r="M394" s="177"/>
      <c r="N394" s="177">
        <f t="shared" si="311"/>
        <v>1</v>
      </c>
      <c r="O394" s="177">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9"/>
        <v>6.25E-2</v>
      </c>
      <c r="K395" s="183">
        <f>SUMIFS(Table1[Horas efetivas],Table1[Tabela],Plano_V3!E395,Table1[Campo],Plano_V3!F395)</f>
        <v>0.5</v>
      </c>
      <c r="L395" s="183">
        <f t="shared" si="310"/>
        <v>6.25E-2</v>
      </c>
      <c r="M395" s="177"/>
      <c r="N395" s="177">
        <f t="shared" si="311"/>
        <v>1</v>
      </c>
      <c r="O395" s="177">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9"/>
        <v>6.25E-2</v>
      </c>
      <c r="K396" s="183">
        <f>SUMIFS(Table1[Horas efetivas],Table1[Tabela],Plano_V3!E396,Table1[Campo],Plano_V3!F396)</f>
        <v>0.5</v>
      </c>
      <c r="L396" s="183">
        <f t="shared" si="310"/>
        <v>6.25E-2</v>
      </c>
      <c r="M396" s="177"/>
      <c r="N396" s="177">
        <f t="shared" si="311"/>
        <v>1</v>
      </c>
      <c r="O396" s="177">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9"/>
        <v>6.25E-2</v>
      </c>
      <c r="K397" s="183">
        <f>SUMIFS(Table1[Horas efetivas],Table1[Tabela],Plano_V3!E397,Table1[Campo],Plano_V3!F397)</f>
        <v>0.5</v>
      </c>
      <c r="L397" s="183">
        <f t="shared" si="310"/>
        <v>6.25E-2</v>
      </c>
      <c r="M397" s="177"/>
      <c r="N397" s="177">
        <f t="shared" si="311"/>
        <v>1</v>
      </c>
      <c r="O397" s="177">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9"/>
        <v>6.25E-2</v>
      </c>
      <c r="K398" s="183">
        <f>SUMIFS(Table1[Horas efetivas],Table1[Tabela],Plano_V3!E398,Table1[Campo],Plano_V3!F398)</f>
        <v>0.5</v>
      </c>
      <c r="L398" s="183">
        <f t="shared" si="310"/>
        <v>6.25E-2</v>
      </c>
      <c r="M398" s="177"/>
      <c r="N398" s="177">
        <f t="shared" si="311"/>
        <v>1</v>
      </c>
      <c r="O398" s="177">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9"/>
        <v>6.25E-2</v>
      </c>
      <c r="K399" s="183">
        <f>SUMIFS(Table1[Horas efetivas],Table1[Tabela],Plano_V3!E399,Table1[Campo],Plano_V3!F399)</f>
        <v>0.5</v>
      </c>
      <c r="L399" s="183">
        <f t="shared" si="310"/>
        <v>6.25E-2</v>
      </c>
      <c r="M399" s="177"/>
      <c r="N399" s="177">
        <f t="shared" si="311"/>
        <v>1</v>
      </c>
      <c r="O399" s="177">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9"/>
        <v>6.25E-2</v>
      </c>
      <c r="K400" s="183">
        <f>SUMIFS(Table1[Horas efetivas],Table1[Tabela],Plano_V3!E400,Table1[Campo],Plano_V3!F400)</f>
        <v>0.5</v>
      </c>
      <c r="L400" s="183">
        <f t="shared" si="310"/>
        <v>6.25E-2</v>
      </c>
      <c r="M400" s="177"/>
      <c r="N400" s="177">
        <f t="shared" si="311"/>
        <v>1</v>
      </c>
      <c r="O400" s="177">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5">I401/8</f>
        <v>6.25E-2</v>
      </c>
      <c r="K401" s="183">
        <f>SUMIFS(Table1[Horas efetivas],Table1[Tabela],Plano_V3!E401,Table1[Campo],Plano_V3!F401)</f>
        <v>0.5</v>
      </c>
      <c r="L401" s="183">
        <f t="shared" si="310"/>
        <v>6.25E-2</v>
      </c>
      <c r="M401" s="177"/>
      <c r="N401" s="177">
        <f t="shared" si="311"/>
        <v>1</v>
      </c>
      <c r="O401" s="177">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5"/>
        <v>6.25E-2</v>
      </c>
      <c r="K402" s="183">
        <f>SUMIFS(Table1[Horas efetivas],Table1[Tabela],Plano_V3!E402,Table1[Campo],Plano_V3!F402)</f>
        <v>0.5</v>
      </c>
      <c r="L402" s="183">
        <f t="shared" ref="L402:L441" si="316">K402/8</f>
        <v>6.25E-2</v>
      </c>
      <c r="M402" s="177"/>
      <c r="N402" s="177">
        <f t="shared" ref="N402:N441" si="317">L402/J402</f>
        <v>1</v>
      </c>
      <c r="O402" s="177">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5"/>
        <v>6.25E-2</v>
      </c>
      <c r="K403" s="183">
        <f>SUMIFS(Table1[Horas efetivas],Table1[Tabela],Plano_V3!E403,Table1[Campo],Plano_V3!F403)</f>
        <v>0.5</v>
      </c>
      <c r="L403" s="183">
        <f t="shared" si="316"/>
        <v>6.25E-2</v>
      </c>
      <c r="M403" s="177"/>
      <c r="N403" s="177">
        <f t="shared" si="317"/>
        <v>1</v>
      </c>
      <c r="O403" s="177">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5"/>
        <v>6.25E-2</v>
      </c>
      <c r="K404" s="183">
        <f>SUMIFS(Table1[Horas efetivas],Table1[Tabela],Plano_V3!E404,Table1[Campo],Plano_V3!F404)</f>
        <v>0.5</v>
      </c>
      <c r="L404" s="183">
        <f t="shared" si="316"/>
        <v>6.25E-2</v>
      </c>
      <c r="M404" s="177"/>
      <c r="N404" s="177">
        <f t="shared" si="317"/>
        <v>1</v>
      </c>
      <c r="O404" s="177">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5"/>
        <v>6.25E-2</v>
      </c>
      <c r="K405" s="183">
        <f>SUMIFS(Table1[Horas efetivas],Table1[Tabela],Plano_V3!E405,Table1[Campo],Plano_V3!F405)</f>
        <v>0.5</v>
      </c>
      <c r="L405" s="183">
        <f t="shared" si="316"/>
        <v>6.25E-2</v>
      </c>
      <c r="M405" s="177"/>
      <c r="N405" s="177">
        <f t="shared" si="317"/>
        <v>1</v>
      </c>
      <c r="O405" s="177">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5"/>
        <v>7.4999999999999997E-2</v>
      </c>
      <c r="K406" s="183">
        <f>SUMIFS(Table1[Horas efetivas],Table1[Tabela],Plano_V3!E406,Table1[Campo],Plano_V3!F406)</f>
        <v>0.6</v>
      </c>
      <c r="L406" s="183">
        <f t="shared" si="316"/>
        <v>7.4999999999999997E-2</v>
      </c>
      <c r="M406" s="177"/>
      <c r="N406" s="177">
        <f t="shared" si="317"/>
        <v>1</v>
      </c>
      <c r="O406" s="177">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5"/>
        <v>6.25E-2</v>
      </c>
      <c r="K407" s="183">
        <f>SUMIFS(Table1[Horas efetivas],Table1[Tabela],Plano_V3!E407,Table1[Campo],Plano_V3!F407)</f>
        <v>0.5</v>
      </c>
      <c r="L407" s="183">
        <f t="shared" si="316"/>
        <v>6.25E-2</v>
      </c>
      <c r="M407" s="177"/>
      <c r="N407" s="177">
        <f t="shared" si="317"/>
        <v>1</v>
      </c>
      <c r="O407" s="177">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5"/>
        <v>6.25E-2</v>
      </c>
      <c r="K408" s="183">
        <f>SUMIFS(Table1[Horas efetivas],Table1[Tabela],Plano_V3!E408,Table1[Campo],Plano_V3!F408)</f>
        <v>0.5</v>
      </c>
      <c r="L408" s="183">
        <f t="shared" si="316"/>
        <v>6.25E-2</v>
      </c>
      <c r="M408" s="177"/>
      <c r="N408" s="177">
        <f t="shared" si="317"/>
        <v>1</v>
      </c>
      <c r="O408" s="177">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5"/>
        <v>6.25E-2</v>
      </c>
      <c r="K409" s="183">
        <f>SUMIFS(Table1[Horas efetivas],Table1[Tabela],Plano_V3!E409,Table1[Campo],Plano_V3!F409)</f>
        <v>0.5</v>
      </c>
      <c r="L409" s="183">
        <f t="shared" si="316"/>
        <v>6.25E-2</v>
      </c>
      <c r="M409" s="177"/>
      <c r="N409" s="177">
        <f t="shared" si="317"/>
        <v>1</v>
      </c>
      <c r="O409" s="177">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5"/>
        <v>6.25E-2</v>
      </c>
      <c r="K410" s="183">
        <f>SUMIFS(Table1[Horas efetivas],Table1[Tabela],Plano_V3!E410,Table1[Campo],Plano_V3!F410)</f>
        <v>0.5</v>
      </c>
      <c r="L410" s="183">
        <f t="shared" si="316"/>
        <v>6.25E-2</v>
      </c>
      <c r="M410" s="177"/>
      <c r="N410" s="177">
        <f t="shared" si="317"/>
        <v>1</v>
      </c>
      <c r="O410" s="177">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5"/>
        <v>7.4999999999999997E-2</v>
      </c>
      <c r="K411" s="183">
        <f>SUMIFS(Table1[Horas efetivas],Table1[Tabela],Plano_V3!E411,Table1[Campo],Plano_V3!F411)</f>
        <v>0.6</v>
      </c>
      <c r="L411" s="183">
        <f t="shared" si="316"/>
        <v>7.4999999999999997E-2</v>
      </c>
      <c r="M411" s="177"/>
      <c r="N411" s="177">
        <f t="shared" si="317"/>
        <v>1</v>
      </c>
      <c r="O411" s="177">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5"/>
        <v>6.25E-2</v>
      </c>
      <c r="K412" s="183">
        <f>SUMIFS(Table1[Horas efetivas],Table1[Tabela],Plano_V3!E412,Table1[Campo],Plano_V3!F412)</f>
        <v>0.5</v>
      </c>
      <c r="L412" s="183">
        <f t="shared" si="316"/>
        <v>6.25E-2</v>
      </c>
      <c r="M412" s="177"/>
      <c r="N412" s="177">
        <f t="shared" si="317"/>
        <v>1</v>
      </c>
      <c r="O412" s="177">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5"/>
        <v>6.25E-2</v>
      </c>
      <c r="K413" s="183">
        <f>SUMIFS(Table1[Horas efetivas],Table1[Tabela],Plano_V3!E413,Table1[Campo],Plano_V3!F413)</f>
        <v>0.5</v>
      </c>
      <c r="L413" s="183">
        <f t="shared" si="316"/>
        <v>6.25E-2</v>
      </c>
      <c r="M413" s="177"/>
      <c r="N413" s="177">
        <f t="shared" si="317"/>
        <v>1</v>
      </c>
      <c r="O413" s="177">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5"/>
        <v>7.4999999999999997E-2</v>
      </c>
      <c r="K414" s="183">
        <f>SUMIFS(Table1[Horas efetivas],Table1[Tabela],Plano_V3!E414,Table1[Campo],Plano_V3!F414)</f>
        <v>0.6</v>
      </c>
      <c r="L414" s="183">
        <f t="shared" si="316"/>
        <v>7.4999999999999997E-2</v>
      </c>
      <c r="M414" s="177"/>
      <c r="N414" s="177">
        <f t="shared" si="317"/>
        <v>1</v>
      </c>
      <c r="O414" s="177">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5"/>
        <v>7.4999999999999997E-2</v>
      </c>
      <c r="K415" s="183">
        <f>SUMIFS(Table1[Horas efetivas],Table1[Tabela],Plano_V3!E415,Table1[Campo],Plano_V3!F415)</f>
        <v>0.6</v>
      </c>
      <c r="L415" s="183">
        <f t="shared" si="316"/>
        <v>7.4999999999999997E-2</v>
      </c>
      <c r="M415" s="177"/>
      <c r="N415" s="177">
        <f t="shared" si="317"/>
        <v>1</v>
      </c>
      <c r="O415" s="177">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5"/>
        <v>7.4999999999999997E-2</v>
      </c>
      <c r="K416" s="183">
        <f>SUMIFS(Table1[Horas efetivas],Table1[Tabela],Plano_V3!E416,Table1[Campo],Plano_V3!F416)</f>
        <v>0.6</v>
      </c>
      <c r="L416" s="183">
        <f t="shared" si="316"/>
        <v>7.4999999999999997E-2</v>
      </c>
      <c r="M416" s="177"/>
      <c r="N416" s="177">
        <f t="shared" si="317"/>
        <v>1</v>
      </c>
      <c r="O416" s="177">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21">I417/8</f>
        <v>6.25E-2</v>
      </c>
      <c r="K417" s="183">
        <f>SUMIFS(Table1[Horas efetivas],Table1[Tabela],Plano_V3!E417,Table1[Campo],Plano_V3!F417)</f>
        <v>0</v>
      </c>
      <c r="L417" s="183">
        <f t="shared" ref="L417:L423" si="322">K417/8</f>
        <v>0</v>
      </c>
      <c r="M417" s="177"/>
      <c r="N417" s="177">
        <f t="shared" ref="N417:N423" si="323">L417/J417</f>
        <v>0</v>
      </c>
      <c r="O417" s="177">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21"/>
        <v>6.25E-2</v>
      </c>
      <c r="K418" s="183">
        <f>SUMIFS(Table1[Horas efetivas],Table1[Tabela],Plano_V3!E418,Table1[Campo],Plano_V3!F418)</f>
        <v>0</v>
      </c>
      <c r="L418" s="183">
        <f t="shared" si="322"/>
        <v>0</v>
      </c>
      <c r="M418" s="177"/>
      <c r="N418" s="177">
        <f t="shared" si="323"/>
        <v>0</v>
      </c>
      <c r="O418" s="177">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21"/>
        <v>6.25E-2</v>
      </c>
      <c r="K419" s="183">
        <f>SUMIFS(Table1[Horas efetivas],Table1[Tabela],Plano_V3!E419,Table1[Campo],Plano_V3!F419)</f>
        <v>0</v>
      </c>
      <c r="L419" s="183">
        <f t="shared" si="322"/>
        <v>0</v>
      </c>
      <c r="M419" s="177"/>
      <c r="N419" s="177">
        <f t="shared" si="323"/>
        <v>0</v>
      </c>
      <c r="O419" s="177">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21"/>
        <v>6.25E-2</v>
      </c>
      <c r="K420" s="183">
        <f>SUMIFS(Table1[Horas efetivas],Table1[Tabela],Plano_V3!E420,Table1[Campo],Plano_V3!F420)</f>
        <v>0</v>
      </c>
      <c r="L420" s="183">
        <f t="shared" si="322"/>
        <v>0</v>
      </c>
      <c r="M420" s="177"/>
      <c r="N420" s="177">
        <f t="shared" si="323"/>
        <v>0</v>
      </c>
      <c r="O420" s="177">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21"/>
        <v>6.25E-2</v>
      </c>
      <c r="K421" s="183">
        <f>SUMIFS(Table1[Horas efetivas],Table1[Tabela],Plano_V3!E421,Table1[Campo],Plano_V3!F421)</f>
        <v>0</v>
      </c>
      <c r="L421" s="183">
        <f t="shared" si="322"/>
        <v>0</v>
      </c>
      <c r="M421" s="177"/>
      <c r="N421" s="177">
        <f t="shared" si="323"/>
        <v>0</v>
      </c>
      <c r="O421" s="177">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21"/>
        <v>6.25E-2</v>
      </c>
      <c r="K422" s="183">
        <f>SUMIFS(Table1[Horas efetivas],Table1[Tabela],Plano_V3!E422,Table1[Campo],Plano_V3!F422)</f>
        <v>0</v>
      </c>
      <c r="L422" s="183">
        <f t="shared" si="322"/>
        <v>0</v>
      </c>
      <c r="M422" s="177"/>
      <c r="N422" s="177">
        <f t="shared" si="323"/>
        <v>0</v>
      </c>
      <c r="O422" s="177">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21"/>
        <v>6.25E-2</v>
      </c>
      <c r="K423" s="183">
        <f>SUMIFS(Table1[Horas efetivas],Table1[Tabela],Plano_V3!E423,Table1[Campo],Plano_V3!F423)</f>
        <v>0</v>
      </c>
      <c r="L423" s="183">
        <f t="shared" si="322"/>
        <v>0</v>
      </c>
      <c r="M423" s="177"/>
      <c r="N423" s="177">
        <f t="shared" si="323"/>
        <v>0</v>
      </c>
      <c r="O423" s="177">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5"/>
        <v>6.25E-2</v>
      </c>
      <c r="K424" s="183">
        <f>SUMIFS(Table1[Horas efetivas],Table1[Tabela],Plano_V3!E424,Table1[Campo],Plano_V3!F424)</f>
        <v>0.5</v>
      </c>
      <c r="L424" s="183">
        <f t="shared" si="316"/>
        <v>6.25E-2</v>
      </c>
      <c r="M424" s="177"/>
      <c r="N424" s="177">
        <f t="shared" si="317"/>
        <v>1</v>
      </c>
      <c r="O424" s="177">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5"/>
        <v>6.25E-2</v>
      </c>
      <c r="K425" s="183">
        <f>SUMIFS(Table1[Horas efetivas],Table1[Tabela],Plano_V3!E425,Table1[Campo],Plano_V3!F425)</f>
        <v>0.5</v>
      </c>
      <c r="L425" s="183">
        <f t="shared" si="316"/>
        <v>6.25E-2</v>
      </c>
      <c r="M425" s="177"/>
      <c r="N425" s="177">
        <f t="shared" si="317"/>
        <v>1</v>
      </c>
      <c r="O425" s="177">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5"/>
        <v>6.25E-2</v>
      </c>
      <c r="K426" s="183">
        <f>SUMIFS(Table1[Horas efetivas],Table1[Tabela],Plano_V3!E426,Table1[Campo],Plano_V3!F426)</f>
        <v>0.5</v>
      </c>
      <c r="L426" s="183">
        <f t="shared" si="316"/>
        <v>6.25E-2</v>
      </c>
      <c r="M426" s="177"/>
      <c r="N426" s="177">
        <f t="shared" si="317"/>
        <v>1</v>
      </c>
      <c r="O426" s="177">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5"/>
        <v>6.25E-2</v>
      </c>
      <c r="K427" s="183">
        <f>SUMIFS(Table1[Horas efetivas],Table1[Tabela],Plano_V3!E427,Table1[Campo],Plano_V3!F427)</f>
        <v>0.5</v>
      </c>
      <c r="L427" s="183">
        <f t="shared" si="316"/>
        <v>6.25E-2</v>
      </c>
      <c r="M427" s="177"/>
      <c r="N427" s="177">
        <f t="shared" si="317"/>
        <v>1</v>
      </c>
      <c r="O427" s="177">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5"/>
        <v>0.125</v>
      </c>
      <c r="K428" s="183">
        <f>SUMIFS(Table1[Horas efetivas],Table1[Tabela],Plano_V3!E428,Table1[Campo],Plano_V3!F428)</f>
        <v>1</v>
      </c>
      <c r="L428" s="183">
        <f t="shared" si="316"/>
        <v>0.125</v>
      </c>
      <c r="M428" s="177"/>
      <c r="N428" s="177">
        <f t="shared" si="317"/>
        <v>1</v>
      </c>
      <c r="O428" s="177">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5"/>
        <v>6.25E-2</v>
      </c>
      <c r="K429" s="183">
        <f>SUMIFS(Table1[Horas efetivas],Table1[Tabela],Plano_V3!E429,Table1[Campo],Plano_V3!F429)</f>
        <v>0.5</v>
      </c>
      <c r="L429" s="183">
        <f t="shared" si="316"/>
        <v>6.25E-2</v>
      </c>
      <c r="M429" s="177"/>
      <c r="N429" s="177">
        <f t="shared" si="317"/>
        <v>1</v>
      </c>
      <c r="O429" s="177">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5"/>
        <v>6.25E-2</v>
      </c>
      <c r="K430" s="183">
        <f>SUMIFS(Table1[Horas efetivas],Table1[Tabela],Plano_V3!E430,Table1[Campo],Plano_V3!F430)</f>
        <v>0.5</v>
      </c>
      <c r="L430" s="183">
        <f t="shared" si="316"/>
        <v>6.25E-2</v>
      </c>
      <c r="M430" s="177"/>
      <c r="N430" s="177">
        <f t="shared" si="317"/>
        <v>1</v>
      </c>
      <c r="O430" s="177">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5"/>
        <v>6.25E-2</v>
      </c>
      <c r="K431" s="183">
        <f>SUMIFS(Table1[Horas efetivas],Table1[Tabela],Plano_V3!E431,Table1[Campo],Plano_V3!F431)</f>
        <v>0.5</v>
      </c>
      <c r="L431" s="183">
        <f t="shared" si="316"/>
        <v>6.25E-2</v>
      </c>
      <c r="M431" s="177"/>
      <c r="N431" s="177">
        <f t="shared" si="317"/>
        <v>1</v>
      </c>
      <c r="O431" s="177">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5"/>
        <v>6.25E-2</v>
      </c>
      <c r="K432" s="183">
        <f>SUMIFS(Table1[Horas efetivas],Table1[Tabela],Plano_V3!E432,Table1[Campo],Plano_V3!F432)</f>
        <v>0.5</v>
      </c>
      <c r="L432" s="183">
        <f t="shared" si="316"/>
        <v>6.25E-2</v>
      </c>
      <c r="M432" s="177"/>
      <c r="N432" s="177">
        <f t="shared" si="317"/>
        <v>1</v>
      </c>
      <c r="O432" s="177">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5"/>
        <v>6.25E-2</v>
      </c>
      <c r="K433" s="183">
        <f>SUMIFS(Table1[Horas efetivas],Table1[Tabela],Plano_V3!E433,Table1[Campo],Plano_V3!F433)</f>
        <v>0</v>
      </c>
      <c r="L433" s="183">
        <f t="shared" si="316"/>
        <v>0</v>
      </c>
      <c r="M433" s="177"/>
      <c r="N433" s="177">
        <f t="shared" si="317"/>
        <v>0</v>
      </c>
      <c r="O433" s="177">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5"/>
        <v>6.25E-2</v>
      </c>
      <c r="K434" s="183">
        <f>SUMIFS(Table1[Horas efetivas],Table1[Tabela],Plano_V3!E434,Table1[Campo],Plano_V3!F434)</f>
        <v>0.5</v>
      </c>
      <c r="L434" s="183">
        <f t="shared" si="316"/>
        <v>6.25E-2</v>
      </c>
      <c r="M434" s="177"/>
      <c r="N434" s="177">
        <f t="shared" si="317"/>
        <v>1</v>
      </c>
      <c r="O434" s="177">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5"/>
        <v>6.25E-2</v>
      </c>
      <c r="K435" s="183">
        <f>SUMIFS(Table1[Horas efetivas],Table1[Tabela],Plano_V3!E435,Table1[Campo],Plano_V3!F435)</f>
        <v>0.5</v>
      </c>
      <c r="L435" s="183">
        <f t="shared" si="316"/>
        <v>6.25E-2</v>
      </c>
      <c r="M435" s="177"/>
      <c r="N435" s="177">
        <f t="shared" si="317"/>
        <v>1</v>
      </c>
      <c r="O435" s="177">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5"/>
        <v>6.25E-2</v>
      </c>
      <c r="K436" s="183">
        <f>SUMIFS(Table1[Horas efetivas],Table1[Tabela],Plano_V3!E436,Table1[Campo],Plano_V3!F436)</f>
        <v>0.5</v>
      </c>
      <c r="L436" s="183">
        <f t="shared" si="316"/>
        <v>6.25E-2</v>
      </c>
      <c r="M436" s="177"/>
      <c r="N436" s="177">
        <f t="shared" si="317"/>
        <v>1</v>
      </c>
      <c r="O436" s="177">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5"/>
        <v>6.25E-2</v>
      </c>
      <c r="K437" s="183">
        <f>SUMIFS(Table1[Horas efetivas],Table1[Tabela],Plano_V3!E437,Table1[Campo],Plano_V3!F437)</f>
        <v>0.5</v>
      </c>
      <c r="L437" s="183">
        <f t="shared" si="316"/>
        <v>6.25E-2</v>
      </c>
      <c r="M437" s="177"/>
      <c r="N437" s="177">
        <f t="shared" si="317"/>
        <v>1</v>
      </c>
      <c r="O437" s="177">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5"/>
        <v>6.25E-2</v>
      </c>
      <c r="K438" s="183">
        <f>SUMIFS(Table1[Horas efetivas],Table1[Tabela],Plano_V3!E438,Table1[Campo],Plano_V3!F438)</f>
        <v>0.5</v>
      </c>
      <c r="L438" s="183">
        <f t="shared" si="316"/>
        <v>6.25E-2</v>
      </c>
      <c r="M438" s="177"/>
      <c r="N438" s="177">
        <f t="shared" si="317"/>
        <v>1</v>
      </c>
      <c r="O438" s="177">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5"/>
        <v>6.25E-2</v>
      </c>
      <c r="K439" s="183">
        <f>SUMIFS(Table1[Horas efetivas],Table1[Tabela],Plano_V3!E439,Table1[Campo],Plano_V3!F439)</f>
        <v>0.5</v>
      </c>
      <c r="L439" s="183">
        <f t="shared" si="316"/>
        <v>6.25E-2</v>
      </c>
      <c r="M439" s="177"/>
      <c r="N439" s="177">
        <f t="shared" si="317"/>
        <v>1</v>
      </c>
      <c r="O439" s="177">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5"/>
        <v>7.4999999999999997E-2</v>
      </c>
      <c r="K440" s="183">
        <f>SUMIFS(Table1[Horas efetivas],Table1[Tabela],Plano_V3!E440,Table1[Campo],Plano_V3!F440)</f>
        <v>0.6</v>
      </c>
      <c r="L440" s="183">
        <f t="shared" si="316"/>
        <v>7.4999999999999997E-2</v>
      </c>
      <c r="M440" s="177"/>
      <c r="N440" s="177">
        <f t="shared" si="317"/>
        <v>1</v>
      </c>
      <c r="O440" s="177">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5"/>
        <v>7.4999999999999997E-2</v>
      </c>
      <c r="K441" s="183">
        <f>SUMIFS(Table1[Horas efetivas],Table1[Tabela],Plano_V3!E441,Table1[Campo],Plano_V3!F441)</f>
        <v>0.6</v>
      </c>
      <c r="L441" s="183">
        <f t="shared" si="316"/>
        <v>7.4999999999999997E-2</v>
      </c>
      <c r="M441" s="177"/>
      <c r="N441" s="177">
        <f t="shared" si="317"/>
        <v>1</v>
      </c>
      <c r="O441" s="177">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7">I442/8</f>
        <v>#N/A</v>
      </c>
      <c r="K442" s="183" t="e">
        <f>SUMIFS(Table1[Horas efetivas],Table1[Tabela],Plano_V3!E442,Table1[Campo],Plano_V3!F442)</f>
        <v>#N/A</v>
      </c>
      <c r="L442" s="183" t="e">
        <f t="shared" ref="L442:L450" si="328">K442/8</f>
        <v>#N/A</v>
      </c>
      <c r="M442" s="177"/>
      <c r="N442" s="177" t="e">
        <f t="shared" ref="N442:N450" si="329">L442/J442</f>
        <v>#N/A</v>
      </c>
      <c r="O442" s="177"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3" t="e">
        <f>SUMIFS(Table1[Estimação (horas)],Table1[Tabela],Plano_V3!E443,Table1[Campo],Plano_V3!F443)</f>
        <v>#N/A</v>
      </c>
      <c r="J443" s="183" t="e">
        <f t="shared" si="327"/>
        <v>#N/A</v>
      </c>
      <c r="K443" s="183" t="e">
        <f>SUMIFS(Table1[Horas efetivas],Table1[Tabela],Plano_V3!E443,Table1[Campo],Plano_V3!F443)</f>
        <v>#N/A</v>
      </c>
      <c r="L443" s="183" t="e">
        <f t="shared" si="328"/>
        <v>#N/A</v>
      </c>
      <c r="M443" s="177"/>
      <c r="N443" s="177" t="e">
        <f t="shared" si="329"/>
        <v>#N/A</v>
      </c>
      <c r="O443" s="177"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3" t="e">
        <f>SUMIFS(Table1[Estimação (horas)],Table1[Tabela],Plano_V3!E444,Table1[Campo],Plano_V3!F444)</f>
        <v>#N/A</v>
      </c>
      <c r="J444" s="183" t="e">
        <f t="shared" si="327"/>
        <v>#N/A</v>
      </c>
      <c r="K444" s="183" t="e">
        <f>SUMIFS(Table1[Horas efetivas],Table1[Tabela],Plano_V3!E444,Table1[Campo],Plano_V3!F444)</f>
        <v>#N/A</v>
      </c>
      <c r="L444" s="183" t="e">
        <f t="shared" si="328"/>
        <v>#N/A</v>
      </c>
      <c r="M444" s="177"/>
      <c r="N444" s="177" t="e">
        <f t="shared" si="329"/>
        <v>#N/A</v>
      </c>
      <c r="O444" s="177"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3" t="e">
        <f>SUMIFS(Table1[Estimação (horas)],Table1[Tabela],Plano_V3!E445,Table1[Campo],Plano_V3!F445)</f>
        <v>#N/A</v>
      </c>
      <c r="J445" s="183" t="e">
        <f t="shared" si="327"/>
        <v>#N/A</v>
      </c>
      <c r="K445" s="183" t="e">
        <f>SUMIFS(Table1[Horas efetivas],Table1[Tabela],Plano_V3!E445,Table1[Campo],Plano_V3!F445)</f>
        <v>#N/A</v>
      </c>
      <c r="L445" s="183" t="e">
        <f t="shared" si="328"/>
        <v>#N/A</v>
      </c>
      <c r="M445" s="177"/>
      <c r="N445" s="177" t="e">
        <f t="shared" si="329"/>
        <v>#N/A</v>
      </c>
      <c r="O445" s="177"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3" t="e">
        <f>SUMIFS(Table1[Estimação (horas)],Table1[Tabela],Plano_V3!E446,Table1[Campo],Plano_V3!F446)</f>
        <v>#N/A</v>
      </c>
      <c r="J446" s="183" t="e">
        <f t="shared" si="327"/>
        <v>#N/A</v>
      </c>
      <c r="K446" s="183" t="e">
        <f>SUMIFS(Table1[Horas efetivas],Table1[Tabela],Plano_V3!E446,Table1[Campo],Plano_V3!F446)</f>
        <v>#N/A</v>
      </c>
      <c r="L446" s="183" t="e">
        <f t="shared" si="328"/>
        <v>#N/A</v>
      </c>
      <c r="M446" s="177"/>
      <c r="N446" s="177" t="e">
        <f t="shared" si="329"/>
        <v>#N/A</v>
      </c>
      <c r="O446" s="177"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3" t="e">
        <f>SUMIFS(Table1[Estimação (horas)],Table1[Tabela],Plano_V3!E447,Table1[Campo],Plano_V3!F447)</f>
        <v>#N/A</v>
      </c>
      <c r="J447" s="183" t="e">
        <f t="shared" si="327"/>
        <v>#N/A</v>
      </c>
      <c r="K447" s="183" t="e">
        <f>SUMIFS(Table1[Horas efetivas],Table1[Tabela],Plano_V3!E447,Table1[Campo],Plano_V3!F447)</f>
        <v>#N/A</v>
      </c>
      <c r="L447" s="183" t="e">
        <f t="shared" si="328"/>
        <v>#N/A</v>
      </c>
      <c r="M447" s="177"/>
      <c r="N447" s="177" t="e">
        <f t="shared" si="329"/>
        <v>#N/A</v>
      </c>
      <c r="O447" s="177"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3" t="e">
        <f>SUMIFS(Table1[Estimação (horas)],Table1[Tabela],Plano_V3!E448,Table1[Campo],Plano_V3!F448)</f>
        <v>#N/A</v>
      </c>
      <c r="J448" s="183" t="e">
        <f t="shared" si="327"/>
        <v>#N/A</v>
      </c>
      <c r="K448" s="183" t="e">
        <f>SUMIFS(Table1[Horas efetivas],Table1[Tabela],Plano_V3!E448,Table1[Campo],Plano_V3!F448)</f>
        <v>#N/A</v>
      </c>
      <c r="L448" s="183" t="e">
        <f t="shared" si="328"/>
        <v>#N/A</v>
      </c>
      <c r="M448" s="177"/>
      <c r="N448" s="177" t="e">
        <f t="shared" si="329"/>
        <v>#N/A</v>
      </c>
      <c r="O448" s="177"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3" t="e">
        <f>SUMIFS(Table1[Estimação (horas)],Table1[Tabela],Plano_V3!E449,Table1[Campo],Plano_V3!F449)</f>
        <v>#N/A</v>
      </c>
      <c r="J449" s="183" t="e">
        <f t="shared" si="327"/>
        <v>#N/A</v>
      </c>
      <c r="K449" s="183" t="e">
        <f>SUMIFS(Table1[Horas efetivas],Table1[Tabela],Plano_V3!E449,Table1[Campo],Plano_V3!F449)</f>
        <v>#N/A</v>
      </c>
      <c r="L449" s="183" t="e">
        <f t="shared" si="328"/>
        <v>#N/A</v>
      </c>
      <c r="M449" s="177"/>
      <c r="N449" s="177" t="e">
        <f t="shared" si="329"/>
        <v>#N/A</v>
      </c>
      <c r="O449" s="177"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3" t="e">
        <f>SUMIFS(Table1[Estimação (horas)],Table1[Tabela],Plano_V3!E450,Table1[Campo],Plano_V3!F450)</f>
        <v>#N/A</v>
      </c>
      <c r="J450" s="183" t="e">
        <f t="shared" si="327"/>
        <v>#N/A</v>
      </c>
      <c r="K450" s="183">
        <f>SUMIFS(Table1[Horas efetivas],Table1[Tabela],Plano_V3!E450,Table1[Campo],Plano_V3!F450)</f>
        <v>0</v>
      </c>
      <c r="L450" s="183">
        <f t="shared" si="328"/>
        <v>0</v>
      </c>
      <c r="M450" s="177"/>
      <c r="N450" s="177" t="e">
        <f t="shared" si="329"/>
        <v>#N/A</v>
      </c>
      <c r="O450" s="177"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9"/>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31">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8"/>
        <v>#N/A</v>
      </c>
      <c r="P452" s="188"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32">I453/8</f>
        <v>1</v>
      </c>
      <c r="K453" s="183">
        <f>SUMIFS(Table1[Horas efetivas],Table1[Tabela],Plano_V3!E453,Table1[Campo],Plano_V3!F453)</f>
        <v>8</v>
      </c>
      <c r="L453" s="183">
        <f t="shared" ref="L453:L538" si="333">K453/8</f>
        <v>1</v>
      </c>
      <c r="M453" s="177"/>
      <c r="N453" s="177">
        <f t="shared" ref="N453:N538" si="334">L453/J453</f>
        <v>1</v>
      </c>
      <c r="O453" s="177">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32"/>
        <v>0.51249999999999996</v>
      </c>
      <c r="K454" s="183">
        <f>SUMIFS(Table1[Horas efetivas],Table1[Tabela],Plano_V3!E454,Table1[Campo],Plano_V3!F454)</f>
        <v>4.0999999999999996</v>
      </c>
      <c r="L454" s="183">
        <f t="shared" si="333"/>
        <v>0.51249999999999996</v>
      </c>
      <c r="M454" s="177"/>
      <c r="N454" s="177">
        <f t="shared" si="334"/>
        <v>1</v>
      </c>
      <c r="O454" s="177">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32"/>
        <v>0.51249999999999996</v>
      </c>
      <c r="K455" s="183">
        <f>SUMIFS(Table1[Horas efetivas],Table1[Tabela],Plano_V3!E455,Table1[Campo],Plano_V3!F455)</f>
        <v>4.0999999999999996</v>
      </c>
      <c r="L455" s="183">
        <f t="shared" si="333"/>
        <v>0.51249999999999996</v>
      </c>
      <c r="M455" s="177"/>
      <c r="N455" s="177">
        <f t="shared" si="334"/>
        <v>1</v>
      </c>
      <c r="O455" s="177">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32"/>
        <v>0.51249999999999996</v>
      </c>
      <c r="K456" s="183">
        <f>SUMIFS(Table1[Horas efetivas],Table1[Tabela],Plano_V3!E456,Table1[Campo],Plano_V3!F456)</f>
        <v>4.0999999999999996</v>
      </c>
      <c r="L456" s="183">
        <f t="shared" si="333"/>
        <v>0.51249999999999996</v>
      </c>
      <c r="M456" s="177"/>
      <c r="N456" s="177">
        <f t="shared" si="334"/>
        <v>1</v>
      </c>
      <c r="O456" s="177">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32"/>
        <v>0.51249999999999996</v>
      </c>
      <c r="K457" s="183">
        <f>SUMIFS(Table1[Horas efetivas],Table1[Tabela],Plano_V3!E457,Table1[Campo],Plano_V3!F457)</f>
        <v>4.0999999999999996</v>
      </c>
      <c r="L457" s="183">
        <f t="shared" si="333"/>
        <v>0.51249999999999996</v>
      </c>
      <c r="M457" s="177"/>
      <c r="N457" s="177">
        <f t="shared" si="334"/>
        <v>1</v>
      </c>
      <c r="O457" s="177">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3">
        <f>SUMIFS(Table1[Estimação (horas)],Table1[Tabela],Plano_V3!E458,Table1[Campo],Plano_V3!F458)</f>
        <v>16.100000000000001</v>
      </c>
      <c r="J458" s="183">
        <f t="shared" si="332"/>
        <v>2.0125000000000002</v>
      </c>
      <c r="K458" s="183">
        <f>SUMIFS(Table1[Horas efetivas],Table1[Tabela],Plano_V3!E458,Table1[Campo],Plano_V3!F458)</f>
        <v>16.100000000000001</v>
      </c>
      <c r="L458" s="183">
        <f t="shared" si="333"/>
        <v>2.0125000000000002</v>
      </c>
      <c r="M458" s="177"/>
      <c r="N458" s="177">
        <f t="shared" si="334"/>
        <v>1</v>
      </c>
      <c r="O458" s="177">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3">
        <f>SUMIFS(Table1[Estimação (horas)],Table1[Tabela],Plano_V3!E459,Table1[Campo],Plano_V3!F459)</f>
        <v>16.100000000000001</v>
      </c>
      <c r="J459" s="183">
        <f t="shared" si="332"/>
        <v>2.0125000000000002</v>
      </c>
      <c r="K459" s="183">
        <f>SUMIFS(Table1[Horas efetivas],Table1[Tabela],Plano_V3!E459,Table1[Campo],Plano_V3!F459)</f>
        <v>16.100000000000001</v>
      </c>
      <c r="L459" s="183">
        <f t="shared" si="333"/>
        <v>2.0125000000000002</v>
      </c>
      <c r="M459" s="177"/>
      <c r="N459" s="177">
        <f t="shared" si="334"/>
        <v>1</v>
      </c>
      <c r="O459" s="177">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3">
        <f>SUMIFS(Table1[Estimação (horas)],Table1[Tabela],Plano_V3!E460,Table1[Campo],Plano_V3!F460)</f>
        <v>4.0999999999999996</v>
      </c>
      <c r="J460" s="183">
        <f t="shared" si="332"/>
        <v>0.51249999999999996</v>
      </c>
      <c r="K460" s="183">
        <f>SUMIFS(Table1[Horas efetivas],Table1[Tabela],Plano_V3!E460,Table1[Campo],Plano_V3!F460)</f>
        <v>4.0999999999999996</v>
      </c>
      <c r="L460" s="183">
        <f t="shared" si="333"/>
        <v>0.51249999999999996</v>
      </c>
      <c r="M460" s="177"/>
      <c r="N460" s="177">
        <f t="shared" si="334"/>
        <v>1</v>
      </c>
      <c r="O460" s="177">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3">
        <f>SUMIFS(Table1[Estimação (horas)],Table1[Tabela],Plano_V3!E461,Table1[Campo],Plano_V3!F461)</f>
        <v>4.0999999999999996</v>
      </c>
      <c r="J461" s="183">
        <f t="shared" si="332"/>
        <v>0.51249999999999996</v>
      </c>
      <c r="K461" s="183">
        <f>SUMIFS(Table1[Horas efetivas],Table1[Tabela],Plano_V3!E461,Table1[Campo],Plano_V3!F461)</f>
        <v>4.0999999999999996</v>
      </c>
      <c r="L461" s="183">
        <f t="shared" si="333"/>
        <v>0.51249999999999996</v>
      </c>
      <c r="M461" s="177"/>
      <c r="N461" s="177">
        <f t="shared" si="334"/>
        <v>1</v>
      </c>
      <c r="O461" s="177">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32"/>
        <v>0.51249999999999996</v>
      </c>
      <c r="K462" s="183">
        <f>SUMIFS(Table1[Horas efetivas],Table1[Tabela],Plano_V3!E462,Table1[Campo],Plano_V3!F462)</f>
        <v>4.0999999999999996</v>
      </c>
      <c r="L462" s="183">
        <f t="shared" si="333"/>
        <v>0.51249999999999996</v>
      </c>
      <c r="M462" s="177"/>
      <c r="N462" s="177">
        <f t="shared" si="334"/>
        <v>1</v>
      </c>
      <c r="O462" s="177">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32"/>
        <v>0.51249999999999996</v>
      </c>
      <c r="K463" s="183">
        <f>SUMIFS(Table1[Horas efetivas],Table1[Tabela],Plano_V3!E463,Table1[Campo],Plano_V3!F463)</f>
        <v>4.0999999999999996</v>
      </c>
      <c r="L463" s="183">
        <f t="shared" si="333"/>
        <v>0.51249999999999996</v>
      </c>
      <c r="M463" s="177"/>
      <c r="N463" s="177">
        <f t="shared" si="334"/>
        <v>1</v>
      </c>
      <c r="O463" s="177">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32"/>
        <v>0.51249999999999996</v>
      </c>
      <c r="K464" s="183">
        <f>SUMIFS(Table1[Horas efetivas],Table1[Tabela],Plano_V3!E464,Table1[Campo],Plano_V3!F464)</f>
        <v>4.0999999999999996</v>
      </c>
      <c r="L464" s="183">
        <f t="shared" si="333"/>
        <v>0.51249999999999996</v>
      </c>
      <c r="M464" s="177"/>
      <c r="N464" s="177">
        <f t="shared" si="334"/>
        <v>1</v>
      </c>
      <c r="O464" s="177">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32"/>
        <v>0.51249999999999996</v>
      </c>
      <c r="K465" s="183">
        <f>SUMIFS(Table1[Horas efetivas],Table1[Tabela],Plano_V3!E465,Table1[Campo],Plano_V3!F465)</f>
        <v>4.0999999999999996</v>
      </c>
      <c r="L465" s="183">
        <f t="shared" si="333"/>
        <v>0.51249999999999996</v>
      </c>
      <c r="M465" s="177"/>
      <c r="N465" s="177">
        <f t="shared" si="334"/>
        <v>1</v>
      </c>
      <c r="O465" s="177">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32"/>
        <v>1.0125</v>
      </c>
      <c r="K466" s="183">
        <f>SUMIFS(Table1[Horas efetivas],Table1[Tabela],Plano_V3!E466,Table1[Campo],Plano_V3!F466)</f>
        <v>8.1</v>
      </c>
      <c r="L466" s="183">
        <f t="shared" si="333"/>
        <v>1.0125</v>
      </c>
      <c r="M466" s="177"/>
      <c r="N466" s="177">
        <f t="shared" si="334"/>
        <v>1</v>
      </c>
      <c r="O466" s="177">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32"/>
        <v>1.0125</v>
      </c>
      <c r="K467" s="183">
        <f>SUMIFS(Table1[Horas efetivas],Table1[Tabela],Plano_V3!E467,Table1[Campo],Plano_V3!F467)</f>
        <v>8.1</v>
      </c>
      <c r="L467" s="183">
        <f t="shared" si="333"/>
        <v>1.0125</v>
      </c>
      <c r="M467" s="177"/>
      <c r="N467" s="177">
        <f t="shared" si="334"/>
        <v>1</v>
      </c>
      <c r="O467" s="177">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32"/>
        <v>0.51249999999999996</v>
      </c>
      <c r="K468" s="183">
        <f>SUMIFS(Table1[Horas efetivas],Table1[Tabela],Plano_V3!E468,Table1[Campo],Plano_V3!F468)</f>
        <v>4.0999999999999996</v>
      </c>
      <c r="L468" s="183">
        <f t="shared" si="333"/>
        <v>0.51249999999999996</v>
      </c>
      <c r="M468" s="177"/>
      <c r="N468" s="177">
        <f t="shared" si="334"/>
        <v>1</v>
      </c>
      <c r="O468" s="177">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32"/>
        <v>0.51249999999999996</v>
      </c>
      <c r="K469" s="183">
        <f>SUMIFS(Table1[Horas efetivas],Table1[Tabela],Plano_V3!E469,Table1[Campo],Plano_V3!F469)</f>
        <v>4.0999999999999996</v>
      </c>
      <c r="L469" s="183">
        <f t="shared" si="333"/>
        <v>0.51249999999999996</v>
      </c>
      <c r="M469" s="177"/>
      <c r="N469" s="177">
        <f t="shared" si="334"/>
        <v>1</v>
      </c>
      <c r="O469" s="177">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32"/>
        <v>0.51249999999999996</v>
      </c>
      <c r="K470" s="183">
        <f>SUMIFS(Table1[Horas efetivas],Table1[Tabela],Plano_V3!E470,Table1[Campo],Plano_V3!F470)</f>
        <v>4.0999999999999996</v>
      </c>
      <c r="L470" s="183">
        <f t="shared" si="333"/>
        <v>0.51249999999999996</v>
      </c>
      <c r="M470" s="177"/>
      <c r="N470" s="177">
        <f t="shared" si="334"/>
        <v>1</v>
      </c>
      <c r="O470" s="177">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32"/>
        <v>0.51249999999999996</v>
      </c>
      <c r="K471" s="183">
        <f>SUMIFS(Table1[Horas efetivas],Table1[Tabela],Plano_V3!E471,Table1[Campo],Plano_V3!F471)</f>
        <v>4.0999999999999996</v>
      </c>
      <c r="L471" s="183">
        <f t="shared" si="333"/>
        <v>0.51249999999999996</v>
      </c>
      <c r="M471" s="177"/>
      <c r="N471" s="177">
        <f t="shared" si="334"/>
        <v>1</v>
      </c>
      <c r="O471" s="177">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32"/>
        <v>1</v>
      </c>
      <c r="K472" s="183">
        <f>SUMIFS(Table1[Horas efetivas],Table1[Tabela],Plano_V3!E472,Table1[Campo],Plano_V3!F472)</f>
        <v>8</v>
      </c>
      <c r="L472" s="183">
        <f t="shared" si="333"/>
        <v>1</v>
      </c>
      <c r="M472" s="177"/>
      <c r="N472" s="177">
        <f t="shared" si="334"/>
        <v>1</v>
      </c>
      <c r="O472" s="177">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32"/>
        <v>2.0125000000000002</v>
      </c>
      <c r="K473" s="183">
        <f>SUMIFS(Table1[Horas efetivas],Table1[Tabela],Plano_V3!E473,Table1[Campo],Plano_V3!F473)</f>
        <v>16.100000000000001</v>
      </c>
      <c r="L473" s="183">
        <f t="shared" si="333"/>
        <v>2.0125000000000002</v>
      </c>
      <c r="M473" s="177"/>
      <c r="N473" s="177">
        <f t="shared" si="334"/>
        <v>1</v>
      </c>
      <c r="O473" s="177">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32"/>
        <v>2.0125000000000002</v>
      </c>
      <c r="K474" s="183">
        <f>SUMIFS(Table1[Horas efetivas],Table1[Tabela],Plano_V3!E474,Table1[Campo],Plano_V3!F474)</f>
        <v>16.100000000000001</v>
      </c>
      <c r="L474" s="183">
        <f t="shared" si="333"/>
        <v>2.0125000000000002</v>
      </c>
      <c r="M474" s="177"/>
      <c r="N474" s="177">
        <f t="shared" si="334"/>
        <v>1</v>
      </c>
      <c r="O474" s="177">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32"/>
        <v>2.0125000000000002</v>
      </c>
      <c r="K475" s="183">
        <f>SUMIFS(Table1[Horas efetivas],Table1[Tabela],Plano_V3!E475,Table1[Campo],Plano_V3!F475)</f>
        <v>16.100000000000001</v>
      </c>
      <c r="L475" s="183">
        <f t="shared" si="333"/>
        <v>2.0125000000000002</v>
      </c>
      <c r="M475" s="177"/>
      <c r="N475" s="177">
        <f t="shared" si="334"/>
        <v>1</v>
      </c>
      <c r="O475" s="177">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32"/>
        <v>2.0125000000000002</v>
      </c>
      <c r="K476" s="183">
        <f>SUMIFS(Table1[Horas efetivas],Table1[Tabela],Plano_V3!E476,Table1[Campo],Plano_V3!F476)</f>
        <v>16.100000000000001</v>
      </c>
      <c r="L476" s="183">
        <f t="shared" si="333"/>
        <v>2.0125000000000002</v>
      </c>
      <c r="M476" s="177"/>
      <c r="N476" s="177">
        <f t="shared" si="334"/>
        <v>1</v>
      </c>
      <c r="O476" s="177">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32"/>
        <v>2.0125000000000002</v>
      </c>
      <c r="K477" s="183">
        <f>SUMIFS(Table1[Horas efetivas],Table1[Tabela],Plano_V3!E477,Table1[Campo],Plano_V3!F477)</f>
        <v>16.100000000000001</v>
      </c>
      <c r="L477" s="183">
        <f t="shared" si="333"/>
        <v>2.0125000000000002</v>
      </c>
      <c r="M477" s="177"/>
      <c r="N477" s="177">
        <f t="shared" si="334"/>
        <v>1</v>
      </c>
      <c r="O477" s="177">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32"/>
        <v>2.0125000000000002</v>
      </c>
      <c r="K478" s="183">
        <f>SUMIFS(Table1[Horas efetivas],Table1[Tabela],Plano_V3!E478,Table1[Campo],Plano_V3!F478)</f>
        <v>16.100000000000001</v>
      </c>
      <c r="L478" s="183">
        <f t="shared" si="333"/>
        <v>2.0125000000000002</v>
      </c>
      <c r="M478" s="177"/>
      <c r="N478" s="177">
        <f t="shared" si="334"/>
        <v>1</v>
      </c>
      <c r="O478" s="177">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32"/>
        <v>2.0125000000000002</v>
      </c>
      <c r="K479" s="183">
        <f>SUMIFS(Table1[Horas efetivas],Table1[Tabela],Plano_V3!E479,Table1[Campo],Plano_V3!F479)</f>
        <v>16.100000000000001</v>
      </c>
      <c r="L479" s="183">
        <f t="shared" si="333"/>
        <v>2.0125000000000002</v>
      </c>
      <c r="M479" s="177"/>
      <c r="N479" s="177">
        <f t="shared" si="334"/>
        <v>1</v>
      </c>
      <c r="O479" s="177">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32"/>
        <v>2.0125000000000002</v>
      </c>
      <c r="K480" s="183">
        <f>SUMIFS(Table1[Horas efetivas],Table1[Tabela],Plano_V3!E480,Table1[Campo],Plano_V3!F480)</f>
        <v>16.100000000000001</v>
      </c>
      <c r="L480" s="183">
        <f t="shared" si="333"/>
        <v>2.0125000000000002</v>
      </c>
      <c r="M480" s="177"/>
      <c r="N480" s="177">
        <f t="shared" si="334"/>
        <v>1</v>
      </c>
      <c r="O480" s="177">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32"/>
        <v>2.0125000000000002</v>
      </c>
      <c r="K481" s="183">
        <f>SUMIFS(Table1[Horas efetivas],Table1[Tabela],Plano_V3!E481,Table1[Campo],Plano_V3!F481)</f>
        <v>16.100000000000001</v>
      </c>
      <c r="L481" s="183">
        <f t="shared" si="333"/>
        <v>2.0125000000000002</v>
      </c>
      <c r="M481" s="177"/>
      <c r="N481" s="177">
        <f t="shared" si="334"/>
        <v>1</v>
      </c>
      <c r="O481" s="177">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32"/>
        <v>2.0125000000000002</v>
      </c>
      <c r="K482" s="183">
        <f>SUMIFS(Table1[Horas efetivas],Table1[Tabela],Plano_V3!E482,Table1[Campo],Plano_V3!F482)</f>
        <v>16.100000000000001</v>
      </c>
      <c r="L482" s="183">
        <f t="shared" si="333"/>
        <v>2.0125000000000002</v>
      </c>
      <c r="M482" s="177"/>
      <c r="N482" s="177">
        <f t="shared" si="334"/>
        <v>1</v>
      </c>
      <c r="O482" s="177">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32"/>
        <v>2.0125000000000002</v>
      </c>
      <c r="K483" s="183">
        <f>SUMIFS(Table1[Horas efetivas],Table1[Tabela],Plano_V3!E483,Table1[Campo],Plano_V3!F483)</f>
        <v>16.100000000000001</v>
      </c>
      <c r="L483" s="183">
        <f t="shared" si="333"/>
        <v>2.0125000000000002</v>
      </c>
      <c r="M483" s="177"/>
      <c r="N483" s="177">
        <f t="shared" si="334"/>
        <v>1</v>
      </c>
      <c r="O483" s="177">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32"/>
        <v>2.0125000000000002</v>
      </c>
      <c r="K484" s="183">
        <f>SUMIFS(Table1[Horas efetivas],Table1[Tabela],Plano_V3!E484,Table1[Campo],Plano_V3!F484)</f>
        <v>16.100000000000001</v>
      </c>
      <c r="L484" s="183">
        <f t="shared" si="333"/>
        <v>2.0125000000000002</v>
      </c>
      <c r="M484" s="177"/>
      <c r="N484" s="177">
        <f t="shared" si="334"/>
        <v>1</v>
      </c>
      <c r="O484" s="177">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32"/>
        <v>2.0125000000000002</v>
      </c>
      <c r="K485" s="183">
        <f>SUMIFS(Table1[Horas efetivas],Table1[Tabela],Plano_V3!E485,Table1[Campo],Plano_V3!F485)</f>
        <v>16.100000000000001</v>
      </c>
      <c r="L485" s="183">
        <f t="shared" si="333"/>
        <v>2.0125000000000002</v>
      </c>
      <c r="M485" s="177"/>
      <c r="N485" s="177">
        <f t="shared" si="334"/>
        <v>1</v>
      </c>
      <c r="O485" s="177">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6">I487/8</f>
        <v>#N/A</v>
      </c>
      <c r="K487" s="183" t="e">
        <f>SUMIFS(Table1[Horas efetivas],Table1[Tabela],Plano_V3!E487,Table1[Campo],Plano_V3!F487)</f>
        <v>#N/A</v>
      </c>
      <c r="L487" s="183" t="e">
        <f t="shared" ref="L487:L506" si="337">K487/8</f>
        <v>#N/A</v>
      </c>
      <c r="M487" s="177"/>
      <c r="N487" s="177" t="e">
        <f t="shared" ref="N487:N506" si="338">L487/J487</f>
        <v>#N/A</v>
      </c>
      <c r="O487" s="177"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6"/>
        <v>#N/A</v>
      </c>
      <c r="K488" s="183" t="e">
        <f>SUMIFS(Table1[Horas efetivas],Table1[Tabela],Plano_V3!E488,Table1[Campo],Plano_V3!F488)</f>
        <v>#N/A</v>
      </c>
      <c r="L488" s="183" t="e">
        <f t="shared" si="337"/>
        <v>#N/A</v>
      </c>
      <c r="M488" s="177"/>
      <c r="N488" s="177" t="e">
        <f t="shared" si="338"/>
        <v>#N/A</v>
      </c>
      <c r="O488" s="177"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6"/>
        <v>#N/A</v>
      </c>
      <c r="K489" s="183" t="e">
        <f>SUMIFS(Table1[Horas efetivas],Table1[Tabela],Plano_V3!E489,Table1[Campo],Plano_V3!F489)</f>
        <v>#N/A</v>
      </c>
      <c r="L489" s="183" t="e">
        <f t="shared" si="337"/>
        <v>#N/A</v>
      </c>
      <c r="M489" s="177"/>
      <c r="N489" s="177" t="e">
        <f t="shared" si="338"/>
        <v>#N/A</v>
      </c>
      <c r="O489" s="177"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6"/>
        <v>#N/A</v>
      </c>
      <c r="K490" s="183" t="e">
        <f>SUMIFS(Table1[Horas efetivas],Table1[Tabela],Plano_V3!E490,Table1[Campo],Plano_V3!F490)</f>
        <v>#N/A</v>
      </c>
      <c r="L490" s="183" t="e">
        <f t="shared" si="337"/>
        <v>#N/A</v>
      </c>
      <c r="M490" s="177"/>
      <c r="N490" s="177" t="e">
        <f t="shared" si="338"/>
        <v>#N/A</v>
      </c>
      <c r="O490" s="177"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6"/>
        <v>#N/A</v>
      </c>
      <c r="K491" s="183" t="e">
        <f>SUMIFS(Table1[Horas efetivas],Table1[Tabela],Plano_V3!E491,Table1[Campo],Plano_V3!F491)</f>
        <v>#N/A</v>
      </c>
      <c r="L491" s="183" t="e">
        <f t="shared" si="337"/>
        <v>#N/A</v>
      </c>
      <c r="M491" s="177"/>
      <c r="N491" s="177" t="e">
        <f t="shared" si="338"/>
        <v>#N/A</v>
      </c>
      <c r="O491" s="177"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6"/>
        <v>#N/A</v>
      </c>
      <c r="K492" s="183" t="e">
        <f>SUMIFS(Table1[Horas efetivas],Table1[Tabela],Plano_V3!E492,Table1[Campo],Plano_V3!F492)</f>
        <v>#N/A</v>
      </c>
      <c r="L492" s="183" t="e">
        <f t="shared" si="337"/>
        <v>#N/A</v>
      </c>
      <c r="M492" s="177"/>
      <c r="N492" s="177" t="e">
        <f t="shared" si="338"/>
        <v>#N/A</v>
      </c>
      <c r="O492" s="177"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6"/>
        <v>#N/A</v>
      </c>
      <c r="K493" s="183" t="e">
        <f>SUMIFS(Table1[Horas efetivas],Table1[Tabela],Plano_V3!E493,Table1[Campo],Plano_V3!F493)</f>
        <v>#N/A</v>
      </c>
      <c r="L493" s="183" t="e">
        <f t="shared" si="337"/>
        <v>#N/A</v>
      </c>
      <c r="M493" s="177"/>
      <c r="N493" s="177" t="e">
        <f t="shared" si="338"/>
        <v>#N/A</v>
      </c>
      <c r="O493" s="177"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6"/>
        <v>#N/A</v>
      </c>
      <c r="K494" s="183" t="e">
        <f>SUMIFS(Table1[Horas efetivas],Table1[Tabela],Plano_V3!E494,Table1[Campo],Plano_V3!F494)</f>
        <v>#N/A</v>
      </c>
      <c r="L494" s="183" t="e">
        <f t="shared" si="337"/>
        <v>#N/A</v>
      </c>
      <c r="M494" s="177"/>
      <c r="N494" s="177" t="e">
        <f t="shared" si="338"/>
        <v>#N/A</v>
      </c>
      <c r="O494" s="177"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6"/>
        <v>#N/A</v>
      </c>
      <c r="K495" s="183" t="e">
        <f>SUMIFS(Table1[Horas efetivas],Table1[Tabela],Plano_V3!E495,Table1[Campo],Plano_V3!F495)</f>
        <v>#N/A</v>
      </c>
      <c r="L495" s="183" t="e">
        <f t="shared" si="337"/>
        <v>#N/A</v>
      </c>
      <c r="M495" s="177"/>
      <c r="N495" s="177" t="e">
        <f t="shared" si="338"/>
        <v>#N/A</v>
      </c>
      <c r="O495" s="177"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6"/>
        <v>#N/A</v>
      </c>
      <c r="K496" s="183" t="e">
        <f>SUMIFS(Table1[Horas efetivas],Table1[Tabela],Plano_V3!E496,Table1[Campo],Plano_V3!F496)</f>
        <v>#N/A</v>
      </c>
      <c r="L496" s="183" t="e">
        <f t="shared" si="337"/>
        <v>#N/A</v>
      </c>
      <c r="M496" s="177"/>
      <c r="N496" s="177" t="e">
        <f t="shared" si="338"/>
        <v>#N/A</v>
      </c>
      <c r="O496" s="177"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6"/>
        <v>#N/A</v>
      </c>
      <c r="K497" s="183" t="e">
        <f>SUMIFS(Table1[Horas efetivas],Table1[Tabela],Plano_V3!E497,Table1[Campo],Plano_V3!F497)</f>
        <v>#N/A</v>
      </c>
      <c r="L497" s="183" t="e">
        <f t="shared" si="337"/>
        <v>#N/A</v>
      </c>
      <c r="M497" s="177"/>
      <c r="N497" s="177" t="e">
        <f t="shared" si="338"/>
        <v>#N/A</v>
      </c>
      <c r="O497" s="177"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6"/>
        <v>#N/A</v>
      </c>
      <c r="K498" s="183" t="e">
        <f>SUMIFS(Table1[Horas efetivas],Table1[Tabela],Plano_V3!E498,Table1[Campo],Plano_V3!F498)</f>
        <v>#N/A</v>
      </c>
      <c r="L498" s="183" t="e">
        <f t="shared" si="337"/>
        <v>#N/A</v>
      </c>
      <c r="M498" s="177"/>
      <c r="N498" s="177" t="e">
        <f t="shared" si="338"/>
        <v>#N/A</v>
      </c>
      <c r="O498" s="177"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6"/>
        <v>#N/A</v>
      </c>
      <c r="K499" s="183" t="e">
        <f>SUMIFS(Table1[Horas efetivas],Table1[Tabela],Plano_V3!E499,Table1[Campo],Plano_V3!F499)</f>
        <v>#N/A</v>
      </c>
      <c r="L499" s="183" t="e">
        <f t="shared" si="337"/>
        <v>#N/A</v>
      </c>
      <c r="M499" s="177"/>
      <c r="N499" s="177" t="e">
        <f t="shared" si="338"/>
        <v>#N/A</v>
      </c>
      <c r="O499" s="177"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6"/>
        <v>#N/A</v>
      </c>
      <c r="K500" s="183" t="e">
        <f>SUMIFS(Table1[Horas efetivas],Table1[Tabela],Plano_V3!E500,Table1[Campo],Plano_V3!F500)</f>
        <v>#N/A</v>
      </c>
      <c r="L500" s="183" t="e">
        <f t="shared" si="337"/>
        <v>#N/A</v>
      </c>
      <c r="M500" s="177"/>
      <c r="N500" s="177" t="e">
        <f t="shared" si="338"/>
        <v>#N/A</v>
      </c>
      <c r="O500" s="177"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6"/>
        <v>#N/A</v>
      </c>
      <c r="K501" s="183" t="e">
        <f>SUMIFS(Table1[Horas efetivas],Table1[Tabela],Plano_V3!E501,Table1[Campo],Plano_V3!F501)</f>
        <v>#N/A</v>
      </c>
      <c r="L501" s="183" t="e">
        <f t="shared" si="337"/>
        <v>#N/A</v>
      </c>
      <c r="M501" s="177"/>
      <c r="N501" s="177" t="e">
        <f t="shared" si="338"/>
        <v>#N/A</v>
      </c>
      <c r="O501" s="177"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6"/>
        <v>#N/A</v>
      </c>
      <c r="K502" s="183" t="e">
        <f>SUMIFS(Table1[Horas efetivas],Table1[Tabela],Plano_V3!E502,Table1[Campo],Plano_V3!F502)</f>
        <v>#N/A</v>
      </c>
      <c r="L502" s="183" t="e">
        <f t="shared" si="337"/>
        <v>#N/A</v>
      </c>
      <c r="M502" s="177"/>
      <c r="N502" s="177" t="e">
        <f t="shared" si="338"/>
        <v>#N/A</v>
      </c>
      <c r="O502" s="177"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6"/>
        <v>#N/A</v>
      </c>
      <c r="K503" s="183" t="e">
        <f>SUMIFS(Table1[Horas efetivas],Table1[Tabela],Plano_V3!E503,Table1[Campo],Plano_V3!F503)</f>
        <v>#N/A</v>
      </c>
      <c r="L503" s="183" t="e">
        <f t="shared" si="337"/>
        <v>#N/A</v>
      </c>
      <c r="M503" s="177"/>
      <c r="N503" s="177" t="e">
        <f t="shared" si="338"/>
        <v>#N/A</v>
      </c>
      <c r="O503" s="177"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6"/>
        <v>#N/A</v>
      </c>
      <c r="K504" s="183" t="e">
        <f>SUMIFS(Table1[Horas efetivas],Table1[Tabela],Plano_V3!E504,Table1[Campo],Plano_V3!F504)</f>
        <v>#N/A</v>
      </c>
      <c r="L504" s="183" t="e">
        <f t="shared" si="337"/>
        <v>#N/A</v>
      </c>
      <c r="M504" s="177"/>
      <c r="N504" s="177" t="e">
        <f t="shared" si="338"/>
        <v>#N/A</v>
      </c>
      <c r="O504" s="177"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6"/>
        <v>#N/A</v>
      </c>
      <c r="K505" s="183" t="e">
        <f>SUMIFS(Table1[Horas efetivas],Table1[Tabela],Plano_V3!E505,Table1[Campo],Plano_V3!F505)</f>
        <v>#N/A</v>
      </c>
      <c r="L505" s="183" t="e">
        <f t="shared" si="337"/>
        <v>#N/A</v>
      </c>
      <c r="M505" s="177"/>
      <c r="N505" s="177" t="e">
        <f t="shared" si="338"/>
        <v>#N/A</v>
      </c>
      <c r="O505" s="177"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6"/>
        <v>#N/A</v>
      </c>
      <c r="K506" s="183" t="e">
        <f>SUMIFS(Table1[Horas efetivas],Table1[Tabela],Plano_V3!E506,Table1[Campo],Plano_V3!F506)</f>
        <v>#N/A</v>
      </c>
      <c r="L506" s="183" t="e">
        <f t="shared" si="337"/>
        <v>#N/A</v>
      </c>
      <c r="M506" s="177"/>
      <c r="N506" s="177" t="e">
        <f t="shared" si="338"/>
        <v>#N/A</v>
      </c>
      <c r="O506" s="177"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2.1 Em Teste</v>
      </c>
      <c r="H507" s="64">
        <f>VLOOKUP(A507,'Aux - pivots1'!$A:$B,2,0)</f>
        <v>2</v>
      </c>
      <c r="I507" s="183">
        <f>SUMIFS(Table1[Estimação (horas)],Table1[Tabela],Plano_V3!E507,Table1[Campo],Plano_V3!F507)</f>
        <v>16.100000000000001</v>
      </c>
      <c r="J507" s="183">
        <f t="shared" si="332"/>
        <v>2.0125000000000002</v>
      </c>
      <c r="K507" s="183">
        <f>SUMIFS(Table1[Horas efetivas],Table1[Tabela],Plano_V3!E507,Table1[Campo],Plano_V3!F507)</f>
        <v>8.0500000000000007</v>
      </c>
      <c r="L507" s="183">
        <f t="shared" si="333"/>
        <v>1.0062500000000001</v>
      </c>
      <c r="M507" s="177"/>
      <c r="N507" s="177">
        <f t="shared" si="334"/>
        <v>0.5</v>
      </c>
      <c r="O507" s="177">
        <f t="shared" si="318"/>
        <v>0.5</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32"/>
        <v>1.0125</v>
      </c>
      <c r="K508" s="183">
        <f>SUMIFS(Table1[Horas efetivas],Table1[Tabela],Plano_V3!E508,Table1[Campo],Plano_V3!F508)</f>
        <v>8.1</v>
      </c>
      <c r="L508" s="183">
        <f t="shared" si="333"/>
        <v>1.0125</v>
      </c>
      <c r="M508" s="177"/>
      <c r="N508" s="177">
        <f t="shared" si="334"/>
        <v>1</v>
      </c>
      <c r="O508" s="177">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32"/>
        <v>1.0125</v>
      </c>
      <c r="K509" s="183">
        <f>SUMIFS(Table1[Horas efetivas],Table1[Tabela],Plano_V3!E509,Table1[Campo],Plano_V3!F509)</f>
        <v>8.1</v>
      </c>
      <c r="L509" s="183">
        <f t="shared" si="333"/>
        <v>1.0125</v>
      </c>
      <c r="M509" s="177"/>
      <c r="N509" s="177">
        <f t="shared" si="334"/>
        <v>1</v>
      </c>
      <c r="O509" s="177">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3">
        <f>SUMIFS(Table1[Estimação (horas)],Table1[Tabela],Plano_V3!E510,Table1[Campo],Plano_V3!F510)</f>
        <v>16.100000000000001</v>
      </c>
      <c r="J510" s="183">
        <f t="shared" si="332"/>
        <v>2.0125000000000002</v>
      </c>
      <c r="K510" s="183">
        <f>SUMIFS(Table1[Horas efetivas],Table1[Tabela],Plano_V3!E510,Table1[Campo],Plano_V3!F510)</f>
        <v>16.100000000000001</v>
      </c>
      <c r="L510" s="183">
        <f t="shared" si="333"/>
        <v>2.0125000000000002</v>
      </c>
      <c r="M510" s="177"/>
      <c r="N510" s="177">
        <f t="shared" si="334"/>
        <v>1</v>
      </c>
      <c r="O510" s="177">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3">
        <f>SUMIFS(Table1[Estimação (horas)],Table1[Tabela],Plano_V3!E511,Table1[Campo],Plano_V3!F511)</f>
        <v>16.100000000000001</v>
      </c>
      <c r="J511" s="183">
        <f t="shared" si="332"/>
        <v>2.0125000000000002</v>
      </c>
      <c r="K511" s="183">
        <f>SUMIFS(Table1[Horas efetivas],Table1[Tabela],Plano_V3!E511,Table1[Campo],Plano_V3!F511)</f>
        <v>16.100000000000001</v>
      </c>
      <c r="L511" s="183">
        <f t="shared" si="333"/>
        <v>2.0125000000000002</v>
      </c>
      <c r="M511" s="177"/>
      <c r="N511" s="177">
        <f t="shared" si="334"/>
        <v>1</v>
      </c>
      <c r="O511" s="177">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32"/>
        <v>0.51249999999999996</v>
      </c>
      <c r="K512" s="183">
        <f>SUMIFS(Table1[Horas efetivas],Table1[Tabela],Plano_V3!E512,Table1[Campo],Plano_V3!F512)</f>
        <v>4.0999999999999996</v>
      </c>
      <c r="L512" s="183">
        <f t="shared" si="333"/>
        <v>0.51249999999999996</v>
      </c>
      <c r="M512" s="177"/>
      <c r="N512" s="177">
        <f t="shared" si="334"/>
        <v>1</v>
      </c>
      <c r="O512" s="177">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32"/>
        <v>0.51249999999999996</v>
      </c>
      <c r="K513" s="183">
        <f>SUMIFS(Table1[Horas efetivas],Table1[Tabela],Plano_V3!E513,Table1[Campo],Plano_V3!F513)</f>
        <v>4.0999999999999996</v>
      </c>
      <c r="L513" s="183">
        <f t="shared" si="333"/>
        <v>0.51249999999999996</v>
      </c>
      <c r="M513" s="177"/>
      <c r="N513" s="177">
        <f t="shared" si="334"/>
        <v>1</v>
      </c>
      <c r="O513" s="177">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32"/>
        <v>0.51249999999999996</v>
      </c>
      <c r="K514" s="183">
        <f>SUMIFS(Table1[Horas efetivas],Table1[Tabela],Plano_V3!E514,Table1[Campo],Plano_V3!F514)</f>
        <v>4.0999999999999996</v>
      </c>
      <c r="L514" s="183">
        <f t="shared" si="333"/>
        <v>0.51249999999999996</v>
      </c>
      <c r="M514" s="177"/>
      <c r="N514" s="177">
        <f t="shared" si="334"/>
        <v>1</v>
      </c>
      <c r="O514" s="177">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3">
        <f>SUMIFS(Table1[Estimação (horas)],Table1[Tabela],Plano_V3!E515,Table1[Campo],Plano_V3!F515)</f>
        <v>4.0999999999999996</v>
      </c>
      <c r="J515" s="183">
        <f t="shared" si="332"/>
        <v>0.51249999999999996</v>
      </c>
      <c r="K515" s="183">
        <f>SUMIFS(Table1[Horas efetivas],Table1[Tabela],Plano_V3!E515,Table1[Campo],Plano_V3!F515)</f>
        <v>4.0999999999999996</v>
      </c>
      <c r="L515" s="183">
        <f t="shared" si="333"/>
        <v>0.51249999999999996</v>
      </c>
      <c r="M515" s="177"/>
      <c r="N515" s="177">
        <f t="shared" si="334"/>
        <v>1</v>
      </c>
      <c r="O515" s="177">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3">
        <f>SUMIFS(Table1[Estimação (horas)],Table1[Tabela],Plano_V3!E516,Table1[Campo],Plano_V3!F516)</f>
        <v>4.0999999999999996</v>
      </c>
      <c r="J516" s="183">
        <f t="shared" si="332"/>
        <v>0.51249999999999996</v>
      </c>
      <c r="K516" s="183">
        <f>SUMIFS(Table1[Horas efetivas],Table1[Tabela],Plano_V3!E516,Table1[Campo],Plano_V3!F516)</f>
        <v>4.0999999999999996</v>
      </c>
      <c r="L516" s="183">
        <f t="shared" si="333"/>
        <v>0.51249999999999996</v>
      </c>
      <c r="M516" s="177"/>
      <c r="N516" s="177">
        <f t="shared" si="334"/>
        <v>1</v>
      </c>
      <c r="O516" s="177">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3">
        <f>SUMIFS(Table1[Estimação (horas)],Table1[Tabela],Plano_V3!E517,Table1[Campo],Plano_V3!F517)</f>
        <v>4.0999999999999996</v>
      </c>
      <c r="J517" s="183">
        <f t="shared" si="332"/>
        <v>0.51249999999999996</v>
      </c>
      <c r="K517" s="183">
        <f>SUMIFS(Table1[Horas efetivas],Table1[Tabela],Plano_V3!E517,Table1[Campo],Plano_V3!F517)</f>
        <v>4.0999999999999996</v>
      </c>
      <c r="L517" s="183">
        <f t="shared" si="333"/>
        <v>0.51249999999999996</v>
      </c>
      <c r="M517" s="177"/>
      <c r="N517" s="177">
        <f t="shared" si="334"/>
        <v>1</v>
      </c>
      <c r="O517" s="177">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3">
        <f>SUMIFS(Table1[Estimação (horas)],Table1[Tabela],Plano_V3!E518,Table1[Campo],Plano_V3!F518)</f>
        <v>4.0999999999999996</v>
      </c>
      <c r="J518" s="183">
        <f t="shared" si="332"/>
        <v>0.51249999999999996</v>
      </c>
      <c r="K518" s="183">
        <f>SUMIFS(Table1[Horas efetivas],Table1[Tabela],Plano_V3!E518,Table1[Campo],Plano_V3!F518)</f>
        <v>4.0999999999999996</v>
      </c>
      <c r="L518" s="183">
        <f t="shared" si="333"/>
        <v>0.51249999999999996</v>
      </c>
      <c r="M518" s="177"/>
      <c r="N518" s="177">
        <f t="shared" si="334"/>
        <v>1</v>
      </c>
      <c r="O518" s="177">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3">
        <f>SUMIFS(Table1[Estimação (horas)],Table1[Tabela],Plano_V3!E519,Table1[Campo],Plano_V3!F519)</f>
        <v>4.0999999999999996</v>
      </c>
      <c r="J519" s="183">
        <f t="shared" si="332"/>
        <v>0.51249999999999996</v>
      </c>
      <c r="K519" s="183">
        <f>SUMIFS(Table1[Horas efetivas],Table1[Tabela],Plano_V3!E519,Table1[Campo],Plano_V3!F519)</f>
        <v>4.0999999999999996</v>
      </c>
      <c r="L519" s="183">
        <f t="shared" si="333"/>
        <v>0.51249999999999996</v>
      </c>
      <c r="M519" s="177"/>
      <c r="N519" s="177">
        <f t="shared" si="334"/>
        <v>1</v>
      </c>
      <c r="O519" s="177">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32"/>
        <v>0.51249999999999996</v>
      </c>
      <c r="K520" s="183">
        <f>SUMIFS(Table1[Horas efetivas],Table1[Tabela],Plano_V3!E520,Table1[Campo],Plano_V3!F520)</f>
        <v>4.0999999999999996</v>
      </c>
      <c r="L520" s="183">
        <f t="shared" si="333"/>
        <v>0.51249999999999996</v>
      </c>
      <c r="M520" s="177"/>
      <c r="N520" s="177">
        <f t="shared" si="334"/>
        <v>1</v>
      </c>
      <c r="O520" s="177">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3">
        <f>SUMIFS(Table1[Estimação (horas)],Table1[Tabela],Plano_V3!E521,Table1[Campo],Plano_V3!F521)</f>
        <v>8.1</v>
      </c>
      <c r="J521" s="183">
        <f t="shared" si="332"/>
        <v>1.0125</v>
      </c>
      <c r="K521" s="183">
        <f>SUMIFS(Table1[Horas efetivas],Table1[Tabela],Plano_V3!E521,Table1[Campo],Plano_V3!F521)</f>
        <v>8.1</v>
      </c>
      <c r="L521" s="183">
        <f t="shared" si="333"/>
        <v>1.0125</v>
      </c>
      <c r="M521" s="177"/>
      <c r="N521" s="177">
        <f t="shared" si="334"/>
        <v>1</v>
      </c>
      <c r="O521" s="177">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3">
        <f>SUMIFS(Table1[Estimação (horas)],Table1[Tabela],Plano_V3!E522,Table1[Campo],Plano_V3!F522)</f>
        <v>8.1</v>
      </c>
      <c r="J522" s="183">
        <f t="shared" si="332"/>
        <v>1.0125</v>
      </c>
      <c r="K522" s="183">
        <f>SUMIFS(Table1[Horas efetivas],Table1[Tabela],Plano_V3!E522,Table1[Campo],Plano_V3!F522)</f>
        <v>8.1</v>
      </c>
      <c r="L522" s="183">
        <f t="shared" si="333"/>
        <v>1.0125</v>
      </c>
      <c r="M522" s="177"/>
      <c r="N522" s="177">
        <f t="shared" si="334"/>
        <v>1</v>
      </c>
      <c r="O522" s="177">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3">
        <f>SUMIFS(Table1[Estimação (horas)],Table1[Tabela],Plano_V3!E523,Table1[Campo],Plano_V3!F523)</f>
        <v>8.1</v>
      </c>
      <c r="J523" s="183">
        <f t="shared" si="332"/>
        <v>1.0125</v>
      </c>
      <c r="K523" s="183">
        <f>SUMIFS(Table1[Horas efetivas],Table1[Tabela],Plano_V3!E523,Table1[Campo],Plano_V3!F523)</f>
        <v>8.1</v>
      </c>
      <c r="L523" s="183">
        <f t="shared" si="333"/>
        <v>1.0125</v>
      </c>
      <c r="M523" s="177"/>
      <c r="N523" s="177">
        <f t="shared" si="334"/>
        <v>1</v>
      </c>
      <c r="O523" s="177">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32"/>
        <v>0.51249999999999996</v>
      </c>
      <c r="K524" s="183">
        <f>SUMIFS(Table1[Horas efetivas],Table1[Tabela],Plano_V3!E524,Table1[Campo],Plano_V3!F524)</f>
        <v>4.0999999999999996</v>
      </c>
      <c r="L524" s="183">
        <f t="shared" si="333"/>
        <v>0.51249999999999996</v>
      </c>
      <c r="M524" s="177"/>
      <c r="N524" s="177">
        <f t="shared" si="334"/>
        <v>1</v>
      </c>
      <c r="O524" s="177">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3">
        <f>SUMIFS(Table1[Estimação (horas)],Table1[Tabela],Plano_V3!E525,Table1[Campo],Plano_V3!F525)</f>
        <v>4</v>
      </c>
      <c r="J525" s="183">
        <f t="shared" ref="J525:J526" si="342">I525/8</f>
        <v>0.5</v>
      </c>
      <c r="K525" s="183">
        <f>SUMIFS(Table1[Horas efetivas],Table1[Tabela],Plano_V3!E525,Table1[Campo],Plano_V3!F525)</f>
        <v>4</v>
      </c>
      <c r="L525" s="183">
        <f t="shared" ref="L525:L526" si="343">K525/8</f>
        <v>0.5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3">
        <f>SUMIFS(Table1[Estimação (horas)],Table1[Tabela],Plano_V3!E526,Table1[Campo],Plano_V3!F526)</f>
        <v>4</v>
      </c>
      <c r="J526" s="183">
        <f t="shared" si="342"/>
        <v>0.5</v>
      </c>
      <c r="K526" s="183">
        <f>SUMIFS(Table1[Horas efetivas],Table1[Tabela],Plano_V3!E526,Table1[Campo],Plano_V3!F526)</f>
        <v>4</v>
      </c>
      <c r="L526" s="183">
        <f t="shared" si="343"/>
        <v>0.5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32"/>
        <v>1</v>
      </c>
      <c r="K527" s="183">
        <f>SUMIFS(Table1[Horas efetivas],Table1[Tabela],Plano_V3!E527,Table1[Campo],Plano_V3!F527)</f>
        <v>8</v>
      </c>
      <c r="L527" s="183">
        <f t="shared" si="333"/>
        <v>1</v>
      </c>
      <c r="M527" s="177"/>
      <c r="N527" s="177">
        <f t="shared" si="334"/>
        <v>1</v>
      </c>
      <c r="O527" s="177">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32"/>
        <v>0.51249999999999996</v>
      </c>
      <c r="K528" s="183">
        <f>SUMIFS(Table1[Horas efetivas],Table1[Tabela],Plano_V3!E528,Table1[Campo],Plano_V3!F528)</f>
        <v>4.0999999999999996</v>
      </c>
      <c r="L528" s="183">
        <f t="shared" si="333"/>
        <v>0.51249999999999996</v>
      </c>
      <c r="M528" s="177"/>
      <c r="N528" s="177">
        <f t="shared" si="334"/>
        <v>1</v>
      </c>
      <c r="O528" s="177">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32"/>
        <v>0.51249999999999996</v>
      </c>
      <c r="K529" s="183">
        <f>SUMIFS(Table1[Horas efetivas],Table1[Tabela],Plano_V3!E529,Table1[Campo],Plano_V3!F529)</f>
        <v>4.0999999999999996</v>
      </c>
      <c r="L529" s="183">
        <f t="shared" si="333"/>
        <v>0.51249999999999996</v>
      </c>
      <c r="M529" s="177"/>
      <c r="N529" s="177">
        <f t="shared" si="334"/>
        <v>1</v>
      </c>
      <c r="O529" s="177">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32"/>
        <v>0.51249999999999996</v>
      </c>
      <c r="K530" s="183">
        <f>SUMIFS(Table1[Horas efetivas],Table1[Tabela],Plano_V3!E530,Table1[Campo],Plano_V3!F530)</f>
        <v>4.0999999999999996</v>
      </c>
      <c r="L530" s="183">
        <f t="shared" si="333"/>
        <v>0.51249999999999996</v>
      </c>
      <c r="M530" s="177"/>
      <c r="N530" s="177">
        <f t="shared" si="334"/>
        <v>1</v>
      </c>
      <c r="O530" s="177">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32"/>
        <v>0.51249999999999996</v>
      </c>
      <c r="K531" s="183">
        <f>SUMIFS(Table1[Horas efetivas],Table1[Tabela],Plano_V3!E531,Table1[Campo],Plano_V3!F531)</f>
        <v>4.0999999999999996</v>
      </c>
      <c r="L531" s="183">
        <f t="shared" si="333"/>
        <v>0.51249999999999996</v>
      </c>
      <c r="M531" s="177"/>
      <c r="N531" s="177">
        <f t="shared" si="334"/>
        <v>1</v>
      </c>
      <c r="O531" s="177">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32"/>
        <v>1.0125</v>
      </c>
      <c r="K532" s="183">
        <f>SUMIFS(Table1[Horas efetivas],Table1[Tabela],Plano_V3!E532,Table1[Campo],Plano_V3!F532)</f>
        <v>8.1</v>
      </c>
      <c r="L532" s="183">
        <f t="shared" si="333"/>
        <v>1.0125</v>
      </c>
      <c r="M532" s="177"/>
      <c r="N532" s="177">
        <f t="shared" si="334"/>
        <v>1</v>
      </c>
      <c r="O532" s="177">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32"/>
        <v>1.0125</v>
      </c>
      <c r="K533" s="183">
        <f>SUMIFS(Table1[Horas efetivas],Table1[Tabela],Plano_V3!E533,Table1[Campo],Plano_V3!F533)</f>
        <v>8.1</v>
      </c>
      <c r="L533" s="183">
        <f t="shared" si="333"/>
        <v>1.0125</v>
      </c>
      <c r="M533" s="177"/>
      <c r="N533" s="177">
        <f t="shared" si="334"/>
        <v>1</v>
      </c>
      <c r="O533" s="177">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32"/>
        <v>1.0125</v>
      </c>
      <c r="K534" s="183">
        <f>SUMIFS(Table1[Horas efetivas],Table1[Tabela],Plano_V3!E534,Table1[Campo],Plano_V3!F534)</f>
        <v>8.1</v>
      </c>
      <c r="L534" s="183">
        <f t="shared" si="333"/>
        <v>1.0125</v>
      </c>
      <c r="M534" s="177"/>
      <c r="N534" s="177">
        <f t="shared" si="334"/>
        <v>1</v>
      </c>
      <c r="O534" s="177">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32"/>
        <v>1.0125</v>
      </c>
      <c r="K535" s="183">
        <f>SUMIFS(Table1[Horas efetivas],Table1[Tabela],Plano_V3!E535,Table1[Campo],Plano_V3!F535)</f>
        <v>8.1</v>
      </c>
      <c r="L535" s="183">
        <f t="shared" si="333"/>
        <v>1.0125</v>
      </c>
      <c r="M535" s="177"/>
      <c r="N535" s="177">
        <f t="shared" si="334"/>
        <v>1</v>
      </c>
      <c r="O535" s="177">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32"/>
        <v>0.51249999999999996</v>
      </c>
      <c r="K536" s="183">
        <f>SUMIFS(Table1[Horas efetivas],Table1[Tabela],Plano_V3!E536,Table1[Campo],Plano_V3!F536)</f>
        <v>4.0999999999999996</v>
      </c>
      <c r="L536" s="183">
        <f t="shared" si="333"/>
        <v>0.51249999999999996</v>
      </c>
      <c r="M536" s="177"/>
      <c r="N536" s="177">
        <f t="shared" si="334"/>
        <v>1</v>
      </c>
      <c r="O536" s="177">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32"/>
        <v>2.0125000000000002</v>
      </c>
      <c r="K537" s="183">
        <f>SUMIFS(Table1[Horas efetivas],Table1[Tabela],Plano_V3!E537,Table1[Campo],Plano_V3!F537)</f>
        <v>16.100000000000001</v>
      </c>
      <c r="L537" s="183">
        <f t="shared" si="333"/>
        <v>2.0125000000000002</v>
      </c>
      <c r="M537" s="177"/>
      <c r="N537" s="177">
        <f t="shared" si="334"/>
        <v>1</v>
      </c>
      <c r="O537" s="177">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32"/>
        <v>2.0125000000000002</v>
      </c>
      <c r="K538" s="183">
        <f>SUMIFS(Table1[Horas efetivas],Table1[Tabela],Plano_V3!E538,Table1[Campo],Plano_V3!F538)</f>
        <v>16.100000000000001</v>
      </c>
      <c r="L538" s="183">
        <f t="shared" si="333"/>
        <v>2.0125000000000002</v>
      </c>
      <c r="M538" s="177"/>
      <c r="N538" s="177">
        <f t="shared" si="334"/>
        <v>1</v>
      </c>
      <c r="O538" s="177">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5">I539/8</f>
        <v>2.0125000000000002</v>
      </c>
      <c r="K539" s="183">
        <f>SUMIFS(Table1[Horas efetivas],Table1[Tabela],Plano_V3!E539,Table1[Campo],Plano_V3!F539)</f>
        <v>16.100000000000001</v>
      </c>
      <c r="L539" s="183">
        <f t="shared" ref="L539:L560" si="346">K539/8</f>
        <v>2.0125000000000002</v>
      </c>
      <c r="M539" s="177"/>
      <c r="N539" s="177">
        <f t="shared" ref="N539:N561" si="347">L539/J539</f>
        <v>1</v>
      </c>
      <c r="O539" s="177">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5"/>
        <v>0.51249999999999996</v>
      </c>
      <c r="K540" s="183">
        <f>SUMIFS(Table1[Horas efetivas],Table1[Tabela],Plano_V3!E540,Table1[Campo],Plano_V3!F540)</f>
        <v>4.0999999999999996</v>
      </c>
      <c r="L540" s="183">
        <f t="shared" si="346"/>
        <v>0.51249999999999996</v>
      </c>
      <c r="M540" s="177"/>
      <c r="N540" s="177">
        <f t="shared" si="347"/>
        <v>1</v>
      </c>
      <c r="O540" s="177">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5"/>
        <v>0.51249999999999996</v>
      </c>
      <c r="K541" s="183">
        <f>SUMIFS(Table1[Horas efetivas],Table1[Tabela],Plano_V3!E541,Table1[Campo],Plano_V3!F541)</f>
        <v>4.0999999999999996</v>
      </c>
      <c r="L541" s="183">
        <f t="shared" si="346"/>
        <v>0.51249999999999996</v>
      </c>
      <c r="M541" s="177"/>
      <c r="N541" s="177">
        <f t="shared" si="347"/>
        <v>1</v>
      </c>
      <c r="O541" s="177">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5"/>
        <v>0.51249999999999996</v>
      </c>
      <c r="K542" s="183">
        <f>SUMIFS(Table1[Horas efetivas],Table1[Tabela],Plano_V3!E542,Table1[Campo],Plano_V3!F542)</f>
        <v>4.0999999999999996</v>
      </c>
      <c r="L542" s="183">
        <f t="shared" si="346"/>
        <v>0.51249999999999996</v>
      </c>
      <c r="M542" s="177"/>
      <c r="N542" s="177">
        <f t="shared" si="347"/>
        <v>1</v>
      </c>
      <c r="O542" s="177">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5"/>
        <v>1</v>
      </c>
      <c r="K543" s="183">
        <f>SUMIFS(Table1[Horas efetivas],Table1[Tabela],Plano_V3!E543,Table1[Campo],Plano_V3!F543)</f>
        <v>2</v>
      </c>
      <c r="L543" s="183">
        <f t="shared" si="346"/>
        <v>0.25</v>
      </c>
      <c r="M543" s="177"/>
      <c r="N543" s="177">
        <f t="shared" si="347"/>
        <v>0.25</v>
      </c>
      <c r="O543" s="177">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3">
        <f>SUMIFS(Table1[Estimação (horas)],Table1[Tabela],Plano_V3!E544,Table1[Campo],Plano_V3!F544)</f>
        <v>4.0999999999999996</v>
      </c>
      <c r="J544" s="183">
        <f t="shared" si="345"/>
        <v>0.51249999999999996</v>
      </c>
      <c r="K544" s="183">
        <f>SUMIFS(Table1[Horas efetivas],Table1[Tabela],Plano_V3!E544,Table1[Campo],Plano_V3!F544)</f>
        <v>1.0249999999999999</v>
      </c>
      <c r="L544" s="183">
        <f t="shared" si="346"/>
        <v>0.12812499999999999</v>
      </c>
      <c r="M544" s="177"/>
      <c r="N544" s="177">
        <f t="shared" si="347"/>
        <v>0.25</v>
      </c>
      <c r="O544" s="177">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3">
        <f>SUMIFS(Table1[Estimação (horas)],Table1[Tabela],Plano_V3!E545,Table1[Campo],Plano_V3!F545)</f>
        <v>4.0999999999999996</v>
      </c>
      <c r="J545" s="183">
        <f t="shared" si="345"/>
        <v>0.51249999999999996</v>
      </c>
      <c r="K545" s="183">
        <f>SUMIFS(Table1[Horas efetivas],Table1[Tabela],Plano_V3!E545,Table1[Campo],Plano_V3!F545)</f>
        <v>1.0249999999999999</v>
      </c>
      <c r="L545" s="183">
        <f t="shared" si="346"/>
        <v>0.12812499999999999</v>
      </c>
      <c r="M545" s="177"/>
      <c r="N545" s="177">
        <f t="shared" si="347"/>
        <v>0.25</v>
      </c>
      <c r="O545" s="177">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3">
        <f>SUMIFS(Table1[Estimação (horas)],Table1[Tabela],Plano_V3!E546,Table1[Campo],Plano_V3!F546)</f>
        <v>4.0999999999999996</v>
      </c>
      <c r="J546" s="183">
        <f t="shared" si="345"/>
        <v>0.51249999999999996</v>
      </c>
      <c r="K546" s="183">
        <f>SUMIFS(Table1[Horas efetivas],Table1[Tabela],Plano_V3!E546,Table1[Campo],Plano_V3!F546)</f>
        <v>1.0249999999999999</v>
      </c>
      <c r="L546" s="183">
        <f t="shared" si="346"/>
        <v>0.12812499999999999</v>
      </c>
      <c r="M546" s="177"/>
      <c r="N546" s="177">
        <f t="shared" si="347"/>
        <v>0.25</v>
      </c>
      <c r="O546" s="177">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3">
        <f>SUMIFS(Table1[Estimação (horas)],Table1[Tabela],Plano_V3!E547,Table1[Campo],Plano_V3!F547)</f>
        <v>4.0999999999999996</v>
      </c>
      <c r="J547" s="183">
        <f t="shared" si="345"/>
        <v>0.51249999999999996</v>
      </c>
      <c r="K547" s="183">
        <f>SUMIFS(Table1[Horas efetivas],Table1[Tabela],Plano_V3!E547,Table1[Campo],Plano_V3!F547)</f>
        <v>1.0249999999999999</v>
      </c>
      <c r="L547" s="183">
        <f t="shared" si="346"/>
        <v>0.12812499999999999</v>
      </c>
      <c r="M547" s="177"/>
      <c r="N547" s="177">
        <f t="shared" si="347"/>
        <v>0.25</v>
      </c>
      <c r="O547" s="177">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3">
        <f>SUMIFS(Table1[Estimação (horas)],Table1[Tabela],Plano_V3!E548,Table1[Campo],Plano_V3!F548)</f>
        <v>4.0999999999999996</v>
      </c>
      <c r="J548" s="183">
        <f t="shared" si="345"/>
        <v>0.51249999999999996</v>
      </c>
      <c r="K548" s="183">
        <f>SUMIFS(Table1[Horas efetivas],Table1[Tabela],Plano_V3!E548,Table1[Campo],Plano_V3!F548)</f>
        <v>1.0249999999999999</v>
      </c>
      <c r="L548" s="183">
        <f t="shared" si="346"/>
        <v>0.12812499999999999</v>
      </c>
      <c r="M548" s="177"/>
      <c r="N548" s="177">
        <f t="shared" si="347"/>
        <v>0.25</v>
      </c>
      <c r="O548" s="177">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3">
        <f>SUMIFS(Table1[Estimação (horas)],Table1[Tabela],Plano_V3!E549,Table1[Campo],Plano_V3!F549)</f>
        <v>0.1</v>
      </c>
      <c r="J549" s="183">
        <f>I549/8</f>
        <v>1.2500000000000001E-2</v>
      </c>
      <c r="K549" s="183">
        <f>SUMIFS(Table1[Horas efetivas],Table1[Tabela],Plano_V3!E549,Table1[Campo],Plano_V3!F549)</f>
        <v>0</v>
      </c>
      <c r="L549" s="183">
        <f>K549/8</f>
        <v>0</v>
      </c>
      <c r="M549" s="177"/>
      <c r="N549" s="177">
        <f>L549/J549</f>
        <v>0</v>
      </c>
      <c r="O549" s="177">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3">
        <f>SUMIFS(Table1[Estimação (horas)],Table1[Tabela],Plano_V3!E550,Table1[Campo],Plano_V3!F550)</f>
        <v>16.100000000000001</v>
      </c>
      <c r="J550" s="183">
        <f t="shared" si="345"/>
        <v>2.0125000000000002</v>
      </c>
      <c r="K550" s="183">
        <f>SUMIFS(Table1[Horas efetivas],Table1[Tabela],Plano_V3!E550,Table1[Campo],Plano_V3!F550)</f>
        <v>4.0250000000000004</v>
      </c>
      <c r="L550" s="183">
        <f t="shared" si="346"/>
        <v>0.50312500000000004</v>
      </c>
      <c r="M550" s="177"/>
      <c r="N550" s="177">
        <f t="shared" si="347"/>
        <v>0.25</v>
      </c>
      <c r="O550" s="177">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3">
        <f>SUMIFS(Table1[Estimação (horas)],Table1[Tabela],Plano_V3!E551,Table1[Campo],Plano_V3!F551)</f>
        <v>16.100000000000001</v>
      </c>
      <c r="J551" s="183">
        <f t="shared" si="345"/>
        <v>2.0125000000000002</v>
      </c>
      <c r="K551" s="183">
        <f>SUMIFS(Table1[Horas efetivas],Table1[Tabela],Plano_V3!E551,Table1[Campo],Plano_V3!F551)</f>
        <v>4.0250000000000004</v>
      </c>
      <c r="L551" s="183">
        <f t="shared" si="346"/>
        <v>0.50312500000000004</v>
      </c>
      <c r="M551" s="177"/>
      <c r="N551" s="177">
        <f t="shared" si="347"/>
        <v>0.25</v>
      </c>
      <c r="O551" s="177">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3">
        <f>SUMIFS(Table1[Estimação (horas)],Table1[Tabela],Plano_V3!E552,Table1[Campo],Plano_V3!F552)</f>
        <v>8.1</v>
      </c>
      <c r="J552" s="183">
        <f t="shared" si="345"/>
        <v>1.0125</v>
      </c>
      <c r="K552" s="183">
        <f>SUMIFS(Table1[Horas efetivas],Table1[Tabela],Plano_V3!E552,Table1[Campo],Plano_V3!F552)</f>
        <v>2.0249999999999999</v>
      </c>
      <c r="L552" s="183">
        <f t="shared" si="346"/>
        <v>0.25312499999999999</v>
      </c>
      <c r="M552" s="177"/>
      <c r="N552" s="177">
        <f t="shared" si="347"/>
        <v>0.25</v>
      </c>
      <c r="O552" s="177">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3">
        <f>SUMIFS(Table1[Estimação (horas)],Table1[Tabela],Plano_V3!E554,Table1[Campo],Plano_V3!F554)</f>
        <v>8.1</v>
      </c>
      <c r="J554" s="183">
        <f t="shared" si="345"/>
        <v>1.0125</v>
      </c>
      <c r="K554" s="183">
        <f>SUMIFS(Table1[Horas efetivas],Table1[Tabela],Plano_V3!E554,Table1[Campo],Plano_V3!F554)</f>
        <v>2.0249999999999999</v>
      </c>
      <c r="L554" s="183">
        <f t="shared" si="346"/>
        <v>0.25312499999999999</v>
      </c>
      <c r="M554" s="177"/>
      <c r="N554" s="177">
        <f t="shared" si="347"/>
        <v>0.25</v>
      </c>
      <c r="O554" s="177">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3">
        <f>SUMIFS(Table1[Estimação (horas)],Table1[Tabela],Plano_V3!E555,Table1[Campo],Plano_V3!F555)</f>
        <v>8.1</v>
      </c>
      <c r="J555" s="183">
        <f t="shared" si="345"/>
        <v>1.0125</v>
      </c>
      <c r="K555" s="183">
        <f>SUMIFS(Table1[Horas efetivas],Table1[Tabela],Plano_V3!E555,Table1[Campo],Plano_V3!F555)</f>
        <v>2.0249999999999999</v>
      </c>
      <c r="L555" s="183">
        <f t="shared" si="346"/>
        <v>0.25312499999999999</v>
      </c>
      <c r="M555" s="177"/>
      <c r="N555" s="177">
        <f t="shared" si="347"/>
        <v>0.25</v>
      </c>
      <c r="O555" s="177">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3">
        <f>SUMIFS(Table1[Estimação (horas)],Table1[Tabela],Plano_V3!E556,Table1[Campo],Plano_V3!F556)</f>
        <v>8.1</v>
      </c>
      <c r="J556" s="183">
        <f t="shared" si="345"/>
        <v>1.0125</v>
      </c>
      <c r="K556" s="183">
        <f>SUMIFS(Table1[Horas efetivas],Table1[Tabela],Plano_V3!E556,Table1[Campo],Plano_V3!F556)</f>
        <v>2.0249999999999999</v>
      </c>
      <c r="L556" s="183">
        <f t="shared" si="346"/>
        <v>0.25312499999999999</v>
      </c>
      <c r="M556" s="177"/>
      <c r="N556" s="177">
        <f t="shared" si="347"/>
        <v>0.25</v>
      </c>
      <c r="O556" s="177">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5"/>
        <v>0.51249999999999996</v>
      </c>
      <c r="K558" s="183">
        <f>SUMIFS(Table1[Horas efetivas],Table1[Tabela],Plano_V3!E558,Table1[Campo],Plano_V3!F558)</f>
        <v>0</v>
      </c>
      <c r="L558" s="183">
        <f t="shared" si="346"/>
        <v>0</v>
      </c>
      <c r="M558" s="177"/>
      <c r="N558" s="177">
        <f t="shared" si="347"/>
        <v>0</v>
      </c>
      <c r="O558" s="177">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3">
        <f>SUMIFS(Table1[Estimação (horas)],Table1[Tabela],Plano_V3!E559,Table1[Campo],Plano_V3!F559)</f>
        <v>4.0999999999999996</v>
      </c>
      <c r="J559" s="183">
        <f t="shared" si="345"/>
        <v>0.51249999999999996</v>
      </c>
      <c r="K559" s="183">
        <f>SUMIFS(Table1[Horas efetivas],Table1[Tabela],Plano_V3!E559,Table1[Campo],Plano_V3!F559)</f>
        <v>1.0249999999999999</v>
      </c>
      <c r="L559" s="183">
        <f t="shared" si="346"/>
        <v>0.12812499999999999</v>
      </c>
      <c r="M559" s="177"/>
      <c r="N559" s="177">
        <f t="shared" si="347"/>
        <v>0.25</v>
      </c>
      <c r="O559" s="177">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3">
        <f>SUMIFS(Table1[Estimação (horas)],Table1[Tabela],Plano_V3!E560,Table1[Campo],Plano_V3!F560)</f>
        <v>8.1</v>
      </c>
      <c r="J560" s="183">
        <f t="shared" si="345"/>
        <v>1.0125</v>
      </c>
      <c r="K560" s="183">
        <f>SUMIFS(Table1[Horas efetivas],Table1[Tabela],Plano_V3!E560,Table1[Campo],Plano_V3!F560)</f>
        <v>2.0249999999999999</v>
      </c>
      <c r="L560" s="183">
        <f t="shared" si="346"/>
        <v>0.25312499999999999</v>
      </c>
      <c r="M560" s="177"/>
      <c r="N560" s="177">
        <f t="shared" si="347"/>
        <v>0.25</v>
      </c>
      <c r="O560" s="177">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3" t="e">
        <f>SUM(I453:I560)*$D$7</f>
        <v>#N/A</v>
      </c>
      <c r="J561" s="183" t="e">
        <f>I561/8</f>
        <v>#N/A</v>
      </c>
      <c r="K561" s="183" t="e">
        <f>SUM(K453:K560)*$D$7</f>
        <v>#N/A</v>
      </c>
      <c r="L561" s="183" t="e">
        <f>K561/8</f>
        <v>#N/A</v>
      </c>
      <c r="M561" s="177"/>
      <c r="N561" s="177" t="e">
        <f t="shared" si="347"/>
        <v>#N/A</v>
      </c>
      <c r="O561" s="177"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82" t="e">
        <f>SUM(I563:I768)</f>
        <v>#N/A</v>
      </c>
      <c r="J562" s="182" t="e">
        <f>ROUNDUP(I562/8,0)</f>
        <v>#N/A</v>
      </c>
      <c r="K562" s="182" t="e">
        <f>SUM(K563:K768)</f>
        <v>#N/A</v>
      </c>
      <c r="L562" s="182" t="e">
        <f>ROUNDUP(K562/8,0)</f>
        <v>#N/A</v>
      </c>
      <c r="M562" s="181" t="e">
        <f>SUMIFS(R562:ES562,$R$9:$ES$9,"S")/J562</f>
        <v>#N/A</v>
      </c>
      <c r="N562" s="181">
        <f>IFERROR(L562/J562,0)</f>
        <v>0</v>
      </c>
      <c r="O562" s="181" t="e">
        <f t="shared" si="340"/>
        <v>#N/A</v>
      </c>
      <c r="P562" s="189"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9">I563/8</f>
        <v>0.51249999999999996</v>
      </c>
      <c r="K563" s="175">
        <f>SUMIFS(Table1[Horas efetivas],Table1[Tabela],Plano_V3!E563,Table1[Campo],Plano_V3!F563)</f>
        <v>1.0249999999999999</v>
      </c>
      <c r="L563" s="175">
        <f t="shared" ref="L563:L594" si="350">K563/8</f>
        <v>0.12812499999999999</v>
      </c>
      <c r="M563" s="177"/>
      <c r="N563" s="177">
        <f t="shared" ref="N563:N594" si="351">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9"/>
        <v>0.51249999999999996</v>
      </c>
      <c r="K564" s="175">
        <f>SUMIFS(Table1[Horas efetivas],Table1[Tabela],Plano_V3!E564,Table1[Campo],Plano_V3!F564)</f>
        <v>4.0999999999999996</v>
      </c>
      <c r="L564" s="175">
        <f t="shared" si="350"/>
        <v>0.51249999999999996</v>
      </c>
      <c r="M564" s="177"/>
      <c r="N564" s="177">
        <f t="shared" si="351"/>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9"/>
        <v>0.51249999999999996</v>
      </c>
      <c r="K565" s="175">
        <f>SUMIFS(Table1[Horas efetivas],Table1[Tabela],Plano_V3!E565,Table1[Campo],Plano_V3!F565)</f>
        <v>4.0999999999999996</v>
      </c>
      <c r="L565" s="175">
        <f t="shared" si="350"/>
        <v>0.51249999999999996</v>
      </c>
      <c r="M565" s="177"/>
      <c r="N565" s="177">
        <f t="shared" si="351"/>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9"/>
        <v>0.51249999999999996</v>
      </c>
      <c r="K566" s="175">
        <f>SUMIFS(Table1[Horas efetivas],Table1[Tabela],Plano_V3!E566,Table1[Campo],Plano_V3!F566)</f>
        <v>4.0999999999999996</v>
      </c>
      <c r="L566" s="175">
        <f t="shared" si="350"/>
        <v>0.51249999999999996</v>
      </c>
      <c r="M566" s="177"/>
      <c r="N566" s="177">
        <f t="shared" si="351"/>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9"/>
        <v>0.51249999999999996</v>
      </c>
      <c r="K567" s="175">
        <f>SUMIFS(Table1[Horas efetivas],Table1[Tabela],Plano_V3!E567,Table1[Campo],Plano_V3!F567)</f>
        <v>4.0999999999999996</v>
      </c>
      <c r="L567" s="175">
        <f t="shared" si="350"/>
        <v>0.51249999999999996</v>
      </c>
      <c r="M567" s="177"/>
      <c r="N567" s="177">
        <f t="shared" si="351"/>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9"/>
        <v>0.51249999999999996</v>
      </c>
      <c r="K568" s="175">
        <f>SUMIFS(Table1[Horas efetivas],Table1[Tabela],Plano_V3!E568,Table1[Campo],Plano_V3!F568)</f>
        <v>4.0999999999999996</v>
      </c>
      <c r="L568" s="175">
        <f t="shared" si="350"/>
        <v>0.51249999999999996</v>
      </c>
      <c r="M568" s="177"/>
      <c r="N568" s="177">
        <f t="shared" si="351"/>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9"/>
        <v>0.51249999999999996</v>
      </c>
      <c r="K569" s="175">
        <f>SUMIFS(Table1[Horas efetivas],Table1[Tabela],Plano_V3!E569,Table1[Campo],Plano_V3!F569)</f>
        <v>4.0999999999999996</v>
      </c>
      <c r="L569" s="175">
        <f t="shared" si="350"/>
        <v>0.51249999999999996</v>
      </c>
      <c r="M569" s="177"/>
      <c r="N569" s="177">
        <f t="shared" si="351"/>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9"/>
        <v>0.51249999999999996</v>
      </c>
      <c r="K570" s="175">
        <f>SUMIFS(Table1[Horas efetivas],Table1[Tabela],Plano_V3!E570,Table1[Campo],Plano_V3!F570)</f>
        <v>4.0999999999999996</v>
      </c>
      <c r="L570" s="175">
        <f t="shared" si="350"/>
        <v>0.51249999999999996</v>
      </c>
      <c r="M570" s="177"/>
      <c r="N570" s="177">
        <f t="shared" si="351"/>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9"/>
        <v>0.51249999999999996</v>
      </c>
      <c r="K571" s="175">
        <f>SUMIFS(Table1[Horas efetivas],Table1[Tabela],Plano_V3!E571,Table1[Campo],Plano_V3!F571)</f>
        <v>4.0999999999999996</v>
      </c>
      <c r="L571" s="175">
        <f t="shared" si="350"/>
        <v>0.51249999999999996</v>
      </c>
      <c r="M571" s="177"/>
      <c r="N571" s="177">
        <f t="shared" si="351"/>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9"/>
        <v>0.51249999999999996</v>
      </c>
      <c r="K572" s="175">
        <f>SUMIFS(Table1[Horas efetivas],Table1[Tabela],Plano_V3!E572,Table1[Campo],Plano_V3!F572)</f>
        <v>4.0999999999999996</v>
      </c>
      <c r="L572" s="175">
        <f t="shared" si="350"/>
        <v>0.51249999999999996</v>
      </c>
      <c r="M572" s="177"/>
      <c r="N572" s="177">
        <f t="shared" si="351"/>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9"/>
        <v>0.51249999999999996</v>
      </c>
      <c r="K573" s="175">
        <f>SUMIFS(Table1[Horas efetivas],Table1[Tabela],Plano_V3!E573,Table1[Campo],Plano_V3!F573)</f>
        <v>4.0999999999999996</v>
      </c>
      <c r="L573" s="175">
        <f t="shared" si="350"/>
        <v>0.51249999999999996</v>
      </c>
      <c r="M573" s="177"/>
      <c r="N573" s="177">
        <f t="shared" si="351"/>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9"/>
        <v>0.51249999999999996</v>
      </c>
      <c r="K574" s="175">
        <f>SUMIFS(Table1[Horas efetivas],Table1[Tabela],Plano_V3!E574,Table1[Campo],Plano_V3!F574)</f>
        <v>4.0999999999999996</v>
      </c>
      <c r="L574" s="175">
        <f t="shared" si="350"/>
        <v>0.51249999999999996</v>
      </c>
      <c r="M574" s="177"/>
      <c r="N574" s="177">
        <f t="shared" si="351"/>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9"/>
        <v>0.51249999999999996</v>
      </c>
      <c r="K575" s="175">
        <f>SUMIFS(Table1[Horas efetivas],Table1[Tabela],Plano_V3!E575,Table1[Campo],Plano_V3!F575)</f>
        <v>4.0999999999999996</v>
      </c>
      <c r="L575" s="175">
        <f t="shared" si="350"/>
        <v>0.51249999999999996</v>
      </c>
      <c r="M575" s="177"/>
      <c r="N575" s="177">
        <f t="shared" si="351"/>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9"/>
        <v>0.51249999999999996</v>
      </c>
      <c r="K576" s="175">
        <f>SUMIFS(Table1[Horas efetivas],Table1[Tabela],Plano_V3!E576,Table1[Campo],Plano_V3!F576)</f>
        <v>4.0999999999999996</v>
      </c>
      <c r="L576" s="175">
        <f t="shared" si="350"/>
        <v>0.51249999999999996</v>
      </c>
      <c r="M576" s="177"/>
      <c r="N576" s="177">
        <f t="shared" si="351"/>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9"/>
        <v>0.51249999999999996</v>
      </c>
      <c r="K577" s="175">
        <f>SUMIFS(Table1[Horas efetivas],Table1[Tabela],Plano_V3!E577,Table1[Campo],Plano_V3!F577)</f>
        <v>4.0999999999999996</v>
      </c>
      <c r="L577" s="175">
        <f t="shared" si="350"/>
        <v>0.51249999999999996</v>
      </c>
      <c r="M577" s="177"/>
      <c r="N577" s="177">
        <f t="shared" si="351"/>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9"/>
        <v>0.51249999999999996</v>
      </c>
      <c r="K578" s="175">
        <f>SUMIFS(Table1[Horas efetivas],Table1[Tabela],Plano_V3!E578,Table1[Campo],Plano_V3!F578)</f>
        <v>4.0999999999999996</v>
      </c>
      <c r="L578" s="175">
        <f t="shared" si="350"/>
        <v>0.51249999999999996</v>
      </c>
      <c r="M578" s="177"/>
      <c r="N578" s="177">
        <f t="shared" si="351"/>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9"/>
        <v>0.51249999999999996</v>
      </c>
      <c r="K579" s="175">
        <f>SUMIFS(Table1[Horas efetivas],Table1[Tabela],Plano_V3!E579,Table1[Campo],Plano_V3!F579)</f>
        <v>4.0999999999999996</v>
      </c>
      <c r="L579" s="175">
        <f t="shared" si="350"/>
        <v>0.51249999999999996</v>
      </c>
      <c r="M579" s="177"/>
      <c r="N579" s="177">
        <f t="shared" si="351"/>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9"/>
        <v>0.51249999999999996</v>
      </c>
      <c r="K580" s="175">
        <f>SUMIFS(Table1[Horas efetivas],Table1[Tabela],Plano_V3!E580,Table1[Campo],Plano_V3!F580)</f>
        <v>4.0999999999999996</v>
      </c>
      <c r="L580" s="175">
        <f t="shared" si="350"/>
        <v>0.51249999999999996</v>
      </c>
      <c r="M580" s="177"/>
      <c r="N580" s="177">
        <f t="shared" si="351"/>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9"/>
        <v>0.51249999999999996</v>
      </c>
      <c r="K581" s="175">
        <f>SUMIFS(Table1[Horas efetivas],Table1[Tabela],Plano_V3!E581,Table1[Campo],Plano_V3!F581)</f>
        <v>4.0999999999999996</v>
      </c>
      <c r="L581" s="175">
        <f t="shared" si="350"/>
        <v>0.51249999999999996</v>
      </c>
      <c r="M581" s="177"/>
      <c r="N581" s="177">
        <f t="shared" si="351"/>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9"/>
        <v>0.51249999999999996</v>
      </c>
      <c r="K582" s="175">
        <f>SUMIFS(Table1[Horas efetivas],Table1[Tabela],Plano_V3!E582,Table1[Campo],Plano_V3!F582)</f>
        <v>4.0999999999999996</v>
      </c>
      <c r="L582" s="175">
        <f t="shared" si="350"/>
        <v>0.51249999999999996</v>
      </c>
      <c r="M582" s="177"/>
      <c r="N582" s="177">
        <f t="shared" si="351"/>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9"/>
        <v>0.51249999999999996</v>
      </c>
      <c r="K583" s="175">
        <f>SUMIFS(Table1[Horas efetivas],Table1[Tabela],Plano_V3!E583,Table1[Campo],Plano_V3!F583)</f>
        <v>1.0249999999999999</v>
      </c>
      <c r="L583" s="175">
        <f t="shared" si="350"/>
        <v>0.12812499999999999</v>
      </c>
      <c r="M583" s="177"/>
      <c r="N583" s="177">
        <f t="shared" si="351"/>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9"/>
        <v>0.51249999999999996</v>
      </c>
      <c r="K584" s="175">
        <f>SUMIFS(Table1[Horas efetivas],Table1[Tabela],Plano_V3!E584,Table1[Campo],Plano_V3!F584)</f>
        <v>1.0249999999999999</v>
      </c>
      <c r="L584" s="175">
        <f t="shared" si="350"/>
        <v>0.12812499999999999</v>
      </c>
      <c r="M584" s="177"/>
      <c r="N584" s="177">
        <f t="shared" si="351"/>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9"/>
        <v>0.51249999999999996</v>
      </c>
      <c r="K585" s="175">
        <f>SUMIFS(Table1[Horas efetivas],Table1[Tabela],Plano_V3!E585,Table1[Campo],Plano_V3!F585)</f>
        <v>4.0999999999999996</v>
      </c>
      <c r="L585" s="175">
        <f t="shared" si="350"/>
        <v>0.51249999999999996</v>
      </c>
      <c r="M585" s="177"/>
      <c r="N585" s="177">
        <f t="shared" si="351"/>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 xml:space="preserve">6. Em implementação </v>
      </c>
      <c r="H586" s="64">
        <f>VLOOKUP(A586,'Aux - pivots1'!$A:$B,2,0)</f>
        <v>7</v>
      </c>
      <c r="I586" s="175">
        <f>SUMIFS(Table1[Estimação (horas)],Table1[Tabela],Plano_V3!E586,Table1[Campo],Plano_V3!F586)</f>
        <v>4.0999999999999996</v>
      </c>
      <c r="J586" s="175">
        <f t="shared" si="349"/>
        <v>0.51249999999999996</v>
      </c>
      <c r="K586" s="175">
        <f>SUMIFS(Table1[Horas efetivas],Table1[Tabela],Plano_V3!E586,Table1[Campo],Plano_V3!F586)</f>
        <v>1.0249999999999999</v>
      </c>
      <c r="L586" s="175">
        <f t="shared" si="350"/>
        <v>0.12812499999999999</v>
      </c>
      <c r="M586" s="177"/>
      <c r="N586" s="177">
        <f t="shared" si="351"/>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9"/>
        <v>0.51249999999999996</v>
      </c>
      <c r="K587" s="175">
        <f>SUMIFS(Table1[Horas efetivas],Table1[Tabela],Plano_V3!E587,Table1[Campo],Plano_V3!F587)</f>
        <v>4.0999999999999996</v>
      </c>
      <c r="L587" s="175">
        <f t="shared" si="350"/>
        <v>0.51249999999999996</v>
      </c>
      <c r="M587" s="177"/>
      <c r="N587" s="177">
        <f t="shared" si="351"/>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9"/>
        <v>0.51249999999999996</v>
      </c>
      <c r="K588" s="175">
        <f>SUMIFS(Table1[Horas efetivas],Table1[Tabela],Plano_V3!E588,Table1[Campo],Plano_V3!F588)</f>
        <v>4.0999999999999996</v>
      </c>
      <c r="L588" s="175">
        <f t="shared" si="350"/>
        <v>0.51249999999999996</v>
      </c>
      <c r="M588" s="177"/>
      <c r="N588" s="177">
        <f t="shared" si="351"/>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9"/>
        <v>0.51249999999999996</v>
      </c>
      <c r="K589" s="175">
        <f>SUMIFS(Table1[Horas efetivas],Table1[Tabela],Plano_V3!E589,Table1[Campo],Plano_V3!F589)</f>
        <v>4.0999999999999996</v>
      </c>
      <c r="L589" s="175">
        <f t="shared" si="350"/>
        <v>0.51249999999999996</v>
      </c>
      <c r="M589" s="177"/>
      <c r="N589" s="177">
        <f t="shared" si="351"/>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9"/>
        <v>0.51249999999999996</v>
      </c>
      <c r="K590" s="175">
        <f>SUMIFS(Table1[Horas efetivas],Table1[Tabela],Plano_V3!E590,Table1[Campo],Plano_V3!F590)</f>
        <v>4.0999999999999996</v>
      </c>
      <c r="L590" s="175">
        <f t="shared" si="350"/>
        <v>0.51249999999999996</v>
      </c>
      <c r="M590" s="177"/>
      <c r="N590" s="177">
        <f t="shared" si="351"/>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9"/>
        <v>0.51249999999999996</v>
      </c>
      <c r="K591" s="175">
        <f>SUMIFS(Table1[Horas efetivas],Table1[Tabela],Plano_V3!E591,Table1[Campo],Plano_V3!F591)</f>
        <v>4.0999999999999996</v>
      </c>
      <c r="L591" s="175">
        <f t="shared" si="350"/>
        <v>0.51249999999999996</v>
      </c>
      <c r="M591" s="177"/>
      <c r="N591" s="177">
        <f t="shared" si="351"/>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9"/>
        <v>0.51249999999999996</v>
      </c>
      <c r="K592" s="175">
        <f>SUMIFS(Table1[Horas efetivas],Table1[Tabela],Plano_V3!E592,Table1[Campo],Plano_V3!F592)</f>
        <v>4.0999999999999996</v>
      </c>
      <c r="L592" s="175">
        <f t="shared" si="350"/>
        <v>0.51249999999999996</v>
      </c>
      <c r="M592" s="177"/>
      <c r="N592" s="177">
        <f t="shared" si="351"/>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9"/>
        <v>0.51249999999999996</v>
      </c>
      <c r="K593" s="175">
        <f>SUMIFS(Table1[Horas efetivas],Table1[Tabela],Plano_V3!E593,Table1[Campo],Plano_V3!F593)</f>
        <v>4.0999999999999996</v>
      </c>
      <c r="L593" s="175">
        <f t="shared" si="350"/>
        <v>0.51249999999999996</v>
      </c>
      <c r="M593" s="177"/>
      <c r="N593" s="177">
        <f t="shared" si="351"/>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9"/>
        <v>0.51249999999999996</v>
      </c>
      <c r="K594" s="175">
        <f>SUMIFS(Table1[Horas efetivas],Table1[Tabela],Plano_V3!E594,Table1[Campo],Plano_V3!F594)</f>
        <v>4.0999999999999996</v>
      </c>
      <c r="L594" s="175">
        <f t="shared" si="350"/>
        <v>0.51249999999999996</v>
      </c>
      <c r="M594" s="177"/>
      <c r="N594" s="177">
        <f t="shared" si="351"/>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7" t="s">
        <v>2192</v>
      </c>
      <c r="G595" s="64" t="str">
        <f>INDEX(Auxiliar!$B$16:$B$24,MATCH(Plano_V3!H595,Auxiliar!$C$16:$C$24,0),1)</f>
        <v>2.1 Em Teste</v>
      </c>
      <c r="H595" s="64">
        <f>VLOOKUP(A595,'Aux - pivots1'!$A:$B,2,0)</f>
        <v>2</v>
      </c>
      <c r="I595" s="175">
        <f>SUMIFS(Table1[Estimação (horas)],Table1[Tabela],Plano_V3!E595,Table1[Campo],Plano_V3!F595)</f>
        <v>1</v>
      </c>
      <c r="J595" s="175">
        <f t="shared" ref="J595:J618" si="353">I595/8</f>
        <v>0.125</v>
      </c>
      <c r="K595" s="175">
        <f>SUMIFS(Table1[Horas efetivas],Table1[Tabela],Plano_V3!E595,Table1[Campo],Plano_V3!F595)</f>
        <v>0.5</v>
      </c>
      <c r="L595" s="175">
        <f t="shared" ref="L595:L618" si="354">K595/8</f>
        <v>6.25E-2</v>
      </c>
      <c r="M595" s="177"/>
      <c r="N595" s="177">
        <f t="shared" ref="N595:N618" si="355">L595/J595</f>
        <v>0.5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7" t="s">
        <v>2193</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53"/>
        <v>0.125</v>
      </c>
      <c r="K596" s="175">
        <f>SUMIFS(Table1[Horas efetivas],Table1[Tabela],Plano_V3!E596,Table1[Campo],Plano_V3!F596)</f>
        <v>0.25</v>
      </c>
      <c r="L596" s="175">
        <f t="shared" si="354"/>
        <v>3.125E-2</v>
      </c>
      <c r="M596" s="177"/>
      <c r="N596" s="177">
        <f t="shared" si="355"/>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7" t="s">
        <v>2194</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53"/>
        <v>0.125</v>
      </c>
      <c r="K597" s="175">
        <f>SUMIFS(Table1[Horas efetivas],Table1[Tabela],Plano_V3!E597,Table1[Campo],Plano_V3!F597)</f>
        <v>0.25</v>
      </c>
      <c r="L597" s="175">
        <f t="shared" si="354"/>
        <v>3.125E-2</v>
      </c>
      <c r="M597" s="177"/>
      <c r="N597" s="177">
        <f t="shared" si="355"/>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7" t="s">
        <v>2195</v>
      </c>
      <c r="G598" s="64" t="s">
        <v>2320</v>
      </c>
      <c r="H598" s="64">
        <f>VLOOKUP(A598,'Aux - pivots1'!$A:$B,2,0)</f>
        <v>7</v>
      </c>
      <c r="I598" s="175">
        <f>SUMIFS(Table1[Estimação (horas)],Table1[Tabela],Plano_V3!E598,Table1[Campo],Plano_V3!F598)</f>
        <v>1</v>
      </c>
      <c r="J598" s="175">
        <f t="shared" si="353"/>
        <v>0.125</v>
      </c>
      <c r="K598" s="175">
        <f>SUMIFS(Table1[Horas efetivas],Table1[Tabela],Plano_V3!E598,Table1[Campo],Plano_V3!F598)</f>
        <v>0.25</v>
      </c>
      <c r="L598" s="175">
        <f t="shared" si="354"/>
        <v>3.125E-2</v>
      </c>
      <c r="M598" s="177"/>
      <c r="N598" s="177">
        <f t="shared" si="355"/>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7" t="s">
        <v>2196</v>
      </c>
      <c r="G599" s="64" t="str">
        <f>INDEX(Auxiliar!$B$16:$B$24,MATCH(Plano_V3!H599,Auxiliar!$C$16:$C$24,0),1)</f>
        <v>2.1 Em Teste</v>
      </c>
      <c r="H599" s="64">
        <f>VLOOKUP(A599,'Aux - pivots1'!$A:$B,2,0)</f>
        <v>2</v>
      </c>
      <c r="I599" s="175">
        <f>SUMIFS(Table1[Estimação (horas)],Table1[Tabela],Plano_V3!E599,Table1[Campo],Plano_V3!F599)</f>
        <v>1</v>
      </c>
      <c r="J599" s="175">
        <f t="shared" si="353"/>
        <v>0.125</v>
      </c>
      <c r="K599" s="175">
        <f>SUMIFS(Table1[Horas efetivas],Table1[Tabela],Plano_V3!E599,Table1[Campo],Plano_V3!F599)</f>
        <v>0.5</v>
      </c>
      <c r="L599" s="175">
        <f t="shared" si="354"/>
        <v>6.25E-2</v>
      </c>
      <c r="M599" s="177"/>
      <c r="N599" s="177">
        <f t="shared" si="355"/>
        <v>0.5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7" t="s">
        <v>2197</v>
      </c>
      <c r="G600" s="64" t="str">
        <f>INDEX(Auxiliar!$B$16:$B$24,MATCH(Plano_V3!H600,Auxiliar!$C$16:$C$24,0),1)</f>
        <v>2.1 Em Teste</v>
      </c>
      <c r="H600" s="64">
        <f>VLOOKUP(A600,'Aux - pivots1'!$A:$B,2,0)</f>
        <v>2</v>
      </c>
      <c r="I600" s="175">
        <f>SUMIFS(Table1[Estimação (horas)],Table1[Tabela],Plano_V3!E600,Table1[Campo],Plano_V3!F600)</f>
        <v>1</v>
      </c>
      <c r="J600" s="175">
        <f t="shared" si="353"/>
        <v>0.125</v>
      </c>
      <c r="K600" s="175">
        <f>SUMIFS(Table1[Horas efetivas],Table1[Tabela],Plano_V3!E600,Table1[Campo],Plano_V3!F600)</f>
        <v>0.5</v>
      </c>
      <c r="L600" s="175">
        <f t="shared" si="354"/>
        <v>6.25E-2</v>
      </c>
      <c r="M600" s="177"/>
      <c r="N600" s="177">
        <f t="shared" si="355"/>
        <v>0.5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7" t="s">
        <v>2198</v>
      </c>
      <c r="G601" s="64" t="str">
        <f>INDEX(Auxiliar!$B$16:$B$24,MATCH(Plano_V3!H601,Auxiliar!$C$16:$C$24,0),1)</f>
        <v>2.1 Em Teste</v>
      </c>
      <c r="H601" s="64">
        <f>VLOOKUP(A601,'Aux - pivots1'!$A:$B,2,0)</f>
        <v>2</v>
      </c>
      <c r="I601" s="175">
        <f>SUMIFS(Table1[Estimação (horas)],Table1[Tabela],Plano_V3!E601,Table1[Campo],Plano_V3!F601)</f>
        <v>1</v>
      </c>
      <c r="J601" s="175">
        <f t="shared" si="353"/>
        <v>0.125</v>
      </c>
      <c r="K601" s="175">
        <f>SUMIFS(Table1[Horas efetivas],Table1[Tabela],Plano_V3!E601,Table1[Campo],Plano_V3!F601)</f>
        <v>0.5</v>
      </c>
      <c r="L601" s="175">
        <f t="shared" si="354"/>
        <v>6.25E-2</v>
      </c>
      <c r="M601" s="177"/>
      <c r="N601" s="177">
        <f t="shared" si="355"/>
        <v>0.5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7" t="s">
        <v>2199</v>
      </c>
      <c r="G602" s="64" t="str">
        <f>INDEX(Auxiliar!$B$16:$B$24,MATCH(Plano_V3!H602,Auxiliar!$C$16:$C$24,0),1)</f>
        <v>2.1 Em Teste</v>
      </c>
      <c r="H602" s="64">
        <f>VLOOKUP(A602,'Aux - pivots1'!$A:$B,2,0)</f>
        <v>2</v>
      </c>
      <c r="I602" s="175">
        <f>SUMIFS(Table1[Estimação (horas)],Table1[Tabela],Plano_V3!E602,Table1[Campo],Plano_V3!F602)</f>
        <v>1</v>
      </c>
      <c r="J602" s="175">
        <f t="shared" si="353"/>
        <v>0.125</v>
      </c>
      <c r="K602" s="175">
        <f>SUMIFS(Table1[Horas efetivas],Table1[Tabela],Plano_V3!E602,Table1[Campo],Plano_V3!F602)</f>
        <v>0.5</v>
      </c>
      <c r="L602" s="175">
        <f t="shared" si="354"/>
        <v>6.25E-2</v>
      </c>
      <c r="M602" s="177"/>
      <c r="N602" s="177">
        <f t="shared" si="355"/>
        <v>0.5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7" t="s">
        <v>2200</v>
      </c>
      <c r="G603" s="64" t="str">
        <f>INDEX(Auxiliar!$B$16:$B$24,MATCH(Plano_V3!H603,Auxiliar!$C$16:$C$24,0),1)</f>
        <v>2.1 Em Teste</v>
      </c>
      <c r="H603" s="64">
        <f>VLOOKUP(A603,'Aux - pivots1'!$A:$B,2,0)</f>
        <v>2</v>
      </c>
      <c r="I603" s="175">
        <f>SUMIFS(Table1[Estimação (horas)],Table1[Tabela],Plano_V3!E603,Table1[Campo],Plano_V3!F603)</f>
        <v>1</v>
      </c>
      <c r="J603" s="175">
        <f t="shared" si="353"/>
        <v>0.125</v>
      </c>
      <c r="K603" s="175">
        <f>SUMIFS(Table1[Horas efetivas],Table1[Tabela],Plano_V3!E603,Table1[Campo],Plano_V3!F603)</f>
        <v>0.5</v>
      </c>
      <c r="L603" s="175">
        <f t="shared" si="354"/>
        <v>6.25E-2</v>
      </c>
      <c r="M603" s="177"/>
      <c r="N603" s="177">
        <f t="shared" si="355"/>
        <v>0.5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7" t="s">
        <v>2201</v>
      </c>
      <c r="G604" s="64" t="str">
        <f>INDEX(Auxiliar!$B$16:$B$24,MATCH(Plano_V3!H604,Auxiliar!$C$16:$C$24,0),1)</f>
        <v>2.1 Em Teste</v>
      </c>
      <c r="H604" s="64">
        <f>VLOOKUP(A604,'Aux - pivots1'!$A:$B,2,0)</f>
        <v>2</v>
      </c>
      <c r="I604" s="175">
        <f>SUMIFS(Table1[Estimação (horas)],Table1[Tabela],Plano_V3!E604,Table1[Campo],Plano_V3!F604)</f>
        <v>1</v>
      </c>
      <c r="J604" s="175">
        <f t="shared" si="353"/>
        <v>0.125</v>
      </c>
      <c r="K604" s="175">
        <f>SUMIFS(Table1[Horas efetivas],Table1[Tabela],Plano_V3!E604,Table1[Campo],Plano_V3!F604)</f>
        <v>0.5</v>
      </c>
      <c r="L604" s="175">
        <f t="shared" si="354"/>
        <v>6.25E-2</v>
      </c>
      <c r="M604" s="177"/>
      <c r="N604" s="177">
        <f t="shared" si="355"/>
        <v>0.5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7" t="s">
        <v>2202</v>
      </c>
      <c r="G605" s="64" t="str">
        <f>INDEX(Auxiliar!$B$16:$B$24,MATCH(Plano_V3!H605,Auxiliar!$C$16:$C$24,0),1)</f>
        <v>2.1 Em Teste</v>
      </c>
      <c r="H605" s="64">
        <f>VLOOKUP(A605,'Aux - pivots1'!$A:$B,2,0)</f>
        <v>2</v>
      </c>
      <c r="I605" s="175">
        <f>SUMIFS(Table1[Estimação (horas)],Table1[Tabela],Plano_V3!E605,Table1[Campo],Plano_V3!F605)</f>
        <v>1</v>
      </c>
      <c r="J605" s="175">
        <f t="shared" si="353"/>
        <v>0.125</v>
      </c>
      <c r="K605" s="175">
        <f>SUMIFS(Table1[Horas efetivas],Table1[Tabela],Plano_V3!E605,Table1[Campo],Plano_V3!F605)</f>
        <v>0.5</v>
      </c>
      <c r="L605" s="175">
        <f t="shared" si="354"/>
        <v>6.25E-2</v>
      </c>
      <c r="M605" s="177"/>
      <c r="N605" s="177">
        <f t="shared" si="355"/>
        <v>0.5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7" t="s">
        <v>2203</v>
      </c>
      <c r="G606" s="64" t="str">
        <f>INDEX(Auxiliar!$B$16:$B$24,MATCH(Plano_V3!H606,Auxiliar!$C$16:$C$24,0),1)</f>
        <v>2.1 Em Teste</v>
      </c>
      <c r="H606" s="64">
        <f>VLOOKUP(A606,'Aux - pivots1'!$A:$B,2,0)</f>
        <v>2</v>
      </c>
      <c r="I606" s="175">
        <f>SUMIFS(Table1[Estimação (horas)],Table1[Tabela],Plano_V3!E606,Table1[Campo],Plano_V3!F606)</f>
        <v>1</v>
      </c>
      <c r="J606" s="175">
        <f t="shared" si="353"/>
        <v>0.125</v>
      </c>
      <c r="K606" s="175">
        <f>SUMIFS(Table1[Horas efetivas],Table1[Tabela],Plano_V3!E606,Table1[Campo],Plano_V3!F606)</f>
        <v>0.5</v>
      </c>
      <c r="L606" s="175">
        <f t="shared" si="354"/>
        <v>6.25E-2</v>
      </c>
      <c r="M606" s="177"/>
      <c r="N606" s="177">
        <f t="shared" si="355"/>
        <v>0.5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7" t="s">
        <v>2204</v>
      </c>
      <c r="G607" s="64" t="str">
        <f>INDEX(Auxiliar!$B$16:$B$24,MATCH(Plano_V3!H607,Auxiliar!$C$16:$C$24,0),1)</f>
        <v>2.1 Em Teste</v>
      </c>
      <c r="H607" s="64">
        <f>VLOOKUP(A607,'Aux - pivots1'!$A:$B,2,0)</f>
        <v>2</v>
      </c>
      <c r="I607" s="175">
        <f>SUMIFS(Table1[Estimação (horas)],Table1[Tabela],Plano_V3!E607,Table1[Campo],Plano_V3!F607)</f>
        <v>1</v>
      </c>
      <c r="J607" s="175">
        <f t="shared" si="353"/>
        <v>0.125</v>
      </c>
      <c r="K607" s="175">
        <f>SUMIFS(Table1[Horas efetivas],Table1[Tabela],Plano_V3!E607,Table1[Campo],Plano_V3!F607)</f>
        <v>0.5</v>
      </c>
      <c r="L607" s="175">
        <f t="shared" si="354"/>
        <v>6.25E-2</v>
      </c>
      <c r="M607" s="177"/>
      <c r="N607" s="177">
        <f t="shared" si="355"/>
        <v>0.5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7" t="s">
        <v>2205</v>
      </c>
      <c r="G608" s="64" t="str">
        <f>INDEX(Auxiliar!$B$16:$B$24,MATCH(Plano_V3!H608,Auxiliar!$C$16:$C$24,0),1)</f>
        <v>2.1 Em Teste</v>
      </c>
      <c r="H608" s="64">
        <f>VLOOKUP(A608,'Aux - pivots1'!$A:$B,2,0)</f>
        <v>2</v>
      </c>
      <c r="I608" s="175">
        <f>SUMIFS(Table1[Estimação (horas)],Table1[Tabela],Plano_V3!E608,Table1[Campo],Plano_V3!F608)</f>
        <v>1</v>
      </c>
      <c r="J608" s="175">
        <f t="shared" si="353"/>
        <v>0.125</v>
      </c>
      <c r="K608" s="175">
        <f>SUMIFS(Table1[Horas efetivas],Table1[Tabela],Plano_V3!E608,Table1[Campo],Plano_V3!F608)</f>
        <v>0.5</v>
      </c>
      <c r="L608" s="175">
        <f t="shared" si="354"/>
        <v>6.25E-2</v>
      </c>
      <c r="M608" s="177"/>
      <c r="N608" s="177">
        <f t="shared" si="355"/>
        <v>0.5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7" t="s">
        <v>2206</v>
      </c>
      <c r="G609" s="64" t="str">
        <f>INDEX(Auxiliar!$B$16:$B$24,MATCH(Plano_V3!H609,Auxiliar!$C$16:$C$24,0),1)</f>
        <v>2.1 Em Teste</v>
      </c>
      <c r="H609" s="64">
        <f>VLOOKUP(A609,'Aux - pivots1'!$A:$B,2,0)</f>
        <v>2</v>
      </c>
      <c r="I609" s="175">
        <f>SUMIFS(Table1[Estimação (horas)],Table1[Tabela],Plano_V3!E609,Table1[Campo],Plano_V3!F609)</f>
        <v>1</v>
      </c>
      <c r="J609" s="175">
        <f t="shared" si="353"/>
        <v>0.125</v>
      </c>
      <c r="K609" s="175">
        <f>SUMIFS(Table1[Horas efetivas],Table1[Tabela],Plano_V3!E609,Table1[Campo],Plano_V3!F609)</f>
        <v>0.5</v>
      </c>
      <c r="L609" s="175">
        <f t="shared" si="354"/>
        <v>6.25E-2</v>
      </c>
      <c r="M609" s="177"/>
      <c r="N609" s="177">
        <f t="shared" si="355"/>
        <v>0.5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7" t="s">
        <v>2207</v>
      </c>
      <c r="G610" s="64" t="str">
        <f>INDEX(Auxiliar!$B$16:$B$24,MATCH(Plano_V3!H610,Auxiliar!$C$16:$C$24,0),1)</f>
        <v>2.1 Em Teste</v>
      </c>
      <c r="H610" s="64">
        <f>VLOOKUP(A610,'Aux - pivots1'!$A:$B,2,0)</f>
        <v>2</v>
      </c>
      <c r="I610" s="175">
        <f>SUMIFS(Table1[Estimação (horas)],Table1[Tabela],Plano_V3!E610,Table1[Campo],Plano_V3!F610)</f>
        <v>1</v>
      </c>
      <c r="J610" s="175">
        <f t="shared" si="353"/>
        <v>0.125</v>
      </c>
      <c r="K610" s="175">
        <f>SUMIFS(Table1[Horas efetivas],Table1[Tabela],Plano_V3!E610,Table1[Campo],Plano_V3!F610)</f>
        <v>0.5</v>
      </c>
      <c r="L610" s="175">
        <f t="shared" si="354"/>
        <v>6.25E-2</v>
      </c>
      <c r="M610" s="177"/>
      <c r="N610" s="177">
        <f t="shared" si="355"/>
        <v>0.5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7" t="s">
        <v>2208</v>
      </c>
      <c r="G611" s="64" t="str">
        <f>INDEX(Auxiliar!$B$16:$B$24,MATCH(Plano_V3!H611,Auxiliar!$C$16:$C$24,0),1)</f>
        <v>2.1 Em Teste</v>
      </c>
      <c r="H611" s="64">
        <f>VLOOKUP(A611,'Aux - pivots1'!$A:$B,2,0)</f>
        <v>2</v>
      </c>
      <c r="I611" s="175">
        <f>SUMIFS(Table1[Estimação (horas)],Table1[Tabela],Plano_V3!E611,Table1[Campo],Plano_V3!F611)</f>
        <v>1</v>
      </c>
      <c r="J611" s="175">
        <f t="shared" si="353"/>
        <v>0.125</v>
      </c>
      <c r="K611" s="175">
        <f>SUMIFS(Table1[Horas efetivas],Table1[Tabela],Plano_V3!E611,Table1[Campo],Plano_V3!F611)</f>
        <v>0.5</v>
      </c>
      <c r="L611" s="175">
        <f t="shared" si="354"/>
        <v>6.25E-2</v>
      </c>
      <c r="M611" s="177"/>
      <c r="N611" s="177">
        <f t="shared" si="355"/>
        <v>0.5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7" t="s">
        <v>2209</v>
      </c>
      <c r="G612" s="64" t="str">
        <f>INDEX(Auxiliar!$B$16:$B$24,MATCH(Plano_V3!H612,Auxiliar!$C$16:$C$24,0),1)</f>
        <v>2.1 Em Teste</v>
      </c>
      <c r="H612" s="64">
        <f>VLOOKUP(A612,'Aux - pivots1'!$A:$B,2,0)</f>
        <v>2</v>
      </c>
      <c r="I612" s="175">
        <f>SUMIFS(Table1[Estimação (horas)],Table1[Tabela],Plano_V3!E612,Table1[Campo],Plano_V3!F612)</f>
        <v>1</v>
      </c>
      <c r="J612" s="175">
        <f t="shared" si="353"/>
        <v>0.125</v>
      </c>
      <c r="K612" s="175">
        <f>SUMIFS(Table1[Horas efetivas],Table1[Tabela],Plano_V3!E612,Table1[Campo],Plano_V3!F612)</f>
        <v>0.5</v>
      </c>
      <c r="L612" s="175">
        <f t="shared" si="354"/>
        <v>6.25E-2</v>
      </c>
      <c r="M612" s="177"/>
      <c r="N612" s="177">
        <f t="shared" si="355"/>
        <v>0.5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7" t="s">
        <v>2210</v>
      </c>
      <c r="G613" s="64" t="str">
        <f>INDEX(Auxiliar!$B$16:$B$24,MATCH(Plano_V3!H613,Auxiliar!$C$16:$C$24,0),1)</f>
        <v>2.1 Em Teste</v>
      </c>
      <c r="H613" s="64">
        <f>VLOOKUP(A613,'Aux - pivots1'!$A:$B,2,0)</f>
        <v>2</v>
      </c>
      <c r="I613" s="175">
        <f>SUMIFS(Table1[Estimação (horas)],Table1[Tabela],Plano_V3!E613,Table1[Campo],Plano_V3!F613)</f>
        <v>1</v>
      </c>
      <c r="J613" s="175">
        <f t="shared" si="353"/>
        <v>0.125</v>
      </c>
      <c r="K613" s="175">
        <f>SUMIFS(Table1[Horas efetivas],Table1[Tabela],Plano_V3!E613,Table1[Campo],Plano_V3!F613)</f>
        <v>0.5</v>
      </c>
      <c r="L613" s="175">
        <f t="shared" si="354"/>
        <v>6.25E-2</v>
      </c>
      <c r="M613" s="177"/>
      <c r="N613" s="177">
        <f t="shared" si="355"/>
        <v>0.5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7" t="s">
        <v>2211</v>
      </c>
      <c r="G614" s="64" t="str">
        <f>INDEX(Auxiliar!$B$16:$B$24,MATCH(Plano_V3!H614,Auxiliar!$C$16:$C$24,0),1)</f>
        <v>2.1 Em Teste</v>
      </c>
      <c r="H614" s="64">
        <f>VLOOKUP(A614,'Aux - pivots1'!$A:$B,2,0)</f>
        <v>2</v>
      </c>
      <c r="I614" s="175">
        <f>SUMIFS(Table1[Estimação (horas)],Table1[Tabela],Plano_V3!E614,Table1[Campo],Plano_V3!F614)</f>
        <v>1</v>
      </c>
      <c r="J614" s="175">
        <f t="shared" si="353"/>
        <v>0.125</v>
      </c>
      <c r="K614" s="175">
        <f>SUMIFS(Table1[Horas efetivas],Table1[Tabela],Plano_V3!E614,Table1[Campo],Plano_V3!F614)</f>
        <v>0.5</v>
      </c>
      <c r="L614" s="175">
        <f t="shared" si="354"/>
        <v>6.25E-2</v>
      </c>
      <c r="M614" s="177"/>
      <c r="N614" s="177">
        <f t="shared" si="355"/>
        <v>0.5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7" t="s">
        <v>2212</v>
      </c>
      <c r="G615" s="64" t="str">
        <f>INDEX(Auxiliar!$B$16:$B$24,MATCH(Plano_V3!H615,Auxiliar!$C$16:$C$24,0),1)</f>
        <v>2.1 Em Teste</v>
      </c>
      <c r="H615" s="64">
        <f>VLOOKUP(A615,'Aux - pivots1'!$A:$B,2,0)</f>
        <v>2</v>
      </c>
      <c r="I615" s="175">
        <f>SUMIFS(Table1[Estimação (horas)],Table1[Tabela],Plano_V3!E615,Table1[Campo],Plano_V3!F615)</f>
        <v>1</v>
      </c>
      <c r="J615" s="175">
        <f t="shared" si="353"/>
        <v>0.125</v>
      </c>
      <c r="K615" s="175">
        <f>SUMIFS(Table1[Horas efetivas],Table1[Tabela],Plano_V3!E615,Table1[Campo],Plano_V3!F615)</f>
        <v>0.5</v>
      </c>
      <c r="L615" s="175">
        <f t="shared" si="354"/>
        <v>6.25E-2</v>
      </c>
      <c r="M615" s="177"/>
      <c r="N615" s="177">
        <f t="shared" si="355"/>
        <v>0.5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7" t="s">
        <v>2213</v>
      </c>
      <c r="G616" s="64" t="str">
        <f>INDEX(Auxiliar!$B$16:$B$24,MATCH(Plano_V3!H616,Auxiliar!$C$16:$C$24,0),1)</f>
        <v>2.1 Em Teste</v>
      </c>
      <c r="H616" s="64">
        <f>VLOOKUP(A616,'Aux - pivots1'!$A:$B,2,0)</f>
        <v>2</v>
      </c>
      <c r="I616" s="175">
        <f>SUMIFS(Table1[Estimação (horas)],Table1[Tabela],Plano_V3!E616,Table1[Campo],Plano_V3!F616)</f>
        <v>1</v>
      </c>
      <c r="J616" s="175">
        <f t="shared" si="353"/>
        <v>0.125</v>
      </c>
      <c r="K616" s="175">
        <f>SUMIFS(Table1[Horas efetivas],Table1[Tabela],Plano_V3!E616,Table1[Campo],Plano_V3!F616)</f>
        <v>0.5</v>
      </c>
      <c r="L616" s="175">
        <f t="shared" si="354"/>
        <v>6.25E-2</v>
      </c>
      <c r="M616" s="177"/>
      <c r="N616" s="177">
        <f t="shared" si="355"/>
        <v>0.5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7" t="s">
        <v>2214</v>
      </c>
      <c r="G617" s="64" t="str">
        <f>INDEX(Auxiliar!$B$16:$B$24,MATCH(Plano_V3!H617,Auxiliar!$C$16:$C$24,0),1)</f>
        <v>2.1 Em Teste</v>
      </c>
      <c r="H617" s="64">
        <f>VLOOKUP(A617,'Aux - pivots1'!$A:$B,2,0)</f>
        <v>2</v>
      </c>
      <c r="I617" s="175">
        <f>SUMIFS(Table1[Estimação (horas)],Table1[Tabela],Plano_V3!E617,Table1[Campo],Plano_V3!F617)</f>
        <v>1</v>
      </c>
      <c r="J617" s="175">
        <f t="shared" si="353"/>
        <v>0.125</v>
      </c>
      <c r="K617" s="175">
        <f>SUMIFS(Table1[Horas efetivas],Table1[Tabela],Plano_V3!E617,Table1[Campo],Plano_V3!F617)</f>
        <v>0.5</v>
      </c>
      <c r="L617" s="175">
        <f t="shared" si="354"/>
        <v>6.25E-2</v>
      </c>
      <c r="M617" s="177"/>
      <c r="N617" s="177">
        <f t="shared" si="355"/>
        <v>0.5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7" t="s">
        <v>2215</v>
      </c>
      <c r="G618" s="64" t="str">
        <f>INDEX(Auxiliar!$B$16:$B$24,MATCH(Plano_V3!H618,Auxiliar!$C$16:$C$24,0),1)</f>
        <v>2.1 Em Teste</v>
      </c>
      <c r="H618" s="64">
        <f>VLOOKUP(A618,'Aux - pivots1'!$A:$B,2,0)</f>
        <v>2</v>
      </c>
      <c r="I618" s="175">
        <f>SUMIFS(Table1[Estimação (horas)],Table1[Tabela],Plano_V3!E618,Table1[Campo],Plano_V3!F618)</f>
        <v>1</v>
      </c>
      <c r="J618" s="175">
        <f t="shared" si="353"/>
        <v>0.125</v>
      </c>
      <c r="K618" s="175">
        <f>SUMIFS(Table1[Horas efetivas],Table1[Tabela],Plano_V3!E618,Table1[Campo],Plano_V3!F618)</f>
        <v>0.5</v>
      </c>
      <c r="L618" s="175">
        <f t="shared" si="354"/>
        <v>6.25E-2</v>
      </c>
      <c r="M618" s="177"/>
      <c r="N618" s="177">
        <f t="shared" si="355"/>
        <v>0.5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 xml:space="preserve">6. Em implementação </v>
      </c>
      <c r="H619" s="64">
        <f>VLOOKUP(A619,'Aux - pivots1'!$A:$B,2,0)</f>
        <v>7</v>
      </c>
      <c r="I619" s="175">
        <f>SUMIFS(Table1[Estimação (horas)],Table1[Tabela],Plano_V3!E619,Table1[Campo],Plano_V3!F619)</f>
        <v>4.0999999999999996</v>
      </c>
      <c r="J619" s="175">
        <f t="shared" ref="J619:J630" si="356">I619/8</f>
        <v>0.51249999999999996</v>
      </c>
      <c r="K619" s="175">
        <f>SUMIFS(Table1[Horas efetivas],Table1[Tabela],Plano_V3!E619,Table1[Campo],Plano_V3!F619)</f>
        <v>1.0249999999999999</v>
      </c>
      <c r="L619" s="175">
        <f t="shared" ref="L619:L630" si="357">K619/8</f>
        <v>0.12812499999999999</v>
      </c>
      <c r="M619" s="177"/>
      <c r="N619" s="177">
        <f t="shared" ref="N619:N630" si="358">L619/J619</f>
        <v>0.25</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 xml:space="preserve">6. Em implementação </v>
      </c>
      <c r="H620" s="64">
        <f>VLOOKUP(A620,'Aux - pivots1'!$A:$B,2,0)</f>
        <v>7</v>
      </c>
      <c r="I620" s="175">
        <f>SUMIFS(Table1[Estimação (horas)],Table1[Tabela],Plano_V3!E620,Table1[Campo],Plano_V3!F620)</f>
        <v>4.0999999999999996</v>
      </c>
      <c r="J620" s="175">
        <f t="shared" si="356"/>
        <v>0.51249999999999996</v>
      </c>
      <c r="K620" s="175">
        <f>SUMIFS(Table1[Horas efetivas],Table1[Tabela],Plano_V3!E620,Table1[Campo],Plano_V3!F620)</f>
        <v>1.0249999999999999</v>
      </c>
      <c r="L620" s="175">
        <f t="shared" si="357"/>
        <v>0.12812499999999999</v>
      </c>
      <c r="M620" s="177"/>
      <c r="N620" s="177">
        <f t="shared" si="358"/>
        <v>0.25</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6"/>
        <v>0.51249999999999996</v>
      </c>
      <c r="K621" s="175">
        <f>SUMIFS(Table1[Horas efetivas],Table1[Tabela],Plano_V3!E621,Table1[Campo],Plano_V3!F621)</f>
        <v>4.0999999999999996</v>
      </c>
      <c r="L621" s="175">
        <f t="shared" si="357"/>
        <v>0.51249999999999996</v>
      </c>
      <c r="M621" s="177"/>
      <c r="N621" s="177">
        <f t="shared" si="358"/>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6"/>
        <v>0.51249999999999996</v>
      </c>
      <c r="K622" s="175">
        <f>SUMIFS(Table1[Horas efetivas],Table1[Tabela],Plano_V3!E622,Table1[Campo],Plano_V3!F622)</f>
        <v>4.0999999999999996</v>
      </c>
      <c r="L622" s="175">
        <f t="shared" si="357"/>
        <v>0.51249999999999996</v>
      </c>
      <c r="M622" s="177"/>
      <c r="N622" s="177">
        <f t="shared" si="358"/>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6"/>
        <v>0.51249999999999996</v>
      </c>
      <c r="K623" s="175">
        <f>SUMIFS(Table1[Horas efetivas],Table1[Tabela],Plano_V3!E623,Table1[Campo],Plano_V3!F623)</f>
        <v>4.0999999999999996</v>
      </c>
      <c r="L623" s="175">
        <f t="shared" si="357"/>
        <v>0.51249999999999996</v>
      </c>
      <c r="M623" s="177"/>
      <c r="N623" s="177">
        <f t="shared" si="358"/>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6"/>
        <v>0.51249999999999996</v>
      </c>
      <c r="K624" s="175">
        <f>SUMIFS(Table1[Horas efetivas],Table1[Tabela],Plano_V3!E624,Table1[Campo],Plano_V3!F624)</f>
        <v>4.0999999999999996</v>
      </c>
      <c r="L624" s="175">
        <f t="shared" si="357"/>
        <v>0.51249999999999996</v>
      </c>
      <c r="M624" s="177"/>
      <c r="N624" s="177">
        <f t="shared" si="358"/>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6"/>
        <v>0.51249999999999996</v>
      </c>
      <c r="K625" s="175">
        <f>SUMIFS(Table1[Horas efetivas],Table1[Tabela],Plano_V3!E625,Table1[Campo],Plano_V3!F625)</f>
        <v>4.0999999999999996</v>
      </c>
      <c r="L625" s="175">
        <f t="shared" si="357"/>
        <v>0.51249999999999996</v>
      </c>
      <c r="M625" s="177"/>
      <c r="N625" s="177">
        <f t="shared" si="358"/>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6"/>
        <v>0.51249999999999996</v>
      </c>
      <c r="K626" s="175">
        <f>SUMIFS(Table1[Horas efetivas],Table1[Tabela],Plano_V3!E626,Table1[Campo],Plano_V3!F626)</f>
        <v>4.0999999999999996</v>
      </c>
      <c r="L626" s="175">
        <f t="shared" si="357"/>
        <v>0.51249999999999996</v>
      </c>
      <c r="M626" s="177"/>
      <c r="N626" s="177">
        <f t="shared" si="358"/>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6"/>
        <v>0.51249999999999996</v>
      </c>
      <c r="K627" s="175">
        <f>SUMIFS(Table1[Horas efetivas],Table1[Tabela],Plano_V3!E627,Table1[Campo],Plano_V3!F627)</f>
        <v>4.0999999999999996</v>
      </c>
      <c r="L627" s="175">
        <f t="shared" si="357"/>
        <v>0.51249999999999996</v>
      </c>
      <c r="M627" s="177"/>
      <c r="N627" s="177">
        <f t="shared" si="358"/>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6"/>
        <v>0.51249999999999996</v>
      </c>
      <c r="K628" s="175">
        <f>SUMIFS(Table1[Horas efetivas],Table1[Tabela],Plano_V3!E628,Table1[Campo],Plano_V3!F628)</f>
        <v>4.0999999999999996</v>
      </c>
      <c r="L628" s="175">
        <f t="shared" si="357"/>
        <v>0.51249999999999996</v>
      </c>
      <c r="M628" s="177"/>
      <c r="N628" s="177">
        <f t="shared" si="358"/>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5">
        <f>SUMIFS(Table1[Estimação (horas)],Table1[Tabela],Plano_V3!E629,Table1[Campo],Plano_V3!F629)</f>
        <v>4.0999999999999996</v>
      </c>
      <c r="J629" s="175">
        <f t="shared" si="356"/>
        <v>0.51249999999999996</v>
      </c>
      <c r="K629" s="175">
        <f>SUMIFS(Table1[Horas efetivas],Table1[Tabela],Plano_V3!E629,Table1[Campo],Plano_V3!F629)</f>
        <v>4.0999999999999996</v>
      </c>
      <c r="L629" s="175">
        <f t="shared" si="357"/>
        <v>0.51249999999999996</v>
      </c>
      <c r="M629" s="177"/>
      <c r="N629" s="177">
        <f t="shared" si="358"/>
        <v>1</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5">
        <f>SUMIFS(Table1[Estimação (horas)],Table1[Tabela],Plano_V3!E630,Table1[Campo],Plano_V3!F630)</f>
        <v>4.0999999999999996</v>
      </c>
      <c r="J630" s="175">
        <f t="shared" si="356"/>
        <v>0.51249999999999996</v>
      </c>
      <c r="K630" s="175">
        <f>SUMIFS(Table1[Horas efetivas],Table1[Tabela],Plano_V3!E630,Table1[Campo],Plano_V3!F630)</f>
        <v>4.0999999999999996</v>
      </c>
      <c r="L630" s="175">
        <f t="shared" si="357"/>
        <v>0.51249999999999996</v>
      </c>
      <c r="M630" s="177"/>
      <c r="N630" s="177">
        <f t="shared" si="358"/>
        <v>1</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7" t="s">
        <v>2244</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60">I631/8</f>
        <v>#N/A</v>
      </c>
      <c r="K631" s="175" t="e">
        <f>SUMIFS(Table1[Horas efetivas],Table1[Tabela],Plano_V3!E631,Table1[Campo],Plano_V3!F631)</f>
        <v>#N/A</v>
      </c>
      <c r="L631" s="175" t="e">
        <f t="shared" ref="L631:L653" si="361">K631/8</f>
        <v>#N/A</v>
      </c>
      <c r="M631" s="177"/>
      <c r="N631" s="177" t="e">
        <f t="shared" ref="N631:N653" si="362">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7" t="s">
        <v>2245</v>
      </c>
      <c r="G632" s="64" t="str">
        <f>INDEX(Auxiliar!$B$16:$B$24,MATCH(Plano_V3!H632,Auxiliar!$C$16:$C$24,0),1)</f>
        <v xml:space="preserve">6. Em implementação </v>
      </c>
      <c r="H632" s="64">
        <f>VLOOKUP(A632,'Aux - pivots1'!$A:$B,2,0)</f>
        <v>7</v>
      </c>
      <c r="I632" s="175" t="e">
        <f>SUMIFS(Table1[Estimação (horas)],Table1[Tabela],Plano_V3!E632,Table1[Campo],Plano_V3!F632)</f>
        <v>#N/A</v>
      </c>
      <c r="J632" s="175" t="e">
        <f t="shared" si="360"/>
        <v>#N/A</v>
      </c>
      <c r="K632" s="175" t="e">
        <f>SUMIFS(Table1[Horas efetivas],Table1[Tabela],Plano_V3!E632,Table1[Campo],Plano_V3!F632)</f>
        <v>#N/A</v>
      </c>
      <c r="L632" s="175" t="e">
        <f t="shared" si="361"/>
        <v>#N/A</v>
      </c>
      <c r="M632" s="177"/>
      <c r="N632" s="177" t="e">
        <f t="shared" si="362"/>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7" t="s">
        <v>2246</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60"/>
        <v>#N/A</v>
      </c>
      <c r="K633" s="175" t="e">
        <f>SUMIFS(Table1[Horas efetivas],Table1[Tabela],Plano_V3!E633,Table1[Campo],Plano_V3!F633)</f>
        <v>#N/A</v>
      </c>
      <c r="L633" s="175" t="e">
        <f t="shared" si="361"/>
        <v>#N/A</v>
      </c>
      <c r="M633" s="177"/>
      <c r="N633" s="177" t="e">
        <f t="shared" si="362"/>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7" t="s">
        <v>2247</v>
      </c>
      <c r="G634" s="64" t="str">
        <f>INDEX(Auxiliar!$B$16:$B$24,MATCH(Plano_V3!H634,Auxiliar!$C$16:$C$24,0),1)</f>
        <v>2.1 Em Teste</v>
      </c>
      <c r="H634" s="64">
        <f>VLOOKUP(A634,'Aux - pivots1'!$A:$B,2,0)</f>
        <v>2</v>
      </c>
      <c r="I634" s="175" t="e">
        <f>SUMIFS(Table1[Estimação (horas)],Table1[Tabela],Plano_V3!E634,Table1[Campo],Plano_V3!F634)</f>
        <v>#N/A</v>
      </c>
      <c r="J634" s="175" t="e">
        <f t="shared" si="360"/>
        <v>#N/A</v>
      </c>
      <c r="K634" s="175" t="e">
        <f>SUMIFS(Table1[Horas efetivas],Table1[Tabela],Plano_V3!E634,Table1[Campo],Plano_V3!F634)</f>
        <v>#N/A</v>
      </c>
      <c r="L634" s="175" t="e">
        <f t="shared" si="361"/>
        <v>#N/A</v>
      </c>
      <c r="M634" s="177"/>
      <c r="N634" s="177" t="e">
        <f t="shared" si="362"/>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7" t="s">
        <v>2248</v>
      </c>
      <c r="G635" s="64" t="str">
        <f>INDEX(Auxiliar!$B$16:$B$24,MATCH(Plano_V3!H635,Auxiliar!$C$16:$C$24,0),1)</f>
        <v xml:space="preserve">6. Em implementação </v>
      </c>
      <c r="H635" s="64">
        <f>VLOOKUP(A635,'Aux - pivots1'!$A:$B,2,0)</f>
        <v>7</v>
      </c>
      <c r="I635" s="175" t="e">
        <f>SUMIFS(Table1[Estimação (horas)],Table1[Tabela],Plano_V3!E635,Table1[Campo],Plano_V3!F635)</f>
        <v>#N/A</v>
      </c>
      <c r="J635" s="175" t="e">
        <f t="shared" si="360"/>
        <v>#N/A</v>
      </c>
      <c r="K635" s="175" t="e">
        <f>SUMIFS(Table1[Horas efetivas],Table1[Tabela],Plano_V3!E635,Table1[Campo],Plano_V3!F635)</f>
        <v>#N/A</v>
      </c>
      <c r="L635" s="175" t="e">
        <f t="shared" si="361"/>
        <v>#N/A</v>
      </c>
      <c r="M635" s="177"/>
      <c r="N635" s="177" t="e">
        <f t="shared" si="362"/>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7" t="s">
        <v>2249</v>
      </c>
      <c r="G636" s="64" t="str">
        <f>INDEX(Auxiliar!$B$16:$B$24,MATCH(Plano_V3!H636,Auxiliar!$C$16:$C$24,0),1)</f>
        <v>2.1 Em Teste</v>
      </c>
      <c r="H636" s="64">
        <f>VLOOKUP(A636,'Aux - pivots1'!$A:$B,2,0)</f>
        <v>2</v>
      </c>
      <c r="I636" s="175" t="e">
        <f>SUMIFS(Table1[Estimação (horas)],Table1[Tabela],Plano_V3!E636,Table1[Campo],Plano_V3!F636)</f>
        <v>#N/A</v>
      </c>
      <c r="J636" s="175" t="e">
        <f t="shared" si="360"/>
        <v>#N/A</v>
      </c>
      <c r="K636" s="175" t="e">
        <f>SUMIFS(Table1[Horas efetivas],Table1[Tabela],Plano_V3!E636,Table1[Campo],Plano_V3!F636)</f>
        <v>#N/A</v>
      </c>
      <c r="L636" s="175" t="e">
        <f t="shared" si="361"/>
        <v>#N/A</v>
      </c>
      <c r="M636" s="177"/>
      <c r="N636" s="177" t="e">
        <f t="shared" si="362"/>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7" t="s">
        <v>2250</v>
      </c>
      <c r="G637" s="64" t="str">
        <f>INDEX(Auxiliar!$B$16:$B$24,MATCH(Plano_V3!H637,Auxiliar!$C$16:$C$24,0),1)</f>
        <v xml:space="preserve">6. Em implementação </v>
      </c>
      <c r="H637" s="64">
        <f>VLOOKUP(A637,'Aux - pivots1'!$A:$B,2,0)</f>
        <v>7</v>
      </c>
      <c r="I637" s="175" t="e">
        <f>SUMIFS(Table1[Estimação (horas)],Table1[Tabela],Plano_V3!E637,Table1[Campo],Plano_V3!F637)</f>
        <v>#N/A</v>
      </c>
      <c r="J637" s="175" t="e">
        <f t="shared" si="360"/>
        <v>#N/A</v>
      </c>
      <c r="K637" s="175" t="e">
        <f>SUMIFS(Table1[Horas efetivas],Table1[Tabela],Plano_V3!E637,Table1[Campo],Plano_V3!F637)</f>
        <v>#N/A</v>
      </c>
      <c r="L637" s="175" t="e">
        <f t="shared" si="361"/>
        <v>#N/A</v>
      </c>
      <c r="M637" s="177"/>
      <c r="N637" s="177" t="e">
        <f t="shared" si="362"/>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7" t="s">
        <v>2251</v>
      </c>
      <c r="G638" s="64" t="str">
        <f>INDEX(Auxiliar!$B$16:$B$24,MATCH(Plano_V3!H638,Auxiliar!$C$16:$C$24,0),1)</f>
        <v xml:space="preserve">6. Em implementação </v>
      </c>
      <c r="H638" s="64">
        <f>VLOOKUP(A638,'Aux - pivots1'!$A:$B,2,0)</f>
        <v>7</v>
      </c>
      <c r="I638" s="175" t="e">
        <f>SUMIFS(Table1[Estimação (horas)],Table1[Tabela],Plano_V3!E638,Table1[Campo],Plano_V3!F638)</f>
        <v>#N/A</v>
      </c>
      <c r="J638" s="175" t="e">
        <f t="shared" si="360"/>
        <v>#N/A</v>
      </c>
      <c r="K638" s="175" t="e">
        <f>SUMIFS(Table1[Horas efetivas],Table1[Tabela],Plano_V3!E638,Table1[Campo],Plano_V3!F638)</f>
        <v>#N/A</v>
      </c>
      <c r="L638" s="175" t="e">
        <f t="shared" si="361"/>
        <v>#N/A</v>
      </c>
      <c r="M638" s="177"/>
      <c r="N638" s="177" t="e">
        <f t="shared" si="362"/>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7" t="s">
        <v>2252</v>
      </c>
      <c r="G639" s="64" t="str">
        <f>INDEX(Auxiliar!$B$16:$B$24,MATCH(Plano_V3!H639,Auxiliar!$C$16:$C$24,0),1)</f>
        <v>2.1 Em Teste</v>
      </c>
      <c r="H639" s="64">
        <f>VLOOKUP(A639,'Aux - pivots1'!$A:$B,2,0)</f>
        <v>2</v>
      </c>
      <c r="I639" s="175" t="e">
        <f>SUMIFS(Table1[Estimação (horas)],Table1[Tabela],Plano_V3!E639,Table1[Campo],Plano_V3!F639)</f>
        <v>#N/A</v>
      </c>
      <c r="J639" s="175" t="e">
        <f t="shared" si="360"/>
        <v>#N/A</v>
      </c>
      <c r="K639" s="175" t="e">
        <f>SUMIFS(Table1[Horas efetivas],Table1[Tabela],Plano_V3!E639,Table1[Campo],Plano_V3!F639)</f>
        <v>#N/A</v>
      </c>
      <c r="L639" s="175" t="e">
        <f t="shared" si="361"/>
        <v>#N/A</v>
      </c>
      <c r="M639" s="177"/>
      <c r="N639" s="177" t="e">
        <f t="shared" si="362"/>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7" t="s">
        <v>2253</v>
      </c>
      <c r="G640" s="64" t="str">
        <f>INDEX(Auxiliar!$B$16:$B$24,MATCH(Plano_V3!H640,Auxiliar!$C$16:$C$24,0),1)</f>
        <v>2.1 Em Teste</v>
      </c>
      <c r="H640" s="64">
        <f>VLOOKUP(A640,'Aux - pivots1'!$A:$B,2,0)</f>
        <v>2</v>
      </c>
      <c r="I640" s="175" t="e">
        <f>SUMIFS(Table1[Estimação (horas)],Table1[Tabela],Plano_V3!E640,Table1[Campo],Plano_V3!F640)</f>
        <v>#N/A</v>
      </c>
      <c r="J640" s="175" t="e">
        <f t="shared" si="360"/>
        <v>#N/A</v>
      </c>
      <c r="K640" s="175" t="e">
        <f>SUMIFS(Table1[Horas efetivas],Table1[Tabela],Plano_V3!E640,Table1[Campo],Plano_V3!F640)</f>
        <v>#N/A</v>
      </c>
      <c r="L640" s="175" t="e">
        <f t="shared" si="361"/>
        <v>#N/A</v>
      </c>
      <c r="M640" s="177"/>
      <c r="N640" s="177" t="e">
        <f t="shared" si="362"/>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7" t="s">
        <v>2254</v>
      </c>
      <c r="G641" s="64" t="str">
        <f>INDEX(Auxiliar!$B$16:$B$24,MATCH(Plano_V3!H641,Auxiliar!$C$16:$C$24,0),1)</f>
        <v>2.1 Em Teste</v>
      </c>
      <c r="H641" s="64">
        <f>VLOOKUP(A641,'Aux - pivots1'!$A:$B,2,0)</f>
        <v>2</v>
      </c>
      <c r="I641" s="175" t="e">
        <f>SUMIFS(Table1[Estimação (horas)],Table1[Tabela],Plano_V3!E641,Table1[Campo],Plano_V3!F641)</f>
        <v>#N/A</v>
      </c>
      <c r="J641" s="175" t="e">
        <f t="shared" si="360"/>
        <v>#N/A</v>
      </c>
      <c r="K641" s="175" t="e">
        <f>SUMIFS(Table1[Horas efetivas],Table1[Tabela],Plano_V3!E641,Table1[Campo],Plano_V3!F641)</f>
        <v>#N/A</v>
      </c>
      <c r="L641" s="175" t="e">
        <f t="shared" si="361"/>
        <v>#N/A</v>
      </c>
      <c r="M641" s="177"/>
      <c r="N641" s="177" t="e">
        <f t="shared" si="362"/>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7" t="s">
        <v>2255</v>
      </c>
      <c r="G642" s="64" t="str">
        <f>INDEX(Auxiliar!$B$16:$B$24,MATCH(Plano_V3!H642,Auxiliar!$C$16:$C$24,0),1)</f>
        <v>2.1 Em Teste</v>
      </c>
      <c r="H642" s="64">
        <f>VLOOKUP(A642,'Aux - pivots1'!$A:$B,2,0)</f>
        <v>2</v>
      </c>
      <c r="I642" s="175" t="e">
        <f>SUMIFS(Table1[Estimação (horas)],Table1[Tabela],Plano_V3!E642,Table1[Campo],Plano_V3!F642)</f>
        <v>#N/A</v>
      </c>
      <c r="J642" s="175" t="e">
        <f t="shared" si="360"/>
        <v>#N/A</v>
      </c>
      <c r="K642" s="175" t="e">
        <f>SUMIFS(Table1[Horas efetivas],Table1[Tabela],Plano_V3!E642,Table1[Campo],Plano_V3!F642)</f>
        <v>#N/A</v>
      </c>
      <c r="L642" s="175" t="e">
        <f t="shared" si="361"/>
        <v>#N/A</v>
      </c>
      <c r="M642" s="177"/>
      <c r="N642" s="177" t="e">
        <f t="shared" si="362"/>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7" t="s">
        <v>2256</v>
      </c>
      <c r="G643" s="64" t="str">
        <f>INDEX(Auxiliar!$B$16:$B$24,MATCH(Plano_V3!H643,Auxiliar!$C$16:$C$24,0),1)</f>
        <v>2.1 Em Teste</v>
      </c>
      <c r="H643" s="64">
        <f>VLOOKUP(A643,'Aux - pivots1'!$A:$B,2,0)</f>
        <v>2</v>
      </c>
      <c r="I643" s="175" t="e">
        <f>SUMIFS(Table1[Estimação (horas)],Table1[Tabela],Plano_V3!E643,Table1[Campo],Plano_V3!F643)</f>
        <v>#N/A</v>
      </c>
      <c r="J643" s="175" t="e">
        <f t="shared" si="360"/>
        <v>#N/A</v>
      </c>
      <c r="K643" s="175" t="e">
        <f>SUMIFS(Table1[Horas efetivas],Table1[Tabela],Plano_V3!E643,Table1[Campo],Plano_V3!F643)</f>
        <v>#N/A</v>
      </c>
      <c r="L643" s="175" t="e">
        <f t="shared" si="361"/>
        <v>#N/A</v>
      </c>
      <c r="M643" s="177"/>
      <c r="N643" s="177" t="e">
        <f t="shared" si="362"/>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7" t="s">
        <v>2257</v>
      </c>
      <c r="G644" s="64" t="str">
        <f>INDEX(Auxiliar!$B$16:$B$24,MATCH(Plano_V3!H644,Auxiliar!$C$16:$C$24,0),1)</f>
        <v>2.1 Em Teste</v>
      </c>
      <c r="H644" s="64">
        <f>VLOOKUP(A644,'Aux - pivots1'!$A:$B,2,0)</f>
        <v>2</v>
      </c>
      <c r="I644" s="175" t="e">
        <f>SUMIFS(Table1[Estimação (horas)],Table1[Tabela],Plano_V3!E644,Table1[Campo],Plano_V3!F644)</f>
        <v>#N/A</v>
      </c>
      <c r="J644" s="175" t="e">
        <f t="shared" si="360"/>
        <v>#N/A</v>
      </c>
      <c r="K644" s="175" t="e">
        <f>SUMIFS(Table1[Horas efetivas],Table1[Tabela],Plano_V3!E644,Table1[Campo],Plano_V3!F644)</f>
        <v>#N/A</v>
      </c>
      <c r="L644" s="175" t="e">
        <f t="shared" si="361"/>
        <v>#N/A</v>
      </c>
      <c r="M644" s="177"/>
      <c r="N644" s="177" t="e">
        <f t="shared" si="362"/>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7" t="s">
        <v>2258</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60"/>
        <v>#N/A</v>
      </c>
      <c r="K645" s="175" t="e">
        <f>SUMIFS(Table1[Horas efetivas],Table1[Tabela],Plano_V3!E645,Table1[Campo],Plano_V3!F645)</f>
        <v>#N/A</v>
      </c>
      <c r="L645" s="175" t="e">
        <f t="shared" si="361"/>
        <v>#N/A</v>
      </c>
      <c r="M645" s="177"/>
      <c r="N645" s="177" t="e">
        <f t="shared" si="362"/>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7" t="s">
        <v>2259</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60"/>
        <v>#N/A</v>
      </c>
      <c r="K646" s="175" t="e">
        <f>SUMIFS(Table1[Horas efetivas],Table1[Tabela],Plano_V3!E646,Table1[Campo],Plano_V3!F646)</f>
        <v>#N/A</v>
      </c>
      <c r="L646" s="175" t="e">
        <f t="shared" si="361"/>
        <v>#N/A</v>
      </c>
      <c r="M646" s="177"/>
      <c r="N646" s="177" t="e">
        <f t="shared" si="362"/>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7" t="s">
        <v>2260</v>
      </c>
      <c r="G647" s="64" t="str">
        <f>INDEX(Auxiliar!$B$16:$B$24,MATCH(Plano_V3!H647,Auxiliar!$C$16:$C$24,0),1)</f>
        <v>2.1 Em Teste</v>
      </c>
      <c r="H647" s="64">
        <f>VLOOKUP(A647,'Aux - pivots1'!$A:$B,2,0)</f>
        <v>2</v>
      </c>
      <c r="I647" s="175" t="e">
        <f>SUMIFS(Table1[Estimação (horas)],Table1[Tabela],Plano_V3!E647,Table1[Campo],Plano_V3!F647)</f>
        <v>#N/A</v>
      </c>
      <c r="J647" s="175" t="e">
        <f t="shared" si="360"/>
        <v>#N/A</v>
      </c>
      <c r="K647" s="175" t="e">
        <f>SUMIFS(Table1[Horas efetivas],Table1[Tabela],Plano_V3!E647,Table1[Campo],Plano_V3!F647)</f>
        <v>#N/A</v>
      </c>
      <c r="L647" s="175" t="e">
        <f t="shared" si="361"/>
        <v>#N/A</v>
      </c>
      <c r="M647" s="177"/>
      <c r="N647" s="177" t="e">
        <f t="shared" si="362"/>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7" t="s">
        <v>2261</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60"/>
        <v>#N/A</v>
      </c>
      <c r="K648" s="175" t="e">
        <f>SUMIFS(Table1[Horas efetivas],Table1[Tabela],Plano_V3!E648,Table1[Campo],Plano_V3!F648)</f>
        <v>#N/A</v>
      </c>
      <c r="L648" s="175" t="e">
        <f t="shared" si="361"/>
        <v>#N/A</v>
      </c>
      <c r="M648" s="177"/>
      <c r="N648" s="177" t="e">
        <f t="shared" si="362"/>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7" t="s">
        <v>2262</v>
      </c>
      <c r="G649" s="64" t="str">
        <f>INDEX(Auxiliar!$B$16:$B$24,MATCH(Plano_V3!H649,Auxiliar!$C$16:$C$24,0),1)</f>
        <v>2.1 Em Teste</v>
      </c>
      <c r="H649" s="64">
        <f>VLOOKUP(A649,'Aux - pivots1'!$A:$B,2,0)</f>
        <v>2</v>
      </c>
      <c r="I649" s="175" t="e">
        <f>SUMIFS(Table1[Estimação (horas)],Table1[Tabela],Plano_V3!E649,Table1[Campo],Plano_V3!F649)</f>
        <v>#N/A</v>
      </c>
      <c r="J649" s="175" t="e">
        <f t="shared" si="360"/>
        <v>#N/A</v>
      </c>
      <c r="K649" s="175" t="e">
        <f>SUMIFS(Table1[Horas efetivas],Table1[Tabela],Plano_V3!E649,Table1[Campo],Plano_V3!F649)</f>
        <v>#N/A</v>
      </c>
      <c r="L649" s="175" t="e">
        <f t="shared" si="361"/>
        <v>#N/A</v>
      </c>
      <c r="M649" s="177"/>
      <c r="N649" s="177" t="e">
        <f t="shared" si="362"/>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7" t="s">
        <v>2263</v>
      </c>
      <c r="G650" s="64" t="str">
        <f>INDEX(Auxiliar!$B$16:$B$24,MATCH(Plano_V3!H650,Auxiliar!$C$16:$C$24,0),1)</f>
        <v>2.1 Em Teste</v>
      </c>
      <c r="H650" s="64">
        <f>VLOOKUP(A650,'Aux - pivots1'!$A:$B,2,0)</f>
        <v>2</v>
      </c>
      <c r="I650" s="175" t="e">
        <f>SUMIFS(Table1[Estimação (horas)],Table1[Tabela],Plano_V3!E650,Table1[Campo],Plano_V3!F650)</f>
        <v>#N/A</v>
      </c>
      <c r="J650" s="175" t="e">
        <f t="shared" si="360"/>
        <v>#N/A</v>
      </c>
      <c r="K650" s="175" t="e">
        <f>SUMIFS(Table1[Horas efetivas],Table1[Tabela],Plano_V3!E650,Table1[Campo],Plano_V3!F650)</f>
        <v>#N/A</v>
      </c>
      <c r="L650" s="175" t="e">
        <f t="shared" si="361"/>
        <v>#N/A</v>
      </c>
      <c r="M650" s="177"/>
      <c r="N650" s="177" t="e">
        <f t="shared" si="362"/>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7" t="s">
        <v>2264</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60"/>
        <v>#N/A</v>
      </c>
      <c r="K651" s="175" t="e">
        <f>SUMIFS(Table1[Horas efetivas],Table1[Tabela],Plano_V3!E651,Table1[Campo],Plano_V3!F651)</f>
        <v>#N/A</v>
      </c>
      <c r="L651" s="175" t="e">
        <f t="shared" si="361"/>
        <v>#N/A</v>
      </c>
      <c r="M651" s="177"/>
      <c r="N651" s="177" t="e">
        <f t="shared" si="362"/>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7" t="s">
        <v>2265</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60"/>
        <v>#N/A</v>
      </c>
      <c r="K652" s="175" t="e">
        <f>SUMIFS(Table1[Horas efetivas],Table1[Tabela],Plano_V3!E652,Table1[Campo],Plano_V3!F652)</f>
        <v>#N/A</v>
      </c>
      <c r="L652" s="175" t="e">
        <f t="shared" si="361"/>
        <v>#N/A</v>
      </c>
      <c r="M652" s="177"/>
      <c r="N652" s="177" t="e">
        <f t="shared" si="362"/>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7" t="s">
        <v>2266</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60"/>
        <v>#N/A</v>
      </c>
      <c r="K653" s="175" t="e">
        <f>SUMIFS(Table1[Horas efetivas],Table1[Tabela],Plano_V3!E653,Table1[Campo],Plano_V3!F653)</f>
        <v>#N/A</v>
      </c>
      <c r="L653" s="175" t="e">
        <f t="shared" si="361"/>
        <v>#N/A</v>
      </c>
      <c r="M653" s="177"/>
      <c r="N653" s="177" t="e">
        <f t="shared" si="362"/>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1" si="363">I654/8</f>
        <v>0.51249999999999996</v>
      </c>
      <c r="K654" s="175">
        <f>SUMIFS(Table1[Horas efetivas],Table1[Tabela],Plano_V3!E654,Table1[Campo],Plano_V3!F654)</f>
        <v>4.0999999999999996</v>
      </c>
      <c r="L654" s="175">
        <f t="shared" ref="L654:L661" si="364">K654/8</f>
        <v>0.51249999999999996</v>
      </c>
      <c r="M654" s="177"/>
      <c r="N654" s="177">
        <f t="shared" ref="N654:N661" si="365">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63"/>
        <v>0.51249999999999996</v>
      </c>
      <c r="K655" s="175">
        <f>SUMIFS(Table1[Horas efetivas],Table1[Tabela],Plano_V3!E655,Table1[Campo],Plano_V3!F655)</f>
        <v>1.0249999999999999</v>
      </c>
      <c r="L655" s="175">
        <f t="shared" si="364"/>
        <v>0.12812499999999999</v>
      </c>
      <c r="M655" s="177"/>
      <c r="N655" s="177">
        <f t="shared" si="365"/>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63"/>
        <v>0.51249999999999996</v>
      </c>
      <c r="K656" s="175">
        <f>SUMIFS(Table1[Horas efetivas],Table1[Tabela],Plano_V3!E656,Table1[Campo],Plano_V3!F656)</f>
        <v>4.0999999999999996</v>
      </c>
      <c r="L656" s="175">
        <f t="shared" si="364"/>
        <v>0.51249999999999996</v>
      </c>
      <c r="M656" s="177"/>
      <c r="N656" s="177">
        <f t="shared" si="365"/>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63"/>
        <v>0.51249999999999996</v>
      </c>
      <c r="K657" s="175">
        <f>SUMIFS(Table1[Horas efetivas],Table1[Tabela],Plano_V3!E657,Table1[Campo],Plano_V3!F657)</f>
        <v>4.0999999999999996</v>
      </c>
      <c r="L657" s="175">
        <f t="shared" si="364"/>
        <v>0.51249999999999996</v>
      </c>
      <c r="M657" s="177"/>
      <c r="N657" s="177">
        <f t="shared" si="365"/>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63"/>
        <v>0.51249999999999996</v>
      </c>
      <c r="K658" s="175">
        <f>SUMIFS(Table1[Horas efetivas],Table1[Tabela],Plano_V3!E658,Table1[Campo],Plano_V3!F658)</f>
        <v>4.0999999999999996</v>
      </c>
      <c r="L658" s="175">
        <f t="shared" si="364"/>
        <v>0.51249999999999996</v>
      </c>
      <c r="M658" s="177"/>
      <c r="N658" s="177">
        <f t="shared" si="365"/>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 xml:space="preserve">6. Em implementação </v>
      </c>
      <c r="H659" s="64">
        <f>VLOOKUP(A659,'Aux - pivots1'!$A:$B,2,0)</f>
        <v>7</v>
      </c>
      <c r="I659" s="175">
        <f>SUMIFS(Table1[Estimação (horas)],Table1[Tabela],Plano_V3!E659,Table1[Campo],Plano_V3!F659)</f>
        <v>4.0999999999999996</v>
      </c>
      <c r="J659" s="175">
        <f t="shared" si="363"/>
        <v>0.51249999999999996</v>
      </c>
      <c r="K659" s="175">
        <f>SUMIFS(Table1[Horas efetivas],Table1[Tabela],Plano_V3!E659,Table1[Campo],Plano_V3!F659)</f>
        <v>1.0249999999999999</v>
      </c>
      <c r="L659" s="175">
        <f t="shared" si="364"/>
        <v>0.12812499999999999</v>
      </c>
      <c r="M659" s="177"/>
      <c r="N659" s="177">
        <f t="shared" si="365"/>
        <v>0.25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 xml:space="preserve">6. Em implementação </v>
      </c>
      <c r="H660" s="64">
        <f>VLOOKUP(A660,'Aux - pivots1'!$A:$B,2,0)</f>
        <v>7</v>
      </c>
      <c r="I660" s="175">
        <f>SUMIFS(Table1[Estimação (horas)],Table1[Tabela],Plano_V3!E660,Table1[Campo],Plano_V3!F660)</f>
        <v>4.0999999999999996</v>
      </c>
      <c r="J660" s="175">
        <f t="shared" si="363"/>
        <v>0.51249999999999996</v>
      </c>
      <c r="K660" s="175">
        <f>SUMIFS(Table1[Horas efetivas],Table1[Tabela],Plano_V3!E660,Table1[Campo],Plano_V3!F660)</f>
        <v>1.0249999999999999</v>
      </c>
      <c r="L660" s="175">
        <f t="shared" si="364"/>
        <v>0.12812499999999999</v>
      </c>
      <c r="M660" s="177"/>
      <c r="N660" s="177">
        <f t="shared" si="365"/>
        <v>0.25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 xml:space="preserve">6. Em implementação </v>
      </c>
      <c r="H661" s="64">
        <f>VLOOKUP(A661,'Aux - pivots1'!$A:$B,2,0)</f>
        <v>7</v>
      </c>
      <c r="I661" s="175">
        <f>SUMIFS(Table1[Estimação (horas)],Table1[Tabela],Plano_V3!E661,Table1[Campo],Plano_V3!F661)</f>
        <v>4.0999999999999996</v>
      </c>
      <c r="J661" s="175">
        <f t="shared" si="363"/>
        <v>0.51249999999999996</v>
      </c>
      <c r="K661" s="175">
        <f>SUMIFS(Table1[Horas efetivas],Table1[Tabela],Plano_V3!E661,Table1[Campo],Plano_V3!F661)</f>
        <v>1.0249999999999999</v>
      </c>
      <c r="L661" s="175">
        <f t="shared" si="364"/>
        <v>0.12812499999999999</v>
      </c>
      <c r="M661" s="177"/>
      <c r="N661" s="177">
        <f t="shared" si="365"/>
        <v>0.25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2.1 Em Teste</v>
      </c>
      <c r="H662" s="64">
        <f>VLOOKUP(A662,'Aux - pivots1'!$A:$B,2,0)</f>
        <v>2</v>
      </c>
      <c r="I662" s="175">
        <f>SUMIFS(Table1[Estimação (horas)],Table1[Tabela],Plano_V3!E662,Table1[Campo],Plano_V3!F662)</f>
        <v>2</v>
      </c>
      <c r="J662" s="175">
        <f t="shared" ref="J662:J677" si="367">I662/8</f>
        <v>0.25</v>
      </c>
      <c r="K662" s="175">
        <f>SUMIFS(Table1[Horas efetivas],Table1[Tabela],Plano_V3!E662,Table1[Campo],Plano_V3!F662)</f>
        <v>1</v>
      </c>
      <c r="L662" s="175">
        <f t="shared" ref="L662:L677" si="368">K662/8</f>
        <v>0.125</v>
      </c>
      <c r="M662" s="177"/>
      <c r="N662" s="177">
        <f t="shared" ref="N662:N677" si="369">L662/J662</f>
        <v>0.5</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2.1 Em Teste</v>
      </c>
      <c r="H663" s="64">
        <f>VLOOKUP(A663,'Aux - pivots1'!$A:$B,2,0)</f>
        <v>2</v>
      </c>
      <c r="I663" s="175">
        <f>SUMIFS(Table1[Estimação (horas)],Table1[Tabela],Plano_V3!E663,Table1[Campo],Plano_V3!F663)</f>
        <v>2</v>
      </c>
      <c r="J663" s="175">
        <f t="shared" si="367"/>
        <v>0.25</v>
      </c>
      <c r="K663" s="175">
        <f>SUMIFS(Table1[Horas efetivas],Table1[Tabela],Plano_V3!E663,Table1[Campo],Plano_V3!F663)</f>
        <v>1</v>
      </c>
      <c r="L663" s="175">
        <f t="shared" si="368"/>
        <v>0.125</v>
      </c>
      <c r="M663" s="177"/>
      <c r="N663" s="177">
        <f t="shared" si="369"/>
        <v>0.5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2.1 Em Teste</v>
      </c>
      <c r="H664" s="64">
        <f>VLOOKUP(A664,'Aux - pivots1'!$A:$B,2,0)</f>
        <v>2</v>
      </c>
      <c r="I664" s="175">
        <f>SUMIFS(Table1[Estimação (horas)],Table1[Tabela],Plano_V3!E664,Table1[Campo],Plano_V3!F664)</f>
        <v>2</v>
      </c>
      <c r="J664" s="175">
        <f t="shared" si="367"/>
        <v>0.25</v>
      </c>
      <c r="K664" s="175">
        <f>SUMIFS(Table1[Horas efetivas],Table1[Tabela],Plano_V3!E664,Table1[Campo],Plano_V3!F664)</f>
        <v>1</v>
      </c>
      <c r="L664" s="175">
        <f t="shared" si="368"/>
        <v>0.125</v>
      </c>
      <c r="M664" s="177"/>
      <c r="N664" s="177">
        <f t="shared" si="369"/>
        <v>0.5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2.1 Em Teste</v>
      </c>
      <c r="H665" s="64">
        <f>VLOOKUP(A665,'Aux - pivots1'!$A:$B,2,0)</f>
        <v>2</v>
      </c>
      <c r="I665" s="175">
        <f>SUMIFS(Table1[Estimação (horas)],Table1[Tabela],Plano_V3!E665,Table1[Campo],Plano_V3!F665)</f>
        <v>2</v>
      </c>
      <c r="J665" s="175">
        <f t="shared" si="367"/>
        <v>0.25</v>
      </c>
      <c r="K665" s="175">
        <f>SUMIFS(Table1[Horas efetivas],Table1[Tabela],Plano_V3!E665,Table1[Campo],Plano_V3!F665)</f>
        <v>1</v>
      </c>
      <c r="L665" s="175">
        <f t="shared" si="368"/>
        <v>0.125</v>
      </c>
      <c r="M665" s="177"/>
      <c r="N665" s="177">
        <f t="shared" si="369"/>
        <v>0.5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7"/>
        <v>0.25</v>
      </c>
      <c r="K666" s="175">
        <f>SUMIFS(Table1[Horas efetivas],Table1[Tabela],Plano_V3!E666,Table1[Campo],Plano_V3!F666)</f>
        <v>0.5</v>
      </c>
      <c r="L666" s="175">
        <f t="shared" si="368"/>
        <v>6.25E-2</v>
      </c>
      <c r="M666" s="177"/>
      <c r="N666" s="177">
        <f t="shared" si="369"/>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2.1 Em Teste</v>
      </c>
      <c r="H667" s="64">
        <f>VLOOKUP(A667,'Aux - pivots1'!$A:$B,2,0)</f>
        <v>2</v>
      </c>
      <c r="I667" s="175">
        <f>SUMIFS(Table1[Estimação (horas)],Table1[Tabela],Plano_V3!E667,Table1[Campo],Plano_V3!F667)</f>
        <v>2</v>
      </c>
      <c r="J667" s="175">
        <f t="shared" si="367"/>
        <v>0.25</v>
      </c>
      <c r="K667" s="175">
        <f>SUMIFS(Table1[Horas efetivas],Table1[Tabela],Plano_V3!E667,Table1[Campo],Plano_V3!F667)</f>
        <v>1</v>
      </c>
      <c r="L667" s="175">
        <f t="shared" si="368"/>
        <v>0.125</v>
      </c>
      <c r="M667" s="177"/>
      <c r="N667" s="177">
        <f t="shared" si="369"/>
        <v>0.5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2.1 Em Teste</v>
      </c>
      <c r="H668" s="64">
        <f>VLOOKUP(A668,'Aux - pivots1'!$A:$B,2,0)</f>
        <v>2</v>
      </c>
      <c r="I668" s="175">
        <f>SUMIFS(Table1[Estimação (horas)],Table1[Tabela],Plano_V3!E668,Table1[Campo],Plano_V3!F668)</f>
        <v>2</v>
      </c>
      <c r="J668" s="175">
        <f t="shared" si="367"/>
        <v>0.25</v>
      </c>
      <c r="K668" s="175">
        <f>SUMIFS(Table1[Horas efetivas],Table1[Tabela],Plano_V3!E668,Table1[Campo],Plano_V3!F668)</f>
        <v>1</v>
      </c>
      <c r="L668" s="175">
        <f t="shared" si="368"/>
        <v>0.125</v>
      </c>
      <c r="M668" s="177"/>
      <c r="N668" s="177">
        <f t="shared" si="369"/>
        <v>0.5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2.1 Em Teste</v>
      </c>
      <c r="H669" s="64">
        <f>VLOOKUP(A669,'Aux - pivots1'!$A:$B,2,0)</f>
        <v>2</v>
      </c>
      <c r="I669" s="175">
        <f>SUMIFS(Table1[Estimação (horas)],Table1[Tabela],Plano_V3!E669,Table1[Campo],Plano_V3!F669)</f>
        <v>2</v>
      </c>
      <c r="J669" s="175">
        <f t="shared" si="367"/>
        <v>0.25</v>
      </c>
      <c r="K669" s="175">
        <f>SUMIFS(Table1[Horas efetivas],Table1[Tabela],Plano_V3!E669,Table1[Campo],Plano_V3!F669)</f>
        <v>1</v>
      </c>
      <c r="L669" s="175">
        <f t="shared" si="368"/>
        <v>0.125</v>
      </c>
      <c r="M669" s="177"/>
      <c r="N669" s="177">
        <f t="shared" si="369"/>
        <v>0.5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2.1 Em Teste</v>
      </c>
      <c r="H670" s="64">
        <f>VLOOKUP(A670,'Aux - pivots1'!$A:$B,2,0)</f>
        <v>2</v>
      </c>
      <c r="I670" s="175">
        <f>SUMIFS(Table1[Estimação (horas)],Table1[Tabela],Plano_V3!E670,Table1[Campo],Plano_V3!F670)</f>
        <v>2</v>
      </c>
      <c r="J670" s="175">
        <f t="shared" si="367"/>
        <v>0.25</v>
      </c>
      <c r="K670" s="175">
        <f>SUMIFS(Table1[Horas efetivas],Table1[Tabela],Plano_V3!E670,Table1[Campo],Plano_V3!F670)</f>
        <v>1</v>
      </c>
      <c r="L670" s="175">
        <f t="shared" si="368"/>
        <v>0.125</v>
      </c>
      <c r="M670" s="177"/>
      <c r="N670" s="177">
        <f t="shared" si="369"/>
        <v>0.5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2.1 Em Teste</v>
      </c>
      <c r="H671" s="64">
        <f>VLOOKUP(A671,'Aux - pivots1'!$A:$B,2,0)</f>
        <v>2</v>
      </c>
      <c r="I671" s="175">
        <f>SUMIFS(Table1[Estimação (horas)],Table1[Tabela],Plano_V3!E671,Table1[Campo],Plano_V3!F671)</f>
        <v>2</v>
      </c>
      <c r="J671" s="175">
        <f t="shared" si="367"/>
        <v>0.25</v>
      </c>
      <c r="K671" s="175">
        <f>SUMIFS(Table1[Horas efetivas],Table1[Tabela],Plano_V3!E671,Table1[Campo],Plano_V3!F671)</f>
        <v>1</v>
      </c>
      <c r="L671" s="175">
        <f t="shared" si="368"/>
        <v>0.125</v>
      </c>
      <c r="M671" s="177"/>
      <c r="N671" s="177">
        <f t="shared" si="369"/>
        <v>0.5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2.1 Em Teste</v>
      </c>
      <c r="H672" s="64">
        <f>VLOOKUP(A672,'Aux - pivots1'!$A:$B,2,0)</f>
        <v>2</v>
      </c>
      <c r="I672" s="175">
        <f>SUMIFS(Table1[Estimação (horas)],Table1[Tabela],Plano_V3!E672,Table1[Campo],Plano_V3!F672)</f>
        <v>2</v>
      </c>
      <c r="J672" s="175">
        <f t="shared" si="367"/>
        <v>0.25</v>
      </c>
      <c r="K672" s="175">
        <f>SUMIFS(Table1[Horas efetivas],Table1[Tabela],Plano_V3!E672,Table1[Campo],Plano_V3!F672)</f>
        <v>1</v>
      </c>
      <c r="L672" s="175">
        <f t="shared" si="368"/>
        <v>0.125</v>
      </c>
      <c r="M672" s="177"/>
      <c r="N672" s="177">
        <f t="shared" si="369"/>
        <v>0.5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2.1 Em Teste</v>
      </c>
      <c r="H673" s="64">
        <f>VLOOKUP(A673,'Aux - pivots1'!$A:$B,2,0)</f>
        <v>2</v>
      </c>
      <c r="I673" s="175">
        <f>SUMIFS(Table1[Estimação (horas)],Table1[Tabela],Plano_V3!E673,Table1[Campo],Plano_V3!F673)</f>
        <v>2</v>
      </c>
      <c r="J673" s="175">
        <f t="shared" si="367"/>
        <v>0.25</v>
      </c>
      <c r="K673" s="175">
        <f>SUMIFS(Table1[Horas efetivas],Table1[Tabela],Plano_V3!E673,Table1[Campo],Plano_V3!F673)</f>
        <v>1</v>
      </c>
      <c r="L673" s="175">
        <f t="shared" si="368"/>
        <v>0.125</v>
      </c>
      <c r="M673" s="177"/>
      <c r="N673" s="177">
        <f t="shared" si="369"/>
        <v>0.5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7"/>
        <v>0.25</v>
      </c>
      <c r="K674" s="175">
        <f>SUMIFS(Table1[Horas efetivas],Table1[Tabela],Plano_V3!E674,Table1[Campo],Plano_V3!F674)</f>
        <v>0.5</v>
      </c>
      <c r="L674" s="175">
        <f t="shared" si="368"/>
        <v>6.25E-2</v>
      </c>
      <c r="M674" s="177"/>
      <c r="N674" s="177">
        <f t="shared" si="369"/>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4. Validação EF</v>
      </c>
      <c r="H675" s="64">
        <f>VLOOKUP(A675,'Aux - pivots1'!$A:$B,2,0)</f>
        <v>5</v>
      </c>
      <c r="I675" s="175">
        <f>SUMIFS(Table1[Estimação (horas)],Table1[Tabela],Plano_V3!E675,Table1[Campo],Plano_V3!F675)</f>
        <v>2</v>
      </c>
      <c r="J675" s="175">
        <f t="shared" si="367"/>
        <v>0.25</v>
      </c>
      <c r="K675" s="175">
        <f>SUMIFS(Table1[Horas efetivas],Table1[Tabela],Plano_V3!E675,Table1[Campo],Plano_V3!F675)</f>
        <v>0.5</v>
      </c>
      <c r="L675" s="175">
        <f t="shared" si="368"/>
        <v>6.25E-2</v>
      </c>
      <c r="M675" s="177"/>
      <c r="N675" s="177">
        <f t="shared" si="369"/>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5">
        <f>SUMIFS(Table1[Estimação (horas)],Table1[Tabela],Plano_V3!E676,Table1[Campo],Plano_V3!F676)</f>
        <v>2</v>
      </c>
      <c r="J676" s="175">
        <f t="shared" si="367"/>
        <v>0.25</v>
      </c>
      <c r="K676" s="175">
        <f>SUMIFS(Table1[Horas efetivas],Table1[Tabela],Plano_V3!E676,Table1[Campo],Plano_V3!F676)</f>
        <v>0.5</v>
      </c>
      <c r="L676" s="175">
        <f t="shared" si="368"/>
        <v>6.25E-2</v>
      </c>
      <c r="M676" s="177"/>
      <c r="N676" s="177">
        <f t="shared" si="369"/>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2.1 Em Teste</v>
      </c>
      <c r="H677" s="64">
        <f>VLOOKUP(A677,'Aux - pivots1'!$A:$B,2,0)</f>
        <v>2</v>
      </c>
      <c r="I677" s="175">
        <f>SUMIFS(Table1[Estimação (horas)],Table1[Tabela],Plano_V3!E677,Table1[Campo],Plano_V3!F677)</f>
        <v>2</v>
      </c>
      <c r="J677" s="175">
        <f t="shared" si="367"/>
        <v>0.25</v>
      </c>
      <c r="K677" s="175">
        <f>SUMIFS(Table1[Horas efetivas],Table1[Tabela],Plano_V3!E677,Table1[Campo],Plano_V3!F677)</f>
        <v>1</v>
      </c>
      <c r="L677" s="175">
        <f t="shared" si="368"/>
        <v>0.125</v>
      </c>
      <c r="M677" s="177"/>
      <c r="N677" s="177">
        <f t="shared" si="369"/>
        <v>0.5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5">
        <f>SUMIFS(Table1[Estimação (horas)],Table1[Tabela],Plano_V3!E678,Table1[Campo],Plano_V3!F678)</f>
        <v>4.0999999999999996</v>
      </c>
      <c r="J678" s="175">
        <f t="shared" ref="J678:J693" si="370">I678/8</f>
        <v>0.51249999999999996</v>
      </c>
      <c r="K678" s="175">
        <f>SUMIFS(Table1[Horas efetivas],Table1[Tabela],Plano_V3!E678,Table1[Campo],Plano_V3!F678)</f>
        <v>4.0999999999999996</v>
      </c>
      <c r="L678" s="175">
        <f t="shared" ref="L678:L693" si="371">K678/8</f>
        <v>0.51249999999999996</v>
      </c>
      <c r="M678" s="177"/>
      <c r="N678" s="177">
        <f t="shared" ref="N678:N693" si="372">L678/J678</f>
        <v>1</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5">
        <f>SUMIFS(Table1[Estimação (horas)],Table1[Tabela],Plano_V3!E679,Table1[Campo],Plano_V3!F679)</f>
        <v>4.0999999999999996</v>
      </c>
      <c r="J679" s="175">
        <f t="shared" si="370"/>
        <v>0.51249999999999996</v>
      </c>
      <c r="K679" s="175">
        <f>SUMIFS(Table1[Horas efetivas],Table1[Tabela],Plano_V3!E679,Table1[Campo],Plano_V3!F679)</f>
        <v>4.0999999999999996</v>
      </c>
      <c r="L679" s="175">
        <f t="shared" si="371"/>
        <v>0.51249999999999996</v>
      </c>
      <c r="M679" s="177"/>
      <c r="N679" s="177">
        <f t="shared" si="372"/>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70"/>
        <v>0.51249999999999996</v>
      </c>
      <c r="K680" s="175">
        <f>SUMIFS(Table1[Horas efetivas],Table1[Tabela],Plano_V3!E680,Table1[Campo],Plano_V3!F680)</f>
        <v>4.0999999999999996</v>
      </c>
      <c r="L680" s="175">
        <f t="shared" si="371"/>
        <v>0.51249999999999996</v>
      </c>
      <c r="M680" s="177"/>
      <c r="N680" s="177">
        <f t="shared" si="372"/>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70"/>
        <v>0.51249999999999996</v>
      </c>
      <c r="K681" s="175">
        <f>SUMIFS(Table1[Horas efetivas],Table1[Tabela],Plano_V3!E681,Table1[Campo],Plano_V3!F681)</f>
        <v>4.0999999999999996</v>
      </c>
      <c r="L681" s="175">
        <f t="shared" si="371"/>
        <v>0.51249999999999996</v>
      </c>
      <c r="M681" s="177"/>
      <c r="N681" s="177">
        <f t="shared" si="372"/>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70"/>
        <v>0.51249999999999996</v>
      </c>
      <c r="K682" s="175">
        <f>SUMIFS(Table1[Horas efetivas],Table1[Tabela],Plano_V3!E682,Table1[Campo],Plano_V3!F682)</f>
        <v>4.0999999999999996</v>
      </c>
      <c r="L682" s="175">
        <f t="shared" si="371"/>
        <v>0.51249999999999996</v>
      </c>
      <c r="M682" s="177"/>
      <c r="N682" s="177">
        <f t="shared" si="372"/>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70"/>
        <v>0.51249999999999996</v>
      </c>
      <c r="K683" s="175">
        <f>SUMIFS(Table1[Horas efetivas],Table1[Tabela],Plano_V3!E683,Table1[Campo],Plano_V3!F683)</f>
        <v>4.0999999999999996</v>
      </c>
      <c r="L683" s="175">
        <f t="shared" si="371"/>
        <v>0.51249999999999996</v>
      </c>
      <c r="M683" s="177"/>
      <c r="N683" s="177">
        <f t="shared" si="372"/>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70"/>
        <v>0.51249999999999996</v>
      </c>
      <c r="K684" s="175">
        <f>SUMIFS(Table1[Horas efetivas],Table1[Tabela],Plano_V3!E684,Table1[Campo],Plano_V3!F684)</f>
        <v>4.0999999999999996</v>
      </c>
      <c r="L684" s="175">
        <f t="shared" si="371"/>
        <v>0.51249999999999996</v>
      </c>
      <c r="M684" s="177"/>
      <c r="N684" s="177">
        <f t="shared" si="372"/>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70"/>
        <v>0.51249999999999996</v>
      </c>
      <c r="K685" s="175">
        <f>SUMIFS(Table1[Horas efetivas],Table1[Tabela],Plano_V3!E685,Table1[Campo],Plano_V3!F685)</f>
        <v>4.0999999999999996</v>
      </c>
      <c r="L685" s="175">
        <f t="shared" si="371"/>
        <v>0.51249999999999996</v>
      </c>
      <c r="M685" s="177"/>
      <c r="N685" s="177">
        <f t="shared" si="372"/>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70"/>
        <v>0.51249999999999996</v>
      </c>
      <c r="K686" s="175">
        <f>SUMIFS(Table1[Horas efetivas],Table1[Tabela],Plano_V3!E686,Table1[Campo],Plano_V3!F686)</f>
        <v>4.0999999999999996</v>
      </c>
      <c r="L686" s="175">
        <f t="shared" si="371"/>
        <v>0.51249999999999996</v>
      </c>
      <c r="M686" s="177"/>
      <c r="N686" s="177">
        <f t="shared" si="372"/>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70"/>
        <v>0.51249999999999996</v>
      </c>
      <c r="K687" s="175">
        <f>SUMIFS(Table1[Horas efetivas],Table1[Tabela],Plano_V3!E687,Table1[Campo],Plano_V3!F687)</f>
        <v>4.0999999999999996</v>
      </c>
      <c r="L687" s="175">
        <f t="shared" si="371"/>
        <v>0.51249999999999996</v>
      </c>
      <c r="M687" s="177"/>
      <c r="N687" s="177">
        <f t="shared" si="372"/>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70"/>
        <v>0.51249999999999996</v>
      </c>
      <c r="K688" s="175">
        <f>SUMIFS(Table1[Horas efetivas],Table1[Tabela],Plano_V3!E688,Table1[Campo],Plano_V3!F688)</f>
        <v>4.0999999999999996</v>
      </c>
      <c r="L688" s="175">
        <f t="shared" si="371"/>
        <v>0.51249999999999996</v>
      </c>
      <c r="M688" s="177"/>
      <c r="N688" s="177">
        <f t="shared" si="372"/>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70"/>
        <v>0.51249999999999996</v>
      </c>
      <c r="K689" s="175">
        <f>SUMIFS(Table1[Horas efetivas],Table1[Tabela],Plano_V3!E689,Table1[Campo],Plano_V3!F689)</f>
        <v>4.0999999999999996</v>
      </c>
      <c r="L689" s="175">
        <f t="shared" si="371"/>
        <v>0.51249999999999996</v>
      </c>
      <c r="M689" s="177"/>
      <c r="N689" s="177">
        <f t="shared" si="372"/>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70"/>
        <v>0.51249999999999996</v>
      </c>
      <c r="K690" s="175">
        <f>SUMIFS(Table1[Horas efetivas],Table1[Tabela],Plano_V3!E690,Table1[Campo],Plano_V3!F690)</f>
        <v>4.0999999999999996</v>
      </c>
      <c r="L690" s="175">
        <f t="shared" si="371"/>
        <v>0.51249999999999996</v>
      </c>
      <c r="M690" s="177"/>
      <c r="N690" s="177">
        <f t="shared" si="372"/>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70"/>
        <v>0.51249999999999996</v>
      </c>
      <c r="K691" s="175">
        <f>SUMIFS(Table1[Horas efetivas],Table1[Tabela],Plano_V3!E691,Table1[Campo],Plano_V3!F691)</f>
        <v>4.0999999999999996</v>
      </c>
      <c r="L691" s="175">
        <f t="shared" si="371"/>
        <v>0.51249999999999996</v>
      </c>
      <c r="M691" s="177"/>
      <c r="N691" s="177">
        <f t="shared" si="372"/>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70"/>
        <v>0.51249999999999996</v>
      </c>
      <c r="K692" s="175">
        <f>SUMIFS(Table1[Horas efetivas],Table1[Tabela],Plano_V3!E692,Table1[Campo],Plano_V3!F692)</f>
        <v>4.0999999999999996</v>
      </c>
      <c r="L692" s="175">
        <f t="shared" si="371"/>
        <v>0.51249999999999996</v>
      </c>
      <c r="M692" s="177"/>
      <c r="N692" s="177">
        <f t="shared" si="372"/>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70"/>
        <v>0.51249999999999996</v>
      </c>
      <c r="K693" s="175">
        <f>SUMIFS(Table1[Horas efetivas],Table1[Tabela],Plano_V3!E693,Table1[Campo],Plano_V3!F693)</f>
        <v>4.0999999999999996</v>
      </c>
      <c r="L693" s="175">
        <f t="shared" si="371"/>
        <v>0.51249999999999996</v>
      </c>
      <c r="M693" s="177"/>
      <c r="N693" s="177">
        <f t="shared" si="372"/>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5">
        <f>SUMIFS(Table1[Estimação (horas)],Table1[Tabela],Plano_V3!E694,Table1[Campo],Plano_V3!F694)</f>
        <v>4.0999999999999996</v>
      </c>
      <c r="J694" s="175">
        <f t="shared" ref="J694:J765" si="373">I694/8</f>
        <v>0.51249999999999996</v>
      </c>
      <c r="K694" s="175">
        <f>SUMIFS(Table1[Horas efetivas],Table1[Tabela],Plano_V3!E694,Table1[Campo],Plano_V3!F694)</f>
        <v>4.0999999999999996</v>
      </c>
      <c r="L694" s="175">
        <f t="shared" ref="L694:L765" si="374">K694/8</f>
        <v>0.51249999999999996</v>
      </c>
      <c r="M694" s="177"/>
      <c r="N694" s="177">
        <f t="shared" ref="N694:N768" si="375">L694/J694</f>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5">
        <f>SUMIFS(Table1[Estimação (horas)],Table1[Tabela],Plano_V3!E695,Table1[Campo],Plano_V3!F695)</f>
        <v>4.0999999999999996</v>
      </c>
      <c r="J695" s="175">
        <f t="shared" si="373"/>
        <v>0.51249999999999996</v>
      </c>
      <c r="K695" s="175">
        <f>SUMIFS(Table1[Horas efetivas],Table1[Tabela],Plano_V3!E695,Table1[Campo],Plano_V3!F695)</f>
        <v>4.0999999999999996</v>
      </c>
      <c r="L695" s="175">
        <f t="shared" si="374"/>
        <v>0.51249999999999996</v>
      </c>
      <c r="M695" s="177"/>
      <c r="N695" s="177">
        <f t="shared" si="375"/>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73"/>
        <v>0.51249999999999996</v>
      </c>
      <c r="K696" s="175">
        <f>SUMIFS(Table1[Horas efetivas],Table1[Tabela],Plano_V3!E696,Table1[Campo],Plano_V3!F696)</f>
        <v>4.0999999999999996</v>
      </c>
      <c r="L696" s="175">
        <f t="shared" si="374"/>
        <v>0.51249999999999996</v>
      </c>
      <c r="M696" s="177"/>
      <c r="N696" s="177">
        <f t="shared" si="375"/>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73"/>
        <v>0.51249999999999996</v>
      </c>
      <c r="K697" s="175">
        <f>SUMIFS(Table1[Horas efetivas],Table1[Tabela],Plano_V3!E697,Table1[Campo],Plano_V3!F697)</f>
        <v>4.0999999999999996</v>
      </c>
      <c r="L697" s="175">
        <f t="shared" si="374"/>
        <v>0.51249999999999996</v>
      </c>
      <c r="M697" s="177"/>
      <c r="N697" s="177">
        <f t="shared" si="375"/>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73"/>
        <v>0.51249999999999996</v>
      </c>
      <c r="K698" s="175">
        <f>SUMIFS(Table1[Horas efetivas],Table1[Tabela],Plano_V3!E698,Table1[Campo],Plano_V3!F698)</f>
        <v>4.0999999999999996</v>
      </c>
      <c r="L698" s="175">
        <f t="shared" si="374"/>
        <v>0.51249999999999996</v>
      </c>
      <c r="M698" s="177"/>
      <c r="N698" s="177">
        <f t="shared" si="375"/>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73"/>
        <v>0.51249999999999996</v>
      </c>
      <c r="K699" s="175">
        <f>SUMIFS(Table1[Horas efetivas],Table1[Tabela],Plano_V3!E699,Table1[Campo],Plano_V3!F699)</f>
        <v>4.0999999999999996</v>
      </c>
      <c r="L699" s="175">
        <f t="shared" si="374"/>
        <v>0.51249999999999996</v>
      </c>
      <c r="M699" s="177"/>
      <c r="N699" s="177">
        <f t="shared" si="375"/>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73"/>
        <v>0.51249999999999996</v>
      </c>
      <c r="K700" s="175">
        <f>SUMIFS(Table1[Horas efetivas],Table1[Tabela],Plano_V3!E700,Table1[Campo],Plano_V3!F700)</f>
        <v>4.0999999999999996</v>
      </c>
      <c r="L700" s="175">
        <f t="shared" si="374"/>
        <v>0.51249999999999996</v>
      </c>
      <c r="M700" s="177"/>
      <c r="N700" s="177">
        <f t="shared" si="375"/>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73"/>
        <v>0.51249999999999996</v>
      </c>
      <c r="K701" s="175">
        <f>SUMIFS(Table1[Horas efetivas],Table1[Tabela],Plano_V3!E701,Table1[Campo],Plano_V3!F701)</f>
        <v>4.0999999999999996</v>
      </c>
      <c r="L701" s="175">
        <f t="shared" si="374"/>
        <v>0.51249999999999996</v>
      </c>
      <c r="M701" s="177"/>
      <c r="N701" s="177">
        <f t="shared" si="375"/>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5">
        <f>SUMIFS(Table1[Estimação (horas)],Table1[Tabela],Plano_V3!E702,Table1[Campo],Plano_V3!F702)</f>
        <v>0.1</v>
      </c>
      <c r="J702" s="175">
        <f t="shared" si="373"/>
        <v>1.2500000000000001E-2</v>
      </c>
      <c r="K702" s="175">
        <f>SUMIFS(Table1[Horas efetivas],Table1[Tabela],Plano_V3!E702,Table1[Campo],Plano_V3!F702)</f>
        <v>0.1</v>
      </c>
      <c r="L702" s="175">
        <f t="shared" si="374"/>
        <v>1.2500000000000001E-2</v>
      </c>
      <c r="M702" s="177"/>
      <c r="N702" s="177">
        <f t="shared" si="375"/>
        <v>1</v>
      </c>
      <c r="O702" s="177"/>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5">
        <f>SUMIFS(Table1[Estimação (horas)],Table1[Tabela],Plano_V3!E703,Table1[Campo],Plano_V3!F703)</f>
        <v>0.1</v>
      </c>
      <c r="J703" s="175">
        <f t="shared" si="373"/>
        <v>1.2500000000000001E-2</v>
      </c>
      <c r="K703" s="175">
        <f>SUMIFS(Table1[Horas efetivas],Table1[Tabela],Plano_V3!E703,Table1[Campo],Plano_V3!F703)</f>
        <v>0.1</v>
      </c>
      <c r="L703" s="175">
        <f t="shared" si="374"/>
        <v>1.2500000000000001E-2</v>
      </c>
      <c r="M703" s="177"/>
      <c r="N703" s="177">
        <f t="shared" si="375"/>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5">
        <f>SUMIFS(Table1[Estimação (horas)],Table1[Tabela],Plano_V3!E704,Table1[Campo],Plano_V3!F704)</f>
        <v>0.1</v>
      </c>
      <c r="J704" s="175">
        <f t="shared" si="373"/>
        <v>1.2500000000000001E-2</v>
      </c>
      <c r="K704" s="175">
        <f>SUMIFS(Table1[Horas efetivas],Table1[Tabela],Plano_V3!E704,Table1[Campo],Plano_V3!F704)</f>
        <v>0.1</v>
      </c>
      <c r="L704" s="175">
        <f t="shared" si="374"/>
        <v>1.2500000000000001E-2</v>
      </c>
      <c r="M704" s="177"/>
      <c r="N704" s="177">
        <f t="shared" si="375"/>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5">
        <f>SUMIFS(Table1[Estimação (horas)],Table1[Tabela],Plano_V3!E705,Table1[Campo],Plano_V3!F705)</f>
        <v>0.1</v>
      </c>
      <c r="J705" s="175">
        <f t="shared" si="373"/>
        <v>1.2500000000000001E-2</v>
      </c>
      <c r="K705" s="175">
        <f>SUMIFS(Table1[Horas efetivas],Table1[Tabela],Plano_V3!E705,Table1[Campo],Plano_V3!F705)</f>
        <v>0.1</v>
      </c>
      <c r="L705" s="175">
        <f t="shared" si="374"/>
        <v>1.2500000000000001E-2</v>
      </c>
      <c r="M705" s="177"/>
      <c r="N705" s="177">
        <f t="shared" si="375"/>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5">
        <f>SUMIFS(Table1[Estimação (horas)],Table1[Tabela],Plano_V3!E706,Table1[Campo],Plano_V3!F706)</f>
        <v>0.1</v>
      </c>
      <c r="J706" s="175">
        <f t="shared" si="373"/>
        <v>1.2500000000000001E-2</v>
      </c>
      <c r="K706" s="175">
        <f>SUMIFS(Table1[Horas efetivas],Table1[Tabela],Plano_V3!E706,Table1[Campo],Plano_V3!F706)</f>
        <v>0.1</v>
      </c>
      <c r="L706" s="175">
        <f t="shared" si="374"/>
        <v>1.2500000000000001E-2</v>
      </c>
      <c r="M706" s="177"/>
      <c r="N706" s="177">
        <f t="shared" si="375"/>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5">
        <f>SUMIFS(Table1[Estimação (horas)],Table1[Tabela],Plano_V3!E707,Table1[Campo],Plano_V3!F707)</f>
        <v>0.1</v>
      </c>
      <c r="J707" s="175">
        <f t="shared" si="373"/>
        <v>1.2500000000000001E-2</v>
      </c>
      <c r="K707" s="175">
        <f>SUMIFS(Table1[Horas efetivas],Table1[Tabela],Plano_V3!E707,Table1[Campo],Plano_V3!F707)</f>
        <v>0.1</v>
      </c>
      <c r="L707" s="175">
        <f t="shared" si="374"/>
        <v>1.2500000000000001E-2</v>
      </c>
      <c r="M707" s="177"/>
      <c r="N707" s="177">
        <f t="shared" si="375"/>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5">
        <f>SUMIFS(Table1[Estimação (horas)],Table1[Tabela],Plano_V3!E708,Table1[Campo],Plano_V3!F708)</f>
        <v>0.1</v>
      </c>
      <c r="J708" s="175">
        <f t="shared" si="373"/>
        <v>1.2500000000000001E-2</v>
      </c>
      <c r="K708" s="175">
        <f>SUMIFS(Table1[Horas efetivas],Table1[Tabela],Plano_V3!E708,Table1[Campo],Plano_V3!F708)</f>
        <v>0.1</v>
      </c>
      <c r="L708" s="175">
        <f t="shared" si="374"/>
        <v>1.2500000000000001E-2</v>
      </c>
      <c r="M708" s="177"/>
      <c r="N708" s="177">
        <f t="shared" si="375"/>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5">
        <f>SUMIFS(Table1[Estimação (horas)],Table1[Tabela],Plano_V3!E709,Table1[Campo],Plano_V3!F709)</f>
        <v>0.1</v>
      </c>
      <c r="J709" s="175">
        <f t="shared" si="373"/>
        <v>1.2500000000000001E-2</v>
      </c>
      <c r="K709" s="175">
        <f>SUMIFS(Table1[Horas efetivas],Table1[Tabela],Plano_V3!E709,Table1[Campo],Plano_V3!F709)</f>
        <v>0.1</v>
      </c>
      <c r="L709" s="175">
        <f t="shared" si="374"/>
        <v>1.2500000000000001E-2</v>
      </c>
      <c r="M709" s="177"/>
      <c r="N709" s="177">
        <f t="shared" si="375"/>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5">
        <f>SUMIFS(Table1[Estimação (horas)],Table1[Tabela],Plano_V3!E710,Table1[Campo],Plano_V3!F710)</f>
        <v>0.1</v>
      </c>
      <c r="J710" s="175">
        <f t="shared" si="373"/>
        <v>1.2500000000000001E-2</v>
      </c>
      <c r="K710" s="175">
        <f>SUMIFS(Table1[Horas efetivas],Table1[Tabela],Plano_V3!E710,Table1[Campo],Plano_V3!F710)</f>
        <v>0.1</v>
      </c>
      <c r="L710" s="175">
        <f t="shared" si="374"/>
        <v>1.2500000000000001E-2</v>
      </c>
      <c r="M710" s="177"/>
      <c r="N710" s="177">
        <f t="shared" si="375"/>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5">
        <f>SUMIFS(Table1[Estimação (horas)],Table1[Tabela],Plano_V3!E711,Table1[Campo],Plano_V3!F711)</f>
        <v>0.1</v>
      </c>
      <c r="J711" s="175">
        <f t="shared" si="373"/>
        <v>1.2500000000000001E-2</v>
      </c>
      <c r="K711" s="175">
        <f>SUMIFS(Table1[Horas efetivas],Table1[Tabela],Plano_V3!E711,Table1[Campo],Plano_V3!F711)</f>
        <v>0.1</v>
      </c>
      <c r="L711" s="175">
        <f t="shared" si="374"/>
        <v>1.2500000000000001E-2</v>
      </c>
      <c r="M711" s="177"/>
      <c r="N711" s="177">
        <f t="shared" si="375"/>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5">
        <f>SUMIFS(Table1[Estimação (horas)],Table1[Tabela],Plano_V3!E712,Table1[Campo],Plano_V3!F712)</f>
        <v>0.1</v>
      </c>
      <c r="J712" s="175">
        <f t="shared" si="373"/>
        <v>1.2500000000000001E-2</v>
      </c>
      <c r="K712" s="175">
        <f>SUMIFS(Table1[Horas efetivas],Table1[Tabela],Plano_V3!E712,Table1[Campo],Plano_V3!F712)</f>
        <v>0.1</v>
      </c>
      <c r="L712" s="175">
        <f t="shared" si="374"/>
        <v>1.2500000000000001E-2</v>
      </c>
      <c r="M712" s="177"/>
      <c r="N712" s="177">
        <f t="shared" si="375"/>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5">
        <f>SUMIFS(Table1[Estimação (horas)],Table1[Tabela],Plano_V3!E713,Table1[Campo],Plano_V3!F713)</f>
        <v>0.1</v>
      </c>
      <c r="J713" s="175">
        <f t="shared" si="373"/>
        <v>1.2500000000000001E-2</v>
      </c>
      <c r="K713" s="175">
        <f>SUMIFS(Table1[Horas efetivas],Table1[Tabela],Plano_V3!E713,Table1[Campo],Plano_V3!F713)</f>
        <v>0.1</v>
      </c>
      <c r="L713" s="175">
        <f t="shared" si="374"/>
        <v>1.2500000000000001E-2</v>
      </c>
      <c r="M713" s="177"/>
      <c r="N713" s="177">
        <f t="shared" si="375"/>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5">
        <f>SUMIFS(Table1[Estimação (horas)],Table1[Tabela],Plano_V3!E714,Table1[Campo],Plano_V3!F714)</f>
        <v>0.1</v>
      </c>
      <c r="J714" s="175">
        <f t="shared" si="373"/>
        <v>1.2500000000000001E-2</v>
      </c>
      <c r="K714" s="175">
        <f>SUMIFS(Table1[Horas efetivas],Table1[Tabela],Plano_V3!E714,Table1[Campo],Plano_V3!F714)</f>
        <v>0.1</v>
      </c>
      <c r="L714" s="175">
        <f t="shared" si="374"/>
        <v>1.2500000000000001E-2</v>
      </c>
      <c r="M714" s="177"/>
      <c r="N714" s="177">
        <f t="shared" si="375"/>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5">
        <f>SUMIFS(Table1[Estimação (horas)],Table1[Tabela],Plano_V3!E715,Table1[Campo],Plano_V3!F715)</f>
        <v>0.1</v>
      </c>
      <c r="J715" s="175">
        <f t="shared" si="373"/>
        <v>1.2500000000000001E-2</v>
      </c>
      <c r="K715" s="175">
        <f>SUMIFS(Table1[Horas efetivas],Table1[Tabela],Plano_V3!E715,Table1[Campo],Plano_V3!F715)</f>
        <v>0.1</v>
      </c>
      <c r="L715" s="175">
        <f t="shared" si="374"/>
        <v>1.2500000000000001E-2</v>
      </c>
      <c r="M715" s="177"/>
      <c r="N715" s="177">
        <f t="shared" si="375"/>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5">
        <f>SUMIFS(Table1[Estimação (horas)],Table1[Tabela],Plano_V3!E716,Table1[Campo],Plano_V3!F716)</f>
        <v>0.1</v>
      </c>
      <c r="J716" s="175">
        <f t="shared" si="373"/>
        <v>1.2500000000000001E-2</v>
      </c>
      <c r="K716" s="175">
        <f>SUMIFS(Table1[Horas efetivas],Table1[Tabela],Plano_V3!E716,Table1[Campo],Plano_V3!F716)</f>
        <v>0.1</v>
      </c>
      <c r="L716" s="175">
        <f t="shared" si="374"/>
        <v>1.2500000000000001E-2</v>
      </c>
      <c r="M716" s="177"/>
      <c r="N716" s="177">
        <f t="shared" si="375"/>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5">
        <f>SUMIFS(Table1[Estimação (horas)],Table1[Tabela],Plano_V3!E717,Table1[Campo],Plano_V3!F717)</f>
        <v>0.1</v>
      </c>
      <c r="J717" s="175">
        <f t="shared" si="373"/>
        <v>1.2500000000000001E-2</v>
      </c>
      <c r="K717" s="175">
        <f>SUMIFS(Table1[Horas efetivas],Table1[Tabela],Plano_V3!E717,Table1[Campo],Plano_V3!F717)</f>
        <v>0.1</v>
      </c>
      <c r="L717" s="175">
        <f t="shared" si="374"/>
        <v>1.2500000000000001E-2</v>
      </c>
      <c r="M717" s="177"/>
      <c r="N717" s="177">
        <f t="shared" si="375"/>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5">
        <f>SUMIFS(Table1[Estimação (horas)],Table1[Tabela],Plano_V3!E718,Table1[Campo],Plano_V3!F718)</f>
        <v>0.1</v>
      </c>
      <c r="J718" s="175">
        <f t="shared" si="373"/>
        <v>1.2500000000000001E-2</v>
      </c>
      <c r="K718" s="175">
        <f>SUMIFS(Table1[Horas efetivas],Table1[Tabela],Plano_V3!E718,Table1[Campo],Plano_V3!F718)</f>
        <v>0.1</v>
      </c>
      <c r="L718" s="175">
        <f t="shared" si="374"/>
        <v>1.2500000000000001E-2</v>
      </c>
      <c r="M718" s="177"/>
      <c r="N718" s="177">
        <f t="shared" si="375"/>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5">
        <f>SUMIFS(Table1[Estimação (horas)],Table1[Tabela],Plano_V3!E719,Table1[Campo],Plano_V3!F719)</f>
        <v>0.1</v>
      </c>
      <c r="J719" s="175">
        <f t="shared" si="373"/>
        <v>1.2500000000000001E-2</v>
      </c>
      <c r="K719" s="175">
        <f>SUMIFS(Table1[Horas efetivas],Table1[Tabela],Plano_V3!E719,Table1[Campo],Plano_V3!F719)</f>
        <v>0.1</v>
      </c>
      <c r="L719" s="175">
        <f t="shared" si="374"/>
        <v>1.2500000000000001E-2</v>
      </c>
      <c r="M719" s="177"/>
      <c r="N719" s="177">
        <f t="shared" si="375"/>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5">
        <f>SUMIFS(Table1[Estimação (horas)],Table1[Tabela],Plano_V3!E720,Table1[Campo],Plano_V3!F720)</f>
        <v>0.1</v>
      </c>
      <c r="J720" s="175">
        <f t="shared" si="373"/>
        <v>1.2500000000000001E-2</v>
      </c>
      <c r="K720" s="175">
        <f>SUMIFS(Table1[Horas efetivas],Table1[Tabela],Plano_V3!E720,Table1[Campo],Plano_V3!F720)</f>
        <v>0.1</v>
      </c>
      <c r="L720" s="175">
        <f t="shared" si="374"/>
        <v>1.2500000000000001E-2</v>
      </c>
      <c r="M720" s="177"/>
      <c r="N720" s="177">
        <f t="shared" si="375"/>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2.2 Em especificação</v>
      </c>
      <c r="H721" s="64">
        <f>VLOOKUP(A721,'Aux - pivots1'!$A:$B,2,0)</f>
        <v>3</v>
      </c>
      <c r="I721" s="175">
        <f>SUMIFS(Table1[Estimação (horas)],Table1[Tabela],Plano_V3!E721,Table1[Campo],Plano_V3!F721)</f>
        <v>0.1</v>
      </c>
      <c r="J721" s="175">
        <f t="shared" si="373"/>
        <v>1.2500000000000001E-2</v>
      </c>
      <c r="K721" s="175">
        <f>SUMIFS(Table1[Horas efetivas],Table1[Tabela],Plano_V3!E721,Table1[Campo],Plano_V3!F721)</f>
        <v>0.05</v>
      </c>
      <c r="L721" s="175">
        <f t="shared" si="374"/>
        <v>6.2500000000000003E-3</v>
      </c>
      <c r="M721" s="177"/>
      <c r="N721" s="177">
        <f t="shared" si="375"/>
        <v>0.5</v>
      </c>
      <c r="O721" s="177"/>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 xml:space="preserve">6. Em implementação </v>
      </c>
      <c r="H722" s="64">
        <f>VLOOKUP(A722,'Aux - pivots1'!$A:$B,2,0)</f>
        <v>7</v>
      </c>
      <c r="I722" s="175">
        <f>SUMIFS(Table1[Estimação (horas)],Table1[Tabela],Plano_V3!E722,Table1[Campo],Plano_V3!F722)</f>
        <v>0.1</v>
      </c>
      <c r="J722" s="175">
        <f t="shared" si="373"/>
        <v>1.2500000000000001E-2</v>
      </c>
      <c r="K722" s="175">
        <f>SUMIFS(Table1[Horas efetivas],Table1[Tabela],Plano_V3!E722,Table1[Campo],Plano_V3!F722)</f>
        <v>2.5000000000000001E-2</v>
      </c>
      <c r="L722" s="175">
        <f t="shared" si="374"/>
        <v>3.1250000000000002E-3</v>
      </c>
      <c r="M722" s="177"/>
      <c r="N722" s="177">
        <f t="shared" si="375"/>
        <v>0.25</v>
      </c>
      <c r="O722" s="177"/>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7" t="s">
        <v>1293</v>
      </c>
      <c r="G723" s="64" t="str">
        <f>INDEX(Auxiliar!$B$16:$B$24,MATCH(Plano_V3!H723,Auxiliar!$C$16:$C$24,0),1)</f>
        <v>2.1 Em Teste</v>
      </c>
      <c r="H723" s="64">
        <f>VLOOKUP(A723,'Aux - pivots1'!$A:$B,2,0)</f>
        <v>2</v>
      </c>
      <c r="I723" s="175" t="e">
        <f>SUMIFS(Table1[Estimação (horas)],Table1[Tabela],Plano_V3!E723,Table1[Campo],Plano_V3!F723)</f>
        <v>#N/A</v>
      </c>
      <c r="J723" s="175" t="e">
        <f t="shared" ref="J723:J729" si="378">I723/8</f>
        <v>#N/A</v>
      </c>
      <c r="K723" s="175" t="e">
        <f>SUMIFS(Table1[Horas efetivas],Table1[Tabela],Plano_V3!E723,Table1[Campo],Plano_V3!F723)</f>
        <v>#N/A</v>
      </c>
      <c r="L723" s="175" t="e">
        <f t="shared" ref="L723:L729" si="379">K723/8</f>
        <v>#N/A</v>
      </c>
      <c r="M723" s="177"/>
      <c r="N723" s="177" t="e">
        <f t="shared" ref="N723:N729" si="380">L723/J723</f>
        <v>#N/A</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7" t="s">
        <v>1298</v>
      </c>
      <c r="G724" s="64" t="str">
        <f>INDEX(Auxiliar!$B$16:$B$24,MATCH(Plano_V3!H724,Auxiliar!$C$16:$C$24,0),1)</f>
        <v>2.1 Em Teste</v>
      </c>
      <c r="H724" s="64">
        <f>VLOOKUP(A724,'Aux - pivots1'!$A:$B,2,0)</f>
        <v>2</v>
      </c>
      <c r="I724" s="175" t="e">
        <f>SUMIFS(Table1[Estimação (horas)],Table1[Tabela],Plano_V3!E724,Table1[Campo],Plano_V3!F724)</f>
        <v>#N/A</v>
      </c>
      <c r="J724" s="175" t="e">
        <f t="shared" si="378"/>
        <v>#N/A</v>
      </c>
      <c r="K724" s="175" t="e">
        <f>SUMIFS(Table1[Horas efetivas],Table1[Tabela],Plano_V3!E724,Table1[Campo],Plano_V3!F724)</f>
        <v>#N/A</v>
      </c>
      <c r="L724" s="175" t="e">
        <f t="shared" si="379"/>
        <v>#N/A</v>
      </c>
      <c r="M724" s="177"/>
      <c r="N724" s="177" t="e">
        <f t="shared" si="380"/>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7" t="s">
        <v>1307</v>
      </c>
      <c r="G725" s="64" t="str">
        <f>INDEX(Auxiliar!$B$16:$B$24,MATCH(Plano_V3!H725,Auxiliar!$C$16:$C$24,0),1)</f>
        <v>2.1 Em Teste</v>
      </c>
      <c r="H725" s="64">
        <f>VLOOKUP(A725,'Aux - pivots1'!$A:$B,2,0)</f>
        <v>2</v>
      </c>
      <c r="I725" s="175" t="e">
        <f>SUMIFS(Table1[Estimação (horas)],Table1[Tabela],Plano_V3!E725,Table1[Campo],Plano_V3!F725)</f>
        <v>#N/A</v>
      </c>
      <c r="J725" s="175" t="e">
        <f t="shared" si="378"/>
        <v>#N/A</v>
      </c>
      <c r="K725" s="175" t="e">
        <f>SUMIFS(Table1[Horas efetivas],Table1[Tabela],Plano_V3!E725,Table1[Campo],Plano_V3!F725)</f>
        <v>#N/A</v>
      </c>
      <c r="L725" s="175" t="e">
        <f t="shared" si="379"/>
        <v>#N/A</v>
      </c>
      <c r="M725" s="177"/>
      <c r="N725" s="177" t="e">
        <f t="shared" si="380"/>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7" t="s">
        <v>2292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8"/>
        <v>#N/A</v>
      </c>
      <c r="K726" s="175" t="e">
        <f>SUMIFS(Table1[Horas efetivas],Table1[Tabela],Plano_V3!E726,Table1[Campo],Plano_V3!F726)</f>
        <v>#N/A</v>
      </c>
      <c r="L726" s="175" t="e">
        <f t="shared" si="379"/>
        <v>#N/A</v>
      </c>
      <c r="M726" s="177"/>
      <c r="N726" s="177" t="e">
        <f t="shared" si="380"/>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7" t="s">
        <v>2293</v>
      </c>
      <c r="G727" s="64" t="str">
        <f>INDEX(Auxiliar!$B$16:$B$24,MATCH(Plano_V3!H727,Auxiliar!$C$16:$C$24,0),1)</f>
        <v xml:space="preserve">6. Em implementação </v>
      </c>
      <c r="H727" s="64">
        <f>VLOOKUP(A727,'Aux - pivots1'!$A:$B,2,0)</f>
        <v>7</v>
      </c>
      <c r="I727" s="175" t="e">
        <f>SUMIFS(Table1[Estimação (horas)],Table1[Tabela],Plano_V3!E727,Table1[Campo],Plano_V3!F727)</f>
        <v>#N/A</v>
      </c>
      <c r="J727" s="175" t="e">
        <f t="shared" si="378"/>
        <v>#N/A</v>
      </c>
      <c r="K727" s="175" t="e">
        <f>SUMIFS(Table1[Horas efetivas],Table1[Tabela],Plano_V3!E727,Table1[Campo],Plano_V3!F727)</f>
        <v>#N/A</v>
      </c>
      <c r="L727" s="175" t="e">
        <f t="shared" si="379"/>
        <v>#N/A</v>
      </c>
      <c r="M727" s="177"/>
      <c r="N727" s="177" t="e">
        <f t="shared" si="380"/>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7" t="s">
        <v>2294</v>
      </c>
      <c r="G728" s="64" t="str">
        <f>INDEX(Auxiliar!$B$16:$B$24,MATCH(Plano_V3!H728,Auxiliar!$C$16:$C$24,0),1)</f>
        <v>2.1 Em Teste</v>
      </c>
      <c r="H728" s="64">
        <f>VLOOKUP(A728,'Aux - pivots1'!$A:$B,2,0)</f>
        <v>2</v>
      </c>
      <c r="I728" s="175" t="e">
        <f>SUMIFS(Table1[Estimação (horas)],Table1[Tabela],Plano_V3!E728,Table1[Campo],Plano_V3!F728)</f>
        <v>#N/A</v>
      </c>
      <c r="J728" s="175" t="e">
        <f t="shared" si="378"/>
        <v>#N/A</v>
      </c>
      <c r="K728" s="175" t="e">
        <f>SUMIFS(Table1[Horas efetivas],Table1[Tabela],Plano_V3!E728,Table1[Campo],Plano_V3!F728)</f>
        <v>#N/A</v>
      </c>
      <c r="L728" s="175" t="e">
        <f t="shared" si="379"/>
        <v>#N/A</v>
      </c>
      <c r="M728" s="177"/>
      <c r="N728" s="177" t="e">
        <f t="shared" si="380"/>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7" t="s">
        <v>2295</v>
      </c>
      <c r="G729" s="64" t="str">
        <f>INDEX(Auxiliar!$B$16:$B$24,MATCH(Plano_V3!H729,Auxiliar!$C$16:$C$24,0),1)</f>
        <v>2.1 Em Teste</v>
      </c>
      <c r="H729" s="64">
        <f>VLOOKUP(A729,'Aux - pivots1'!$A:$B,2,0)</f>
        <v>2</v>
      </c>
      <c r="I729" s="175" t="e">
        <f>SUMIFS(Table1[Estimação (horas)],Table1[Tabela],Plano_V3!E729,Table1[Campo],Plano_V3!F729)</f>
        <v>#N/A</v>
      </c>
      <c r="J729" s="175" t="e">
        <f t="shared" si="378"/>
        <v>#N/A</v>
      </c>
      <c r="K729" s="175" t="e">
        <f>SUMIFS(Table1[Horas efetivas],Table1[Tabela],Plano_V3!E729,Table1[Campo],Plano_V3!F729)</f>
        <v>#N/A</v>
      </c>
      <c r="L729" s="175" t="e">
        <f t="shared" si="379"/>
        <v>#N/A</v>
      </c>
      <c r="M729" s="177"/>
      <c r="N729" s="177" t="e">
        <f t="shared" si="380"/>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5">
        <f>SUMIFS(Table1[Estimação (horas)],Table1[Tabela],Plano_V3!E730,Table1[Campo],Plano_V3!F730)</f>
        <v>0.1</v>
      </c>
      <c r="J730" s="175">
        <f t="shared" si="373"/>
        <v>1.2500000000000001E-2</v>
      </c>
      <c r="K730" s="175">
        <f>SUMIFS(Table1[Horas efetivas],Table1[Tabela],Plano_V3!E730,Table1[Campo],Plano_V3!F730)</f>
        <v>2.5000000000000001E-2</v>
      </c>
      <c r="L730" s="175">
        <f t="shared" si="374"/>
        <v>3.1250000000000002E-3</v>
      </c>
      <c r="M730" s="177"/>
      <c r="N730" s="177">
        <f t="shared" si="375"/>
        <v>0.25</v>
      </c>
      <c r="O730" s="177"/>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5">
        <f>SUMIFS(Table1[Estimação (horas)],Table1[Tabela],Plano_V3!E731,Table1[Campo],Plano_V3!F731)</f>
        <v>0.1</v>
      </c>
      <c r="J731" s="175">
        <f t="shared" si="373"/>
        <v>1.2500000000000001E-2</v>
      </c>
      <c r="K731" s="175">
        <f>SUMIFS(Table1[Horas efetivas],Table1[Tabela],Plano_V3!E731,Table1[Campo],Plano_V3!F731)</f>
        <v>2.5000000000000001E-2</v>
      </c>
      <c r="L731" s="175">
        <f t="shared" si="374"/>
        <v>3.1250000000000002E-3</v>
      </c>
      <c r="M731" s="177"/>
      <c r="N731" s="177">
        <f t="shared" si="375"/>
        <v>0.25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5">
        <f>SUMIFS(Table1[Estimação (horas)],Table1[Tabela],Plano_V3!E732,Table1[Campo],Plano_V3!F732)</f>
        <v>0.1</v>
      </c>
      <c r="J732" s="175">
        <f t="shared" si="373"/>
        <v>1.2500000000000001E-2</v>
      </c>
      <c r="K732" s="175">
        <f>SUMIFS(Table1[Horas efetivas],Table1[Tabela],Plano_V3!E732,Table1[Campo],Plano_V3!F732)</f>
        <v>2.5000000000000001E-2</v>
      </c>
      <c r="L732" s="175">
        <f t="shared" si="374"/>
        <v>3.1250000000000002E-3</v>
      </c>
      <c r="M732" s="177"/>
      <c r="N732" s="177">
        <f t="shared" si="375"/>
        <v>0.25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5">
        <f>SUMIFS(Table1[Estimação (horas)],Table1[Tabela],Plano_V3!E733,Table1[Campo],Plano_V3!F733)</f>
        <v>0.1</v>
      </c>
      <c r="J733" s="175">
        <f t="shared" si="373"/>
        <v>1.2500000000000001E-2</v>
      </c>
      <c r="K733" s="175">
        <f>SUMIFS(Table1[Horas efetivas],Table1[Tabela],Plano_V3!E733,Table1[Campo],Plano_V3!F733)</f>
        <v>0.1</v>
      </c>
      <c r="L733" s="175">
        <f t="shared" si="374"/>
        <v>1.2500000000000001E-2</v>
      </c>
      <c r="M733" s="177"/>
      <c r="N733" s="177">
        <f t="shared" si="375"/>
        <v>1</v>
      </c>
      <c r="O733" s="177"/>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5">
        <f>SUMIFS(Table1[Estimação (horas)],Table1[Tabela],Plano_V3!E734,Table1[Campo],Plano_V3!F734)</f>
        <v>0.1</v>
      </c>
      <c r="J734" s="175">
        <f t="shared" si="373"/>
        <v>1.2500000000000001E-2</v>
      </c>
      <c r="K734" s="175">
        <f>SUMIFS(Table1[Horas efetivas],Table1[Tabela],Plano_V3!E734,Table1[Campo],Plano_V3!F734)</f>
        <v>0.1</v>
      </c>
      <c r="L734" s="175">
        <f t="shared" si="374"/>
        <v>1.2500000000000001E-2</v>
      </c>
      <c r="M734" s="177"/>
      <c r="N734" s="177">
        <f t="shared" si="375"/>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5">
        <f>SUMIFS(Table1[Estimação (horas)],Table1[Tabela],Plano_V3!E735,Table1[Campo],Plano_V3!F735)</f>
        <v>0.1</v>
      </c>
      <c r="J735" s="175">
        <f t="shared" si="373"/>
        <v>1.2500000000000001E-2</v>
      </c>
      <c r="K735" s="175">
        <f>SUMIFS(Table1[Horas efetivas],Table1[Tabela],Plano_V3!E735,Table1[Campo],Plano_V3!F735)</f>
        <v>0.1</v>
      </c>
      <c r="L735" s="175">
        <f t="shared" si="374"/>
        <v>1.2500000000000001E-2</v>
      </c>
      <c r="M735" s="177"/>
      <c r="N735" s="177">
        <f t="shared" si="375"/>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5">
        <f>SUMIFS(Table1[Estimação (horas)],Table1[Tabela],Plano_V3!E736,Table1[Campo],Plano_V3!F736)</f>
        <v>0.1</v>
      </c>
      <c r="J736" s="175">
        <f t="shared" si="373"/>
        <v>1.2500000000000001E-2</v>
      </c>
      <c r="K736" s="175">
        <f>SUMIFS(Table1[Horas efetivas],Table1[Tabela],Plano_V3!E736,Table1[Campo],Plano_V3!F736)</f>
        <v>0.1</v>
      </c>
      <c r="L736" s="175">
        <f t="shared" si="374"/>
        <v>1.2500000000000001E-2</v>
      </c>
      <c r="M736" s="177"/>
      <c r="N736" s="177">
        <f t="shared" si="375"/>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5">
        <f>SUMIFS(Table1[Estimação (horas)],Table1[Tabela],Plano_V3!E737,Table1[Campo],Plano_V3!F737)</f>
        <v>0.1</v>
      </c>
      <c r="J737" s="175">
        <f t="shared" si="373"/>
        <v>1.2500000000000001E-2</v>
      </c>
      <c r="K737" s="175">
        <f>SUMIFS(Table1[Horas efetivas],Table1[Tabela],Plano_V3!E737,Table1[Campo],Plano_V3!F737)</f>
        <v>0.1</v>
      </c>
      <c r="L737" s="175">
        <f t="shared" si="374"/>
        <v>1.2500000000000001E-2</v>
      </c>
      <c r="M737" s="177"/>
      <c r="N737" s="177">
        <f t="shared" si="375"/>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5">
        <f>SUMIFS(Table1[Estimação (horas)],Table1[Tabela],Plano_V3!E738,Table1[Campo],Plano_V3!F738)</f>
        <v>0.1</v>
      </c>
      <c r="J738" s="175">
        <f t="shared" si="373"/>
        <v>1.2500000000000001E-2</v>
      </c>
      <c r="K738" s="175">
        <f>SUMIFS(Table1[Horas efetivas],Table1[Tabela],Plano_V3!E738,Table1[Campo],Plano_V3!F738)</f>
        <v>0.1</v>
      </c>
      <c r="L738" s="175">
        <f t="shared" si="374"/>
        <v>1.2500000000000001E-2</v>
      </c>
      <c r="M738" s="177"/>
      <c r="N738" s="177">
        <f t="shared" si="375"/>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5">
        <f>SUMIFS(Table1[Estimação (horas)],Table1[Tabela],Plano_V3!E739,Table1[Campo],Plano_V3!F739)</f>
        <v>0.1</v>
      </c>
      <c r="J739" s="175">
        <f t="shared" si="373"/>
        <v>1.2500000000000001E-2</v>
      </c>
      <c r="K739" s="175">
        <f>SUMIFS(Table1[Horas efetivas],Table1[Tabela],Plano_V3!E739,Table1[Campo],Plano_V3!F739)</f>
        <v>0.1</v>
      </c>
      <c r="L739" s="175">
        <f t="shared" si="374"/>
        <v>1.2500000000000001E-2</v>
      </c>
      <c r="M739" s="177"/>
      <c r="N739" s="177">
        <f t="shared" si="375"/>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5">
        <f>SUMIFS(Table1[Estimação (horas)],Table1[Tabela],Plano_V3!E740,Table1[Campo],Plano_V3!F740)</f>
        <v>0.1</v>
      </c>
      <c r="J740" s="175">
        <f t="shared" si="373"/>
        <v>1.2500000000000001E-2</v>
      </c>
      <c r="K740" s="175">
        <f>SUMIFS(Table1[Horas efetivas],Table1[Tabela],Plano_V3!E740,Table1[Campo],Plano_V3!F740)</f>
        <v>0.1</v>
      </c>
      <c r="L740" s="175">
        <f t="shared" si="374"/>
        <v>1.2500000000000001E-2</v>
      </c>
      <c r="M740" s="177"/>
      <c r="N740" s="177">
        <f t="shared" si="375"/>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5">
        <f>SUMIFS(Table1[Estimação (horas)],Table1[Tabela],Plano_V3!E741,Table1[Campo],Plano_V3!F741)</f>
        <v>0.1</v>
      </c>
      <c r="J741" s="175">
        <f t="shared" si="373"/>
        <v>1.2500000000000001E-2</v>
      </c>
      <c r="K741" s="175">
        <f>SUMIFS(Table1[Horas efetivas],Table1[Tabela],Plano_V3!E741,Table1[Campo],Plano_V3!F741)</f>
        <v>0.1</v>
      </c>
      <c r="L741" s="175">
        <f t="shared" si="374"/>
        <v>1.2500000000000001E-2</v>
      </c>
      <c r="M741" s="177"/>
      <c r="N741" s="177">
        <f t="shared" si="375"/>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5">
        <f>SUMIFS(Table1[Estimação (horas)],Table1[Tabela],Plano_V3!E742,Table1[Campo],Plano_V3!F742)</f>
        <v>0.1</v>
      </c>
      <c r="J742" s="175">
        <f t="shared" si="373"/>
        <v>1.2500000000000001E-2</v>
      </c>
      <c r="K742" s="175">
        <f>SUMIFS(Table1[Horas efetivas],Table1[Tabela],Plano_V3!E742,Table1[Campo],Plano_V3!F742)</f>
        <v>0.1</v>
      </c>
      <c r="L742" s="175">
        <f t="shared" si="374"/>
        <v>1.2500000000000001E-2</v>
      </c>
      <c r="M742" s="177"/>
      <c r="N742" s="177">
        <f t="shared" si="375"/>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5">
        <f>SUMIFS(Table1[Estimação (horas)],Table1[Tabela],Plano_V3!E743,Table1[Campo],Plano_V3!F743)</f>
        <v>0.1</v>
      </c>
      <c r="J743" s="175">
        <f t="shared" si="373"/>
        <v>1.2500000000000001E-2</v>
      </c>
      <c r="K743" s="175">
        <f>SUMIFS(Table1[Horas efetivas],Table1[Tabela],Plano_V3!E743,Table1[Campo],Plano_V3!F743)</f>
        <v>0.1</v>
      </c>
      <c r="L743" s="175">
        <f t="shared" si="374"/>
        <v>1.2500000000000001E-2</v>
      </c>
      <c r="M743" s="177"/>
      <c r="N743" s="177">
        <f t="shared" si="375"/>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5">
        <f>SUMIFS(Table1[Estimação (horas)],Table1[Tabela],Plano_V3!E744,Table1[Campo],Plano_V3!F744)</f>
        <v>0.1</v>
      </c>
      <c r="J744" s="175">
        <f t="shared" si="373"/>
        <v>1.2500000000000001E-2</v>
      </c>
      <c r="K744" s="175">
        <f>SUMIFS(Table1[Horas efetivas],Table1[Tabela],Plano_V3!E744,Table1[Campo],Plano_V3!F744)</f>
        <v>0.1</v>
      </c>
      <c r="L744" s="175">
        <f t="shared" si="374"/>
        <v>1.2500000000000001E-2</v>
      </c>
      <c r="M744" s="177"/>
      <c r="N744" s="177">
        <f t="shared" si="375"/>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5">
        <f>SUMIFS(Table1[Estimação (horas)],Table1[Tabela],Plano_V3!E745,Table1[Campo],Plano_V3!F745)</f>
        <v>0.1</v>
      </c>
      <c r="J745" s="175">
        <f t="shared" si="373"/>
        <v>1.2500000000000001E-2</v>
      </c>
      <c r="K745" s="175">
        <f>SUMIFS(Table1[Horas efetivas],Table1[Tabela],Plano_V3!E745,Table1[Campo],Plano_V3!F745)</f>
        <v>0.1</v>
      </c>
      <c r="L745" s="175">
        <f t="shared" si="374"/>
        <v>1.2500000000000001E-2</v>
      </c>
      <c r="M745" s="177"/>
      <c r="N745" s="177">
        <f t="shared" si="375"/>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5">
        <f>SUMIFS(Table1[Estimação (horas)],Table1[Tabela],Plano_V3!E746,Table1[Campo],Plano_V3!F746)</f>
        <v>0.1</v>
      </c>
      <c r="J746" s="175">
        <f t="shared" si="373"/>
        <v>1.2500000000000001E-2</v>
      </c>
      <c r="K746" s="175">
        <f>SUMIFS(Table1[Horas efetivas],Table1[Tabela],Plano_V3!E746,Table1[Campo],Plano_V3!F746)</f>
        <v>0.1</v>
      </c>
      <c r="L746" s="175">
        <f t="shared" si="374"/>
        <v>1.2500000000000001E-2</v>
      </c>
      <c r="M746" s="177"/>
      <c r="N746" s="177">
        <f t="shared" si="375"/>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5">
        <f>SUMIFS(Table1[Estimação (horas)],Table1[Tabela],Plano_V3!E747,Table1[Campo],Plano_V3!F747)</f>
        <v>0.1</v>
      </c>
      <c r="J747" s="175">
        <f t="shared" si="373"/>
        <v>1.2500000000000001E-2</v>
      </c>
      <c r="K747" s="175">
        <f>SUMIFS(Table1[Horas efetivas],Table1[Tabela],Plano_V3!E747,Table1[Campo],Plano_V3!F747)</f>
        <v>0.1</v>
      </c>
      <c r="L747" s="175">
        <f t="shared" si="374"/>
        <v>1.2500000000000001E-2</v>
      </c>
      <c r="M747" s="177"/>
      <c r="N747" s="177">
        <f t="shared" si="375"/>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5">
        <f>SUMIFS(Table1[Estimação (horas)],Table1[Tabela],Plano_V3!E748,Table1[Campo],Plano_V3!F748)</f>
        <v>0.1</v>
      </c>
      <c r="J748" s="175">
        <f t="shared" si="373"/>
        <v>1.2500000000000001E-2</v>
      </c>
      <c r="K748" s="175">
        <f>SUMIFS(Table1[Horas efetivas],Table1[Tabela],Plano_V3!E748,Table1[Campo],Plano_V3!F748)</f>
        <v>0.1</v>
      </c>
      <c r="L748" s="175">
        <f t="shared" si="374"/>
        <v>1.2500000000000001E-2</v>
      </c>
      <c r="M748" s="177"/>
      <c r="N748" s="177">
        <f t="shared" si="375"/>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5">
        <f>SUMIFS(Table1[Estimação (horas)],Table1[Tabela],Plano_V3!E749,Table1[Campo],Plano_V3!F749)</f>
        <v>0.1</v>
      </c>
      <c r="J749" s="175">
        <f t="shared" si="373"/>
        <v>1.2500000000000001E-2</v>
      </c>
      <c r="K749" s="175">
        <f>SUMIFS(Table1[Horas efetivas],Table1[Tabela],Plano_V3!E749,Table1[Campo],Plano_V3!F749)</f>
        <v>0.1</v>
      </c>
      <c r="L749" s="175">
        <f t="shared" si="374"/>
        <v>1.2500000000000001E-2</v>
      </c>
      <c r="M749" s="177"/>
      <c r="N749" s="177">
        <f t="shared" si="375"/>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5">
        <f>SUMIFS(Table1[Estimação (horas)],Table1[Tabela],Plano_V3!E750,Table1[Campo],Plano_V3!F750)</f>
        <v>0.1</v>
      </c>
      <c r="J750" s="175">
        <f t="shared" si="373"/>
        <v>1.2500000000000001E-2</v>
      </c>
      <c r="K750" s="175">
        <f>SUMIFS(Table1[Horas efetivas],Table1[Tabela],Plano_V3!E750,Table1[Campo],Plano_V3!F750)</f>
        <v>0.1</v>
      </c>
      <c r="L750" s="175">
        <f t="shared" si="374"/>
        <v>1.2500000000000001E-2</v>
      </c>
      <c r="M750" s="177"/>
      <c r="N750" s="177">
        <f t="shared" si="375"/>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5">
        <f>SUMIFS(Table1[Estimação (horas)],Table1[Tabela],Plano_V3!E751,Table1[Campo],Plano_V3!F751)</f>
        <v>0.1</v>
      </c>
      <c r="J751" s="175">
        <f t="shared" si="373"/>
        <v>1.2500000000000001E-2</v>
      </c>
      <c r="K751" s="175">
        <f>SUMIFS(Table1[Horas efetivas],Table1[Tabela],Plano_V3!E751,Table1[Campo],Plano_V3!F751)</f>
        <v>0.1</v>
      </c>
      <c r="L751" s="175">
        <f t="shared" si="374"/>
        <v>1.2500000000000001E-2</v>
      </c>
      <c r="M751" s="177"/>
      <c r="N751" s="177">
        <f t="shared" si="375"/>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5">
        <f>SUMIFS(Table1[Estimação (horas)],Table1[Tabela],Plano_V3!E752,Table1[Campo],Plano_V3!F752)</f>
        <v>0.1</v>
      </c>
      <c r="J752" s="175">
        <f t="shared" si="373"/>
        <v>1.2500000000000001E-2</v>
      </c>
      <c r="K752" s="175">
        <f>SUMIFS(Table1[Horas efetivas],Table1[Tabela],Plano_V3!E752,Table1[Campo],Plano_V3!F752)</f>
        <v>0.1</v>
      </c>
      <c r="L752" s="175">
        <f t="shared" si="374"/>
        <v>1.2500000000000001E-2</v>
      </c>
      <c r="M752" s="177"/>
      <c r="N752" s="177">
        <f t="shared" si="375"/>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5">
        <f>SUMIFS(Table1[Estimação (horas)],Table1[Tabela],Plano_V3!E753,Table1[Campo],Plano_V3!F753)</f>
        <v>0.1</v>
      </c>
      <c r="J753" s="175">
        <f t="shared" si="373"/>
        <v>1.2500000000000001E-2</v>
      </c>
      <c r="K753" s="175">
        <f>SUMIFS(Table1[Horas efetivas],Table1[Tabela],Plano_V3!E753,Table1[Campo],Plano_V3!F753)</f>
        <v>0.1</v>
      </c>
      <c r="L753" s="175">
        <f t="shared" si="374"/>
        <v>1.2500000000000001E-2</v>
      </c>
      <c r="M753" s="177"/>
      <c r="N753" s="177">
        <f t="shared" si="375"/>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5">
        <f>SUMIFS(Table1[Estimação (horas)],Table1[Tabela],Plano_V3!E754,Table1[Campo],Plano_V3!F754)</f>
        <v>0.1</v>
      </c>
      <c r="J754" s="175">
        <f t="shared" si="373"/>
        <v>1.2500000000000001E-2</v>
      </c>
      <c r="K754" s="175">
        <f>SUMIFS(Table1[Horas efetivas],Table1[Tabela],Plano_V3!E754,Table1[Campo],Plano_V3!F754)</f>
        <v>0.1</v>
      </c>
      <c r="L754" s="175">
        <f t="shared" si="374"/>
        <v>1.2500000000000001E-2</v>
      </c>
      <c r="M754" s="177"/>
      <c r="N754" s="177">
        <f t="shared" si="375"/>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5">
        <f>SUMIFS(Table1[Estimação (horas)],Table1[Tabela],Plano_V3!E755,Table1[Campo],Plano_V3!F755)</f>
        <v>0.1</v>
      </c>
      <c r="J755" s="175">
        <f t="shared" si="373"/>
        <v>1.2500000000000001E-2</v>
      </c>
      <c r="K755" s="175">
        <f>SUMIFS(Table1[Horas efetivas],Table1[Tabela],Plano_V3!E755,Table1[Campo],Plano_V3!F755)</f>
        <v>0.1</v>
      </c>
      <c r="L755" s="175">
        <f t="shared" si="374"/>
        <v>1.2500000000000001E-2</v>
      </c>
      <c r="M755" s="177"/>
      <c r="N755" s="177">
        <f t="shared" si="375"/>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5">
        <f>SUMIFS(Table1[Estimação (horas)],Table1[Tabela],Plano_V3!E756,Table1[Campo],Plano_V3!F756)</f>
        <v>0.1</v>
      </c>
      <c r="J756" s="175">
        <f t="shared" si="373"/>
        <v>1.2500000000000001E-2</v>
      </c>
      <c r="K756" s="175">
        <f>SUMIFS(Table1[Horas efetivas],Table1[Tabela],Plano_V3!E756,Table1[Campo],Plano_V3!F756)</f>
        <v>0.1</v>
      </c>
      <c r="L756" s="175">
        <f t="shared" si="374"/>
        <v>1.2500000000000001E-2</v>
      </c>
      <c r="M756" s="177"/>
      <c r="N756" s="177">
        <f t="shared" si="375"/>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5">
        <f>SUMIFS(Table1[Estimação (horas)],Table1[Tabela],Plano_V3!E757,Table1[Campo],Plano_V3!F757)</f>
        <v>0.1</v>
      </c>
      <c r="J757" s="175">
        <f t="shared" si="373"/>
        <v>1.2500000000000001E-2</v>
      </c>
      <c r="K757" s="175">
        <f>SUMIFS(Table1[Horas efetivas],Table1[Tabela],Plano_V3!E757,Table1[Campo],Plano_V3!F757)</f>
        <v>0.1</v>
      </c>
      <c r="L757" s="175">
        <f t="shared" si="374"/>
        <v>1.2500000000000001E-2</v>
      </c>
      <c r="M757" s="177"/>
      <c r="N757" s="177">
        <f t="shared" si="375"/>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5">
        <f>SUMIFS(Table1[Estimação (horas)],Table1[Tabela],Plano_V3!E758,Table1[Campo],Plano_V3!F758)</f>
        <v>0.1</v>
      </c>
      <c r="J758" s="175">
        <f t="shared" si="373"/>
        <v>1.2500000000000001E-2</v>
      </c>
      <c r="K758" s="175">
        <f>SUMIFS(Table1[Horas efetivas],Table1[Tabela],Plano_V3!E758,Table1[Campo],Plano_V3!F758)</f>
        <v>0.1</v>
      </c>
      <c r="L758" s="175">
        <f t="shared" si="374"/>
        <v>1.2500000000000001E-2</v>
      </c>
      <c r="M758" s="177"/>
      <c r="N758" s="177">
        <f t="shared" si="375"/>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5">
        <f>SUMIFS(Table1[Estimação (horas)],Table1[Tabela],Plano_V3!E759,Table1[Campo],Plano_V3!F759)</f>
        <v>0.1</v>
      </c>
      <c r="J759" s="175">
        <f t="shared" si="373"/>
        <v>1.2500000000000001E-2</v>
      </c>
      <c r="K759" s="175">
        <f>SUMIFS(Table1[Horas efetivas],Table1[Tabela],Plano_V3!E759,Table1[Campo],Plano_V3!F759)</f>
        <v>0.1</v>
      </c>
      <c r="L759" s="175">
        <f t="shared" si="374"/>
        <v>1.2500000000000001E-2</v>
      </c>
      <c r="M759" s="177"/>
      <c r="N759" s="177">
        <f t="shared" si="375"/>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5">
        <f>SUMIFS(Table1[Estimação (horas)],Table1[Tabela],Plano_V3!E760,Table1[Campo],Plano_V3!F760)</f>
        <v>0.1</v>
      </c>
      <c r="J760" s="175">
        <f t="shared" si="373"/>
        <v>1.2500000000000001E-2</v>
      </c>
      <c r="K760" s="175">
        <f>SUMIFS(Table1[Horas efetivas],Table1[Tabela],Plano_V3!E760,Table1[Campo],Plano_V3!F760)</f>
        <v>0.1</v>
      </c>
      <c r="L760" s="175">
        <f t="shared" si="374"/>
        <v>1.2500000000000001E-2</v>
      </c>
      <c r="M760" s="177"/>
      <c r="N760" s="177">
        <f t="shared" si="375"/>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2.1 Em Teste</v>
      </c>
      <c r="H761" s="64">
        <f>VLOOKUP(A761,'Aux - pivots1'!$A:$B,2,0)</f>
        <v>2</v>
      </c>
      <c r="I761" s="175">
        <f>SUMIFS(Table1[Estimação (horas)],Table1[Tabela],Plano_V3!E761,Table1[Campo],Plano_V3!F761)</f>
        <v>0.1</v>
      </c>
      <c r="J761" s="175">
        <f t="shared" si="373"/>
        <v>1.2500000000000001E-2</v>
      </c>
      <c r="K761" s="175">
        <f>SUMIFS(Table1[Horas efetivas],Table1[Tabela],Plano_V3!E761,Table1[Campo],Plano_V3!F761)</f>
        <v>0.05</v>
      </c>
      <c r="L761" s="175">
        <f t="shared" si="374"/>
        <v>6.2500000000000003E-3</v>
      </c>
      <c r="M761" s="177"/>
      <c r="N761" s="177">
        <f t="shared" si="375"/>
        <v>0.5</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5">
        <f>SUMIFS(Table1[Estimação (horas)],Table1[Tabela],Plano_V3!E762,Table1[Campo],Plano_V3!F762)</f>
        <v>0.1</v>
      </c>
      <c r="J762" s="175">
        <f t="shared" si="373"/>
        <v>1.2500000000000001E-2</v>
      </c>
      <c r="K762" s="175">
        <f>SUMIFS(Table1[Horas efetivas],Table1[Tabela],Plano_V3!E762,Table1[Campo],Plano_V3!F762)</f>
        <v>0.1</v>
      </c>
      <c r="L762" s="175">
        <f t="shared" si="374"/>
        <v>1.2500000000000001E-2</v>
      </c>
      <c r="M762" s="177"/>
      <c r="N762" s="177">
        <f t="shared" si="375"/>
        <v>1</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7" t="s">
        <v>2290</v>
      </c>
      <c r="G763" s="64" t="str">
        <f>INDEX(Auxiliar!$B$16:$B$24,MATCH(Plano_V3!H763,Auxiliar!$C$16:$C$24,0),1)</f>
        <v xml:space="preserve">6. Em implementação </v>
      </c>
      <c r="H763" s="64">
        <f>VLOOKUP(A763,'Aux - pivots1'!$A:$B,2,0)</f>
        <v>7</v>
      </c>
      <c r="I763" s="175">
        <f>SUMIFS(Table1[Estimação (horas)],Table1[Tabela],Plano_V3!E763,Table1[Campo],Plano_V3!F763)</f>
        <v>0.1</v>
      </c>
      <c r="J763" s="175">
        <f>I763/8</f>
        <v>1.2500000000000001E-2</v>
      </c>
      <c r="K763" s="175">
        <f>SUMIFS(Table1[Horas efetivas],Table1[Tabela],Plano_V3!E763,Table1[Campo],Plano_V3!F763)</f>
        <v>2.5000000000000001E-2</v>
      </c>
      <c r="L763" s="175">
        <f>K763/8</f>
        <v>3.1250000000000002E-3</v>
      </c>
      <c r="M763" s="177"/>
      <c r="N763" s="177">
        <f>L763/J763</f>
        <v>0.25</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5">
        <f>SUMIFS(Table1[Estimação (horas)],Table1[Tabela],Plano_V3!E764,Table1[Campo],Plano_V3!F764)</f>
        <v>4.0999999999999996</v>
      </c>
      <c r="J764" s="175">
        <f t="shared" si="373"/>
        <v>0.51249999999999996</v>
      </c>
      <c r="K764" s="175">
        <f>SUMIFS(Table1[Horas efetivas],Table1[Tabela],Plano_V3!E764,Table1[Campo],Plano_V3!F764)</f>
        <v>0</v>
      </c>
      <c r="L764" s="175">
        <f t="shared" si="374"/>
        <v>0</v>
      </c>
      <c r="M764" s="177"/>
      <c r="N764" s="177">
        <f t="shared" si="375"/>
        <v>0</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73"/>
        <v>0.51249999999999996</v>
      </c>
      <c r="K765" s="175">
        <f>SUMIFS(Table1[Horas efetivas],Table1[Tabela],Plano_V3!E765,Table1[Campo],Plano_V3!F765)</f>
        <v>0</v>
      </c>
      <c r="L765" s="175">
        <f t="shared" si="374"/>
        <v>0</v>
      </c>
      <c r="M765" s="177"/>
      <c r="N765" s="177">
        <f t="shared" si="375"/>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5">
        <f>SUMIFS(Table1[Estimação (horas)],Table1[Tabela],Plano_V3!E766,Table1[Campo],Plano_V3!F766)</f>
        <v>4.0999999999999996</v>
      </c>
      <c r="J766" s="175">
        <f>I766/8</f>
        <v>0.51249999999999996</v>
      </c>
      <c r="K766" s="175">
        <f>SUMIFS(Table1[Horas efetivas],Table1[Tabela],Plano_V3!E766,Table1[Campo],Plano_V3!F766)</f>
        <v>0</v>
      </c>
      <c r="L766" s="175">
        <f>K766/8</f>
        <v>0</v>
      </c>
      <c r="M766" s="177"/>
      <c r="N766" s="177">
        <f t="shared" si="375"/>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5"/>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5" t="e">
        <f>SUM(I563:I762)*$D$7</f>
        <v>#N/A</v>
      </c>
      <c r="J768" s="175" t="e">
        <f>I768/8</f>
        <v>#N/A</v>
      </c>
      <c r="K768" s="175" t="e">
        <f>SUM(K563:K762)*$D$7</f>
        <v>#N/A</v>
      </c>
      <c r="L768" s="175" t="e">
        <f>K768/8</f>
        <v>#N/A</v>
      </c>
      <c r="M768" s="177"/>
      <c r="N768" s="177" t="e">
        <f t="shared" si="375"/>
        <v>#N/A</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9"/>
      <c r="J770" s="179" t="e">
        <f>J24+J19+J14</f>
        <v>#N/A</v>
      </c>
      <c r="K770" s="179"/>
      <c r="L770" s="179" t="e">
        <f>L24+L19+L14</f>
        <v>#N/A</v>
      </c>
      <c r="M770" s="174" t="e">
        <f>((M24*J24)+(M19*J19)+(M14*J14))/J770</f>
        <v>#N/A</v>
      </c>
      <c r="N770" s="174" t="e">
        <f>((N24*L24)+(N19*L19)+(N14*L14))/L770</f>
        <v>#N/A</v>
      </c>
      <c r="O770" s="174" t="e">
        <f>N770-M770</f>
        <v>#N/A</v>
      </c>
      <c r="P770" s="176" t="s">
        <v>25</v>
      </c>
    </row>
    <row r="771" spans="2:51">
      <c r="O771"/>
    </row>
    <row r="772" spans="2:51"/>
    <row r="773" spans="2:51"/>
    <row r="774" spans="2:51"/>
    <row r="775" spans="2:51"/>
    <row r="776" spans="2:51"/>
    <row r="777" spans="2:51"/>
    <row r="778" spans="2:51"/>
    <row r="779" spans="2:51"/>
  </sheetData>
  <conditionalFormatting sqref="O14:O17 O19:O22 O770 O24:O768">
    <cfRule type="cellIs" dxfId="38" priority="77" operator="lessThan">
      <formula>0</formula>
    </cfRule>
    <cfRule type="cellIs" dxfId="37" priority="78" operator="greaterThanOrEqual">
      <formula>0</formula>
    </cfRule>
  </conditionalFormatting>
  <conditionalFormatting sqref="Q15:Q17 Q25:Q246">
    <cfRule type="cellIs" dxfId="36" priority="104" operator="notEqual">
      <formula>0</formula>
    </cfRule>
  </conditionalFormatting>
  <conditionalFormatting sqref="Q20:Q22">
    <cfRule type="cellIs" dxfId="35" priority="96" operator="notEqual">
      <formula>0</formula>
    </cfRule>
  </conditionalFormatting>
  <conditionalFormatting sqref="Q248:Q562">
    <cfRule type="cellIs" dxfId="34" priority="21" operator="notEqual">
      <formula>0</formula>
    </cfRule>
  </conditionalFormatting>
  <conditionalFormatting sqref="R5:R6 S6:ES6">
    <cfRule type="cellIs" dxfId="33" priority="105" operator="notEqual">
      <formula>0</formula>
    </cfRule>
  </conditionalFormatting>
  <conditionalFormatting sqref="R15:ES17 R20:ES22 R25:ES25">
    <cfRule type="cellIs" dxfId="32" priority="103" operator="greaterThan">
      <formula>0</formula>
    </cfRule>
  </conditionalFormatting>
  <conditionalFormatting sqref="R74:ES74">
    <cfRule type="cellIs" dxfId="31" priority="101" operator="greaterThan">
      <formula>0</formula>
    </cfRule>
  </conditionalFormatting>
  <conditionalFormatting sqref="R243:ES243">
    <cfRule type="cellIs" dxfId="30" priority="100" operator="greaterThan">
      <formula>0</formula>
    </cfRule>
  </conditionalFormatting>
  <conditionalFormatting sqref="R452:ES452">
    <cfRule type="cellIs" dxfId="29" priority="99" operator="greaterThan">
      <formula>0</formula>
    </cfRule>
  </conditionalFormatting>
  <conditionalFormatting sqref="R562:ES562">
    <cfRule type="cellIs" dxfId="28"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3"/>
      <c r="C8" t="s">
        <v>1865</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8">
      <c r="B9" s="215"/>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6" t="s">
        <v>8</v>
      </c>
      <c r="C11" s="217" t="s">
        <v>11</v>
      </c>
      <c r="D11" s="217"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5" outlineLevel="1">
      <c r="A16" s="29"/>
      <c r="B16" s="221" t="s">
        <v>310</v>
      </c>
      <c r="C16" s="222" t="s">
        <v>1871</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1" t="s">
        <v>310</v>
      </c>
      <c r="C17" s="222" t="s">
        <v>1872</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5" outlineLevel="1">
      <c r="A19" s="29"/>
      <c r="B19" s="223" t="s">
        <v>1873</v>
      </c>
      <c r="C19" s="222" t="s">
        <v>1871</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5" outlineLevel="1">
      <c r="A20" s="29"/>
      <c r="B20" s="223" t="s">
        <v>1873</v>
      </c>
      <c r="C20" s="222" t="s">
        <v>1872</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5" outlineLevel="1">
      <c r="A21" s="29"/>
      <c r="B21" s="223" t="s">
        <v>1873</v>
      </c>
      <c r="C21" s="222" t="s">
        <v>1874</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5">
      <c r="A22" s="29"/>
      <c r="B22" s="137" t="s">
        <v>1873</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5">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3" t="s">
        <v>26</v>
      </c>
      <c r="C25" s="222" t="s">
        <v>1871</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3" t="s">
        <v>26</v>
      </c>
      <c r="C26" s="222" t="s">
        <v>1872</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3" t="s">
        <v>26</v>
      </c>
      <c r="C27" s="222" t="s">
        <v>1874</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3" t="s">
        <v>26</v>
      </c>
      <c r="C28" s="224" t="s">
        <v>1876</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3" t="s">
        <v>26</v>
      </c>
      <c r="C30" s="222" t="s">
        <v>1871</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3" t="s">
        <v>26</v>
      </c>
      <c r="C31" s="224" t="s">
        <v>1877</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3" t="s">
        <v>26</v>
      </c>
      <c r="C33" s="222" t="s">
        <v>1878</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3" t="s">
        <v>26</v>
      </c>
      <c r="C34" s="222" t="s">
        <v>1871</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3" t="s">
        <v>26</v>
      </c>
      <c r="C35" s="224" t="s">
        <v>1879</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5" t="s">
        <v>1904</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8"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3" priority="2" operator="greaterThan">
      <formula>0</formula>
    </cfRule>
  </conditionalFormatting>
  <conditionalFormatting sqref="G7:BB7">
    <cfRule type="cellIs" dxfId="12"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D1F00757-46B7-46E0-A23E-80E3CC251BA1}"/>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0683c779-04fc-4b63-89c9-6c25ffa1c0a4"/>
    <ds:schemaRef ds:uri="http://schemas.microsoft.com/sharepoint/v3"/>
    <ds:schemaRef ds:uri="http://www.w3.org/XML/1998/namespace"/>
    <ds:schemaRef ds:uri="6ea7b29d-57ec-408d-9ea9-cf73b04f66d5"/>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2025-03-11T17:10:40Z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