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3"/>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35" r:id="rId13"/>
    <pivotCache cacheId="238" r:id="rId14"/>
    <pivotCache cacheId="241" r:id="rId15"/>
    <pivotCache cacheId="244" r:id="rId16"/>
    <pivotCache cacheId="247" r:id="rId17"/>
    <pivotCache cacheId="250" r:id="rId18"/>
    <pivotCache cacheId="253" r:id="rId19"/>
    <pivotCache cacheId="260"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<sst xmlns="http://schemas.openxmlformats.org/spreadsheetml/2006/main" count="35431" uniqueCount="2456">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</sst>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4" xfId="0" quotePrefix="1"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92">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12</c:v>
                </c:pt>
                <c:pt idx="1">
                  <c:v>192</c:v>
                </c:pt>
                <c:pt idx="2">
                  <c:v>3</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7.12.xlsx]Aux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14</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3</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accent5"/>
              </a:solidFill>
              <a:ln w="19050">
                <a:noFill/>
              </a:ln>
              <a:effectLst/>
            </c:spPr>
            <c:extLst>
              <c:ext xmlns:c16="http://schemas.microsoft.com/office/drawing/2014/chart" uri="{C3380CC4-5D6E-409C-BE32-E72D297353CC}">
                <c16:uniqueId val="{00000003-0544-4AE3-A745-E99D5235D4A5}"/>
              </c:ext>
            </c:extLst>
          </c:dPt>
          <c:dPt>
            <c:idx val="2"/>
            <c:bubble3D val="0"/>
            <c:spPr>
              <a:solidFill>
                <a:srgbClr val="FF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2.1 Em Teste</c:v>
                </c:pt>
                <c:pt idx="1">
                  <c:v>4. Validação EF</c:v>
                </c:pt>
                <c:pt idx="2">
                  <c:v>6. Em implementação </c:v>
                </c:pt>
              </c:strCache>
            </c:strRef>
          </c:cat>
          <c:val>
            <c:numRef>
              <c:f>'Aux - Pivots2'!$C$173:$C$176</c:f>
              <c:numCache>
                <c:formatCode>General</c:formatCode>
                <c:ptCount val="3"/>
                <c:pt idx="0">
                  <c:v>49</c:v>
                </c:pt>
                <c:pt idx="1">
                  <c:v>1</c:v>
                </c:pt>
                <c:pt idx="2">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114</c:v>
                </c:pt>
                <c:pt idx="2">
                  <c:v>1</c:v>
                </c:pt>
                <c:pt idx="3">
                  <c:v>1</c:v>
                </c:pt>
                <c:pt idx="4">
                  <c:v>14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7.448813425923"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7.44882719907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7.448829513887"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7.44883206018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7.44883495370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7.44883784722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7.448840046294"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7.448867245374"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6. Em implementação "/>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0"/>
    <s v="6. Em implementação "/>
    <m/>
    <s v="Package 4"/>
    <s v="Package 23 abril"/>
    <m/>
    <s v=""/>
    <s v=""/>
    <s v=""/>
    <m/>
    <m/>
    <s v="Novo Projeto - Em especificação"/>
    <s v="ESG"/>
    <s v="Novos Requisitos FY25 - Outros"/>
    <x v="1"/>
    <s v="JB"/>
  </r>
  <r>
    <x v="0"/>
    <x v="1"/>
    <x v="0"/>
    <s v="lt004_protection"/>
    <s v="TYP_EMSSNS_SCR"/>
    <x v="0"/>
    <s v="6. Em implementação "/>
    <m/>
    <s v="Package 4"/>
    <s v="Package 23 abril"/>
    <m/>
    <s v=""/>
    <s v=""/>
    <s v=""/>
    <m/>
    <m/>
    <s v="Novo Projeto - Em especificação"/>
    <s v="ESG"/>
    <s v="Novos Requisitos FY25 - Outros"/>
    <x v="1"/>
    <s v="JB"/>
  </r>
  <r>
    <x v="0"/>
    <x v="1"/>
    <x v="0"/>
    <s v="lt004_protection"/>
    <s v="EPC_EMSSNS_SCR"/>
    <x v="0"/>
    <s v="6. Em implementação "/>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1. Concluído"/>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2 Em especificação"/>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1. Concluído"/>
    <m/>
    <s v="Package 2"/>
    <s v="Package 4"/>
    <m/>
    <s v=""/>
    <s v=""/>
    <s v=""/>
    <m/>
    <m/>
    <s v="Novo Projeto - Em especificação"/>
    <m/>
    <m/>
    <x v="4"/>
    <s v="HF"/>
  </r>
  <r>
    <x v="0"/>
    <x v="2"/>
    <x v="0"/>
    <s v="modesg_out_empr_info_nfin"/>
    <s v="flg_rsc_fsc_crnc"/>
    <x v="2"/>
    <s v="1. Concluído"/>
    <m/>
    <s v="Package 2"/>
    <s v="Package 4"/>
    <m/>
    <s v=""/>
    <s v=""/>
    <s v=""/>
    <m/>
    <m/>
    <s v="Novo Projeto - Em especificação"/>
    <m/>
    <m/>
    <x v="4"/>
    <s v="HF"/>
  </r>
  <r>
    <x v="0"/>
    <x v="2"/>
    <x v="0"/>
    <s v="modesg_out_empr_info_nfin"/>
    <s v="origem_flg_rsc_fsc_agd"/>
    <x v="2"/>
    <s v="1. Concluído"/>
    <m/>
    <s v="Package 2"/>
    <s v="Package 4"/>
    <m/>
    <s v=""/>
    <s v=""/>
    <s v=""/>
    <m/>
    <m/>
    <s v="Novo Projeto - Em especificação"/>
    <m/>
    <m/>
    <x v="4"/>
    <s v="HF"/>
  </r>
  <r>
    <x v="0"/>
    <x v="2"/>
    <x v="0"/>
    <s v="modesg_out_empr_info_nfin"/>
    <s v="origem_flg_rsc_fsc_crnc"/>
    <x v="2"/>
    <s v="1. Concluído"/>
    <m/>
    <s v="Package 2"/>
    <s v="Package 4"/>
    <m/>
    <s v=""/>
    <s v=""/>
    <s v=""/>
    <m/>
    <m/>
    <s v="Novo Projeto - Em especificação"/>
    <m/>
    <m/>
    <x v="4"/>
    <s v="HF"/>
  </r>
  <r>
    <x v="0"/>
    <x v="0"/>
    <x v="0"/>
    <s v="PROPERTY_ENERGY_CERTIFICATE"/>
    <s v="EP_SCORE"/>
    <x v="0"/>
    <s v="6. Em implementação "/>
    <m/>
    <s v="Package 6"/>
    <s v="Package 6"/>
    <m/>
    <s v=""/>
    <s v=""/>
    <s v=""/>
    <m/>
    <m/>
    <m/>
    <m/>
    <m/>
    <x v="0"/>
    <m/>
  </r>
  <r>
    <x v="0"/>
    <x v="0"/>
    <x v="0"/>
    <s v="PROPERTY_ENERGY_CERTIFICATE"/>
    <s v="ENERGY_CONSUMPTION_VALUE_YEAR"/>
    <x v="0"/>
    <s v="6. Em implementação "/>
    <m/>
    <s v="Package 6"/>
    <s v="Package 6"/>
    <m/>
    <s v=""/>
    <s v=""/>
    <s v=""/>
    <m/>
    <m/>
    <m/>
    <m/>
    <m/>
    <x v="0"/>
    <m/>
  </r>
  <r>
    <x v="0"/>
    <x v="4"/>
    <x v="0"/>
    <s v="modesg_param_sfics_taxon_europeia"/>
    <s v="cod_regra"/>
    <x v="0"/>
    <s v="6. Em implementação "/>
    <m/>
    <m/>
    <s v="Package 6"/>
    <m/>
    <s v=""/>
    <s v=""/>
    <s v=""/>
    <m/>
    <m/>
    <m/>
    <m/>
    <m/>
    <x v="0"/>
    <s v="RC"/>
  </r>
  <r>
    <x v="0"/>
    <x v="4"/>
    <x v="0"/>
    <s v="modesg_param_sfics_taxon_europeia"/>
    <s v="nivel"/>
    <x v="5"/>
    <s v="0. Cancelado"/>
    <m/>
    <m/>
    <s v="Package 6"/>
    <m/>
    <s v=""/>
    <s v=""/>
    <s v=""/>
    <m/>
    <m/>
    <m/>
    <m/>
    <m/>
    <x v="0"/>
    <s v="RC"/>
  </r>
  <r>
    <x v="0"/>
    <x v="4"/>
    <x v="0"/>
    <s v="modesg_param_sfics_taxon_europeia"/>
    <s v="grupo_regra"/>
    <x v="0"/>
    <s v="6. Em implementação "/>
    <m/>
    <m/>
    <s v="Package 6"/>
    <m/>
    <s v=""/>
    <s v=""/>
    <s v=""/>
    <m/>
    <m/>
    <m/>
    <m/>
    <m/>
    <x v="5"/>
    <m/>
  </r>
  <r>
    <x v="0"/>
    <x v="4"/>
    <x v="0"/>
    <s v="modesg_param_sfics_taxon_europeia"/>
    <s v="dscrc"/>
    <x v="0"/>
    <s v="6. Em implementação "/>
    <m/>
    <m/>
    <s v="Package 6"/>
    <m/>
    <s v=""/>
    <s v=""/>
    <s v=""/>
    <m/>
    <m/>
    <m/>
    <m/>
    <m/>
    <x v="0"/>
    <s v="RC"/>
  </r>
  <r>
    <x v="0"/>
    <x v="4"/>
    <x v="0"/>
    <s v="modesg_param_sfics_taxon_europeia"/>
    <s v="comite"/>
    <x v="0"/>
    <s v="6. Em implementação "/>
    <m/>
    <m/>
    <s v="Package 6"/>
    <m/>
    <s v=""/>
    <s v=""/>
    <s v=""/>
    <m/>
    <m/>
    <m/>
    <m/>
    <m/>
    <x v="0"/>
    <s v="RC"/>
  </r>
  <r>
    <x v="0"/>
    <x v="4"/>
    <x v="0"/>
    <s v="modesg_param_sfics_taxon_europeia"/>
    <s v="data_aprvc"/>
    <x v="0"/>
    <s v="6. Em implementação "/>
    <m/>
    <m/>
    <s v="Package 6"/>
    <m/>
    <s v=""/>
    <s v=""/>
    <s v=""/>
    <m/>
    <m/>
    <m/>
    <m/>
    <m/>
    <x v="0"/>
    <s v="RC"/>
  </r>
  <r>
    <x v="0"/>
    <x v="4"/>
    <x v="0"/>
    <s v="modesg_param_sfics_taxon_europeia"/>
    <s v="data_inicial"/>
    <x v="0"/>
    <s v="6. Em implementação "/>
    <m/>
    <m/>
    <s v="Package 6"/>
    <m/>
    <s v=""/>
    <s v=""/>
    <s v=""/>
    <m/>
    <m/>
    <m/>
    <m/>
    <m/>
    <x v="0"/>
    <s v="RC"/>
  </r>
  <r>
    <x v="0"/>
    <x v="4"/>
    <x v="0"/>
    <s v="modesg_param_sfics_taxon_europeia"/>
    <s v="data_final"/>
    <x v="0"/>
    <s v="6. Em implementação "/>
    <m/>
    <m/>
    <s v="Package 6"/>
    <m/>
    <s v=""/>
    <s v=""/>
    <s v=""/>
    <m/>
    <m/>
    <m/>
    <m/>
    <m/>
    <x v="0"/>
    <s v="RC"/>
  </r>
  <r>
    <x v="0"/>
    <x v="4"/>
    <x v="0"/>
    <s v="modesg_param_sfics_taxon_europeia"/>
    <s v="zcliente"/>
    <x v="0"/>
    <s v="6. Em implementação "/>
    <m/>
    <m/>
    <s v="Package 6"/>
    <m/>
    <s v=""/>
    <s v=""/>
    <s v=""/>
    <m/>
    <m/>
    <m/>
    <m/>
    <m/>
    <x v="0"/>
    <s v="RC"/>
  </r>
  <r>
    <x v="0"/>
    <x v="4"/>
    <x v="0"/>
    <s v="modesg_param_sfics_taxon_europeia"/>
    <s v="cempcta"/>
    <x v="0"/>
    <s v="6. Em implementação "/>
    <m/>
    <m/>
    <s v="Package 6"/>
    <m/>
    <s v=""/>
    <s v=""/>
    <s v=""/>
    <m/>
    <m/>
    <m/>
    <m/>
    <m/>
    <x v="3"/>
    <s v="RC"/>
  </r>
  <r>
    <x v="0"/>
    <x v="4"/>
    <x v="0"/>
    <s v="modesg_param_sfics_taxon_europeia"/>
    <s v="ckbalcao"/>
    <x v="0"/>
    <s v="6. Em implementação "/>
    <m/>
    <m/>
    <s v="Package 6"/>
    <m/>
    <s v=""/>
    <s v=""/>
    <s v=""/>
    <m/>
    <m/>
    <m/>
    <m/>
    <m/>
    <x v="0"/>
    <s v="RC"/>
  </r>
  <r>
    <x v="0"/>
    <x v="4"/>
    <x v="0"/>
    <s v="modesg_param_sfics_taxon_europeia"/>
    <s v="cknumcta"/>
    <x v="0"/>
    <s v="6. Em implementação "/>
    <m/>
    <m/>
    <s v="Package 6"/>
    <m/>
    <s v=""/>
    <s v=""/>
    <s v=""/>
    <m/>
    <m/>
    <m/>
    <m/>
    <m/>
    <x v="0"/>
    <s v="RC"/>
  </r>
  <r>
    <x v="0"/>
    <x v="4"/>
    <x v="0"/>
    <s v="modesg_param_sfics_taxon_europeia"/>
    <s v="zdeposit"/>
    <x v="0"/>
    <s v="6. Em implementação "/>
    <m/>
    <m/>
    <s v="Package 6"/>
    <m/>
    <s v=""/>
    <s v=""/>
    <s v=""/>
    <m/>
    <m/>
    <m/>
    <m/>
    <m/>
    <x v="0"/>
    <s v="RC"/>
  </r>
  <r>
    <x v="0"/>
    <x v="4"/>
    <x v="0"/>
    <s v="modesg_param_sfics_taxon_europeia"/>
    <s v="ckmetamis"/>
    <x v="0"/>
    <s v="6. Em implementação "/>
    <m/>
    <m/>
    <s v="Package 6"/>
    <m/>
    <s v=""/>
    <s v=""/>
    <s v=""/>
    <m/>
    <m/>
    <m/>
    <m/>
    <m/>
    <x v="0"/>
    <s v="RC"/>
  </r>
  <r>
    <x v="0"/>
    <x v="4"/>
    <x v="0"/>
    <s v="modesg_param_sfics_taxon_europeia"/>
    <s v="ckprodmi"/>
    <x v="0"/>
    <s v="6. Em implementação "/>
    <m/>
    <m/>
    <s v="Package 6"/>
    <m/>
    <s v=""/>
    <s v=""/>
    <s v=""/>
    <m/>
    <m/>
    <m/>
    <m/>
    <m/>
    <x v="0"/>
    <s v="RC"/>
  </r>
  <r>
    <x v="0"/>
    <x v="4"/>
    <x v="0"/>
    <s v="modesg_param_sfics_taxon_europeia"/>
    <s v="cmetanseg"/>
    <x v="0"/>
    <s v="6. Em implementação "/>
    <m/>
    <m/>
    <s v="Package 6"/>
    <m/>
    <s v=""/>
    <s v=""/>
    <s v=""/>
    <m/>
    <m/>
    <m/>
    <m/>
    <m/>
    <x v="0"/>
    <s v="RC"/>
  </r>
  <r>
    <x v="0"/>
    <x v="4"/>
    <x v="0"/>
    <s v="modesg_param_sfics_taxon_europeia"/>
    <s v="epc"/>
    <x v="0"/>
    <s v="6. Em implementação "/>
    <m/>
    <m/>
    <s v="Package 6"/>
    <m/>
    <s v=""/>
    <s v=""/>
    <s v=""/>
    <m/>
    <m/>
    <m/>
    <m/>
    <m/>
    <x v="3"/>
    <s v="RC"/>
  </r>
  <r>
    <x v="0"/>
    <x v="4"/>
    <x v="0"/>
    <s v="modesg_param_sfics_taxon_europeia"/>
    <s v="ambito"/>
    <x v="5"/>
    <s v="0. Cancelado"/>
    <m/>
    <m/>
    <s v="Package 6"/>
    <m/>
    <s v=""/>
    <s v=""/>
    <s v=""/>
    <m/>
    <m/>
    <m/>
    <m/>
    <m/>
    <x v="0"/>
    <s v="RC"/>
  </r>
  <r>
    <x v="0"/>
    <x v="4"/>
    <x v="0"/>
    <s v="modesg_param_sfics_taxon_europeia"/>
    <s v="nome_ctgr_sfics"/>
    <x v="0"/>
    <s v="6. Em implementação "/>
    <m/>
    <m/>
    <s v="Package 6"/>
    <m/>
    <s v=""/>
    <s v=""/>
    <s v=""/>
    <m/>
    <m/>
    <m/>
    <m/>
    <m/>
    <x v="0"/>
    <s v="RC"/>
  </r>
  <r>
    <x v="0"/>
    <x v="4"/>
    <x v="0"/>
    <s v="modesg_param_sfics_taxon_europeia"/>
    <s v="montante_pndrc"/>
    <x v="0"/>
    <s v="6. Em implementação "/>
    <m/>
    <m/>
    <s v="Package 6"/>
    <m/>
    <s v=""/>
    <s v=""/>
    <s v=""/>
    <m/>
    <m/>
    <m/>
    <m/>
    <m/>
    <x v="3"/>
    <s v="RC"/>
  </r>
  <r>
    <x v="0"/>
    <x v="4"/>
    <x v="0"/>
    <s v="modesg_param_sfics_taxon_europeia"/>
    <s v="contraparte"/>
    <x v="0"/>
    <s v="6. Em implementação "/>
    <m/>
    <m/>
    <s v="Package 6"/>
    <m/>
    <s v=""/>
    <s v=""/>
    <s v=""/>
    <m/>
    <m/>
    <m/>
    <m/>
    <m/>
    <x v="3"/>
    <s v="RC"/>
  </r>
  <r>
    <x v="0"/>
    <x v="4"/>
    <x v="0"/>
    <s v="modesg_param_sfics_taxon_europeia"/>
    <s v="flag_project_finance"/>
    <x v="0"/>
    <s v="6. Em implementação "/>
    <m/>
    <m/>
    <s v="Package 6"/>
    <m/>
    <s v=""/>
    <s v=""/>
    <s v=""/>
    <m/>
    <m/>
    <m/>
    <m/>
    <m/>
    <x v="3"/>
    <s v="RC"/>
  </r>
  <r>
    <x v="0"/>
    <x v="4"/>
    <x v="0"/>
    <s v="modesg_param_sfics_taxon_europeia"/>
    <s v="cgarante_bem"/>
    <x v="0"/>
    <s v="6. Em implementação "/>
    <m/>
    <m/>
    <s v="Package 6"/>
    <m/>
    <s v=""/>
    <s v=""/>
    <s v=""/>
    <m/>
    <m/>
    <m/>
    <m/>
    <m/>
    <x v="3"/>
    <s v="RC"/>
  </r>
  <r>
    <x v="0"/>
    <x v="4"/>
    <x v="0"/>
    <s v="modesg_param_sfics_taxon_europeia"/>
    <s v="prdt_sprdt"/>
    <x v="0"/>
    <s v="6. Em implementação "/>
    <m/>
    <m/>
    <s v="Package 6"/>
    <m/>
    <s v=""/>
    <s v=""/>
    <s v=""/>
    <m/>
    <m/>
    <m/>
    <m/>
    <m/>
    <x v="3"/>
    <s v="RC"/>
  </r>
  <r>
    <x v="0"/>
    <x v="4"/>
    <x v="0"/>
    <s v="modesg_param_sfics_taxon_europeia"/>
    <s v="flg_csrd"/>
    <x v="0"/>
    <s v="6. Em implementação "/>
    <m/>
    <m/>
    <s v="Package 6"/>
    <m/>
    <s v=""/>
    <s v=""/>
    <s v=""/>
    <m/>
    <m/>
    <m/>
    <m/>
    <m/>
    <x v="3"/>
    <s v="RC"/>
  </r>
  <r>
    <x v="0"/>
    <x v="4"/>
    <x v="0"/>
    <s v="modesg_param_sfics_taxon_europeia"/>
    <s v="combustivel"/>
    <x v="0"/>
    <s v="6. Em implementação "/>
    <m/>
    <m/>
    <s v="Package 6"/>
    <m/>
    <s v=""/>
    <s v=""/>
    <s v=""/>
    <m/>
    <m/>
    <m/>
    <m/>
    <m/>
    <x v="3"/>
    <s v="RC"/>
  </r>
  <r>
    <x v="0"/>
    <x v="4"/>
    <x v="0"/>
    <s v="modesg_param_sfics_taxon_europeia"/>
    <s v="co2"/>
    <x v="0"/>
    <s v="6. Em implementação "/>
    <m/>
    <m/>
    <s v="Package 6"/>
    <m/>
    <s v=""/>
    <s v=""/>
    <s v=""/>
    <m/>
    <m/>
    <m/>
    <m/>
    <m/>
    <x v="3"/>
    <s v="RC"/>
  </r>
  <r>
    <x v="0"/>
    <x v="4"/>
    <x v="0"/>
    <s v="modesg_param_sfics_taxon_europeia"/>
    <s v="cfamilia"/>
    <x v="0"/>
    <s v="6. Em implementação "/>
    <m/>
    <m/>
    <s v="Package 6"/>
    <m/>
    <s v=""/>
    <s v=""/>
    <s v=""/>
    <m/>
    <m/>
    <m/>
    <m/>
    <m/>
    <x v="3"/>
    <s v="RC"/>
  </r>
  <r>
    <x v="0"/>
    <x v="4"/>
    <x v="0"/>
    <s v="modesg_param_sfics_taxon_europeia"/>
    <s v="flg_rsc_fsc_crnc"/>
    <x v="0"/>
    <s v="6. Em implementação "/>
    <m/>
    <m/>
    <s v="Package 6"/>
    <m/>
    <s v=""/>
    <s v=""/>
    <s v=""/>
    <m/>
    <m/>
    <m/>
    <m/>
    <m/>
    <x v="0"/>
    <s v="RC"/>
  </r>
  <r>
    <x v="0"/>
    <x v="4"/>
    <x v="0"/>
    <s v="modesg_param_sfics_taxon_europeia"/>
    <s v="flg_rsc_fsc_agd"/>
    <x v="0"/>
    <s v="6. Em implementação "/>
    <m/>
    <m/>
    <s v="Package 6"/>
    <m/>
    <s v=""/>
    <s v=""/>
    <s v=""/>
    <m/>
    <m/>
    <m/>
    <m/>
    <m/>
    <x v="0"/>
    <s v="RC"/>
  </r>
  <r>
    <x v="0"/>
    <x v="4"/>
    <x v="0"/>
    <s v="modesg_param_sfics_taxon_europeia"/>
    <s v="property_purpose_code"/>
    <x v="0"/>
    <s v="6. Em implementação "/>
    <m/>
    <m/>
    <s v="Package 6"/>
    <m/>
    <s v=""/>
    <s v=""/>
    <s v=""/>
    <m/>
    <m/>
    <m/>
    <m/>
    <m/>
    <x v="3"/>
    <s v="RC"/>
  </r>
  <r>
    <x v="0"/>
    <x v="4"/>
    <x v="0"/>
    <s v="modesg_param_sfics_taxon_europeia"/>
    <s v="dabertur"/>
    <x v="0"/>
    <s v="6. Em implementação "/>
    <m/>
    <m/>
    <s v="Package 6"/>
    <m/>
    <s v=""/>
    <s v=""/>
    <s v=""/>
    <m/>
    <m/>
    <m/>
    <m/>
    <m/>
    <x v="2"/>
    <s v="RC"/>
  </r>
  <r>
    <x v="0"/>
    <x v="4"/>
    <x v="0"/>
    <s v="modesg_param_sfics_taxon_europeia"/>
    <s v="tipo_eqp"/>
    <x v="0"/>
    <s v="6. Em implementação "/>
    <m/>
    <m/>
    <s v="Package 6"/>
    <m/>
    <s v=""/>
    <s v=""/>
    <s v=""/>
    <m/>
    <m/>
    <m/>
    <m/>
    <m/>
    <x v="2"/>
    <s v="RC"/>
  </r>
  <r>
    <x v="0"/>
    <x v="4"/>
    <x v="0"/>
    <s v="modesg_param_sfics_taxon_europeia"/>
    <s v="construction_year"/>
    <x v="0"/>
    <s v="6. Em implementação "/>
    <m/>
    <m/>
    <s v="Package 6"/>
    <m/>
    <s v=""/>
    <s v=""/>
    <s v=""/>
    <m/>
    <m/>
    <m/>
    <m/>
    <m/>
    <x v="0"/>
    <s v="RC"/>
  </r>
  <r>
    <x v="0"/>
    <x v="4"/>
    <x v="0"/>
    <s v="modesg_param_sfics_taxon_europeia"/>
    <s v="ref_date"/>
    <x v="0"/>
    <s v="6. Em implementação "/>
    <m/>
    <m/>
    <s v="Package 6"/>
    <m/>
    <s v=""/>
    <s v=""/>
    <s v=""/>
    <m/>
    <m/>
    <m/>
    <m/>
    <m/>
    <x v="3"/>
    <s v="RC"/>
  </r>
  <r>
    <x v="0"/>
    <x v="4"/>
    <x v="0"/>
    <s v="modesg_param_sfics_taxon_europeia"/>
    <s v="cfinalidad"/>
    <x v="0"/>
    <s v="6. Em implementação "/>
    <m/>
    <m/>
    <s v="Package 6"/>
    <m/>
    <m/>
    <m/>
    <m/>
    <m/>
    <m/>
    <m/>
    <m/>
    <m/>
    <x v="0"/>
    <m/>
  </r>
  <r>
    <x v="0"/>
    <x v="4"/>
    <x v="0"/>
    <s v="modesg_param_sfics_taxon_europeia"/>
    <s v="sst_indctr_aux"/>
    <x v="0"/>
    <s v="6. Em implementação "/>
    <m/>
    <m/>
    <s v="Package 6"/>
    <m/>
    <s v=""/>
    <s v=""/>
    <s v=""/>
    <m/>
    <m/>
    <m/>
    <m/>
    <m/>
    <x v="5"/>
    <m/>
  </r>
  <r>
    <x v="0"/>
    <x v="4"/>
    <x v="0"/>
    <s v="modesg_param_sfics_taxon_europeia"/>
    <s v="quality_score"/>
    <x v="0"/>
    <s v="6. Em implementação "/>
    <m/>
    <m/>
    <s v="Package 6"/>
    <m/>
    <s v=""/>
    <s v=""/>
    <s v=""/>
    <m/>
    <m/>
    <m/>
    <m/>
    <m/>
    <x v="3"/>
    <s v="RC"/>
  </r>
  <r>
    <x v="0"/>
    <x v="4"/>
    <x v="0"/>
    <s v="modesg_param_sfics_taxon_europeia"/>
    <s v="primary_energy_req_value"/>
    <x v="0"/>
    <s v="6. Em implementação "/>
    <m/>
    <m/>
    <s v="Package 6"/>
    <m/>
    <s v=""/>
    <s v=""/>
    <s v=""/>
    <m/>
    <m/>
    <m/>
    <m/>
    <m/>
    <x v="0"/>
    <s v="RC"/>
  </r>
  <r>
    <x v="0"/>
    <x v="4"/>
    <x v="0"/>
    <s v="modesg_param_sfics_taxon_europeia"/>
    <s v="net_floor_area"/>
    <x v="0"/>
    <s v="6. Em implementação "/>
    <m/>
    <m/>
    <s v="Package 6"/>
    <m/>
    <s v=""/>
    <s v=""/>
    <s v=""/>
    <m/>
    <m/>
    <m/>
    <m/>
    <m/>
    <x v="0"/>
    <s v="RC"/>
  </r>
  <r>
    <x v="0"/>
    <x v="4"/>
    <x v="0"/>
    <s v="modesg_param_sfics_taxon_europeia"/>
    <s v="nome_purpose_esg_nalinh_tax"/>
    <x v="0"/>
    <s v="6. Em implementação "/>
    <m/>
    <m/>
    <s v="Package 6"/>
    <m/>
    <s v=""/>
    <s v=""/>
    <s v=""/>
    <m/>
    <m/>
    <m/>
    <m/>
    <m/>
    <x v="2"/>
    <s v="RC"/>
  </r>
  <r>
    <x v="0"/>
    <x v="4"/>
    <x v="0"/>
    <s v="modesg_param_sfics_taxon_europeia"/>
    <s v="nome_purpose_esg_alinh_tax"/>
    <x v="0"/>
    <s v="6. Em implementação "/>
    <m/>
    <m/>
    <s v="Package 6"/>
    <m/>
    <s v=""/>
    <s v=""/>
    <s v=""/>
    <m/>
    <m/>
    <m/>
    <m/>
    <m/>
    <x v="3"/>
    <s v="RC"/>
  </r>
  <r>
    <x v="0"/>
    <x v="4"/>
    <x v="0"/>
    <s v="modesg_param_sfics_taxon_europeia"/>
    <s v="nome_general_specific_purpose"/>
    <x v="0"/>
    <s v="6. Em implementação "/>
    <m/>
    <m/>
    <s v="Package 6"/>
    <m/>
    <s v=""/>
    <s v=""/>
    <s v=""/>
    <m/>
    <m/>
    <m/>
    <m/>
    <m/>
    <x v="0"/>
    <s v="RC"/>
  </r>
  <r>
    <x v="0"/>
    <x v="4"/>
    <x v="0"/>
    <s v="modesg_param_sfics_taxon_europeia"/>
    <s v="nome_specific_eligible"/>
    <x v="0"/>
    <s v="6. Em implementação "/>
    <m/>
    <m/>
    <s v="Package 6"/>
    <m/>
    <s v=""/>
    <s v=""/>
    <s v=""/>
    <m/>
    <m/>
    <m/>
    <m/>
    <m/>
    <x v="0"/>
    <s v="RC"/>
  </r>
  <r>
    <x v="0"/>
    <x v="4"/>
    <x v="0"/>
    <s v="modesg_param_sfics_taxon_europeia"/>
    <s v="nome_specific_sustainable"/>
    <x v="0"/>
    <s v="6. Em implementação "/>
    <m/>
    <m/>
    <s v="Package 6"/>
    <m/>
    <s v=""/>
    <s v=""/>
    <s v=""/>
    <m/>
    <m/>
    <m/>
    <m/>
    <m/>
    <x v="0"/>
    <s v="RC"/>
  </r>
  <r>
    <x v="0"/>
    <x v="1"/>
    <x v="0"/>
    <s v="lt006_instr_prot"/>
    <s v="prtctn_allctd_vl"/>
    <x v="4"/>
    <s v="2.1 Em Teste"/>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0"/>
    <s v="6. Em implementação "/>
    <m/>
    <s v="Package 6"/>
    <s v="Package 9"/>
    <m/>
    <s v=""/>
    <s v=""/>
    <s v=""/>
    <m/>
    <m/>
    <m/>
    <m/>
    <m/>
    <x v="0"/>
    <m/>
  </r>
  <r>
    <x v="0"/>
    <x v="1"/>
    <x v="0"/>
    <s v="lt004_protection"/>
    <s v="ep_scr"/>
    <x v="0"/>
    <s v="6. Em implementação "/>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2.2 Em especificaçã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6"/>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2.1 Em Teste"/>
    <m/>
    <s v="Package 4"/>
    <s v="Package 6"/>
    <m/>
    <s v=""/>
    <s v=""/>
    <s v=""/>
    <m/>
    <m/>
    <s v="Novo Projeto - Em especificação"/>
    <s v="GD, P3 e GF"/>
    <s v="Novos Requisitos FY25 - Outros"/>
    <x v="1"/>
    <s v="RC"/>
  </r>
  <r>
    <x v="0"/>
    <x v="1"/>
    <x v="0"/>
    <s v="lt007_instr_activity"/>
    <s v="DT_RFRNC"/>
    <x v="4"/>
    <s v="2.1 Em Teste"/>
    <m/>
    <s v="Package 3"/>
    <s v="Package 6"/>
    <m/>
    <s v=""/>
    <s v=""/>
    <s v=""/>
    <m/>
    <m/>
    <s v="Novo Projeto - Em especificação"/>
    <s v="GD, P3 e GF"/>
    <s v="Novos Requisitos FY25 - Outros"/>
    <x v="1"/>
    <s v="RC"/>
  </r>
  <r>
    <x v="0"/>
    <x v="1"/>
    <x v="0"/>
    <s v="lt007_instr_activity"/>
    <s v="INSTRMNT_ID"/>
    <x v="4"/>
    <s v="2.1 Em Teste"/>
    <m/>
    <s v="Package 4"/>
    <s v="Package 6"/>
    <m/>
    <s v=""/>
    <s v=""/>
    <s v=""/>
    <m/>
    <m/>
    <s v="Novo Projeto - Em especificação"/>
    <s v="GD, P3 e GF"/>
    <s v="Novos Requisitos FY25 - Outros"/>
    <x v="1"/>
    <s v="RC"/>
  </r>
  <r>
    <x v="0"/>
    <x v="1"/>
    <x v="0"/>
    <s v="lt007_instr_activity"/>
    <s v="FLG_DNSH_CMPLNC"/>
    <x v="4"/>
    <s v="2.1 Em Teste"/>
    <m/>
    <s v="Package 2"/>
    <s v="Package 6"/>
    <m/>
    <s v=""/>
    <s v=""/>
    <s v=""/>
    <m/>
    <m/>
    <s v="Novo Projeto - Em especificação"/>
    <s v="P3"/>
    <s v="Novos Requisitos FY25 - Outros"/>
    <x v="1"/>
    <s v="JB/RC"/>
  </r>
  <r>
    <x v="0"/>
    <x v="1"/>
    <x v="0"/>
    <s v="lt007_instr_activity"/>
    <s v="DNSH_DTL"/>
    <x v="4"/>
    <s v="2.1 Em Teste"/>
    <m/>
    <s v="Package 2"/>
    <s v="Package 6"/>
    <m/>
    <s v=""/>
    <s v=""/>
    <s v=""/>
    <m/>
    <m/>
    <s v="Novo Projeto - Em especificação"/>
    <s v="P3"/>
    <s v="Novos Requisitos FY25 - Outros"/>
    <x v="1"/>
    <s v="JB/RC"/>
  </r>
  <r>
    <x v="0"/>
    <x v="1"/>
    <x v="0"/>
    <s v="lt002_instrument"/>
    <s v="FLG_MNMM_SFGRDS"/>
    <x v="4"/>
    <s v="2.1 Em Teste"/>
    <m/>
    <s v="Package 2"/>
    <s v="Package 6"/>
    <m/>
    <s v=""/>
    <s v=""/>
    <s v=""/>
    <m/>
    <m/>
    <s v="Novo Projeto - Em especificação"/>
    <s v="P3 e ESG"/>
    <s v="Novos Requisitos FY25 - Outros"/>
    <x v="1"/>
    <s v="JB"/>
  </r>
  <r>
    <x v="0"/>
    <x v="1"/>
    <x v="0"/>
    <s v="lt003_entity"/>
    <s v="txnmy_elgbl_capex_w"/>
    <x v="4"/>
    <s v="2.1 Em Teste"/>
    <m/>
    <s v="Package 1"/>
    <s v="Package 5"/>
    <m/>
    <s v=""/>
    <s v=""/>
    <s v=""/>
    <m/>
    <m/>
    <s v="Novo Projeto - Em especificação"/>
    <s v="P3"/>
    <s v="Novos Requisitos FY25 - Outros"/>
    <x v="1"/>
    <s v="JB"/>
  </r>
  <r>
    <x v="0"/>
    <x v="1"/>
    <x v="0"/>
    <s v="lt003_entity"/>
    <s v="txnmy_elgbl_trnvr_w"/>
    <x v="4"/>
    <s v="2.1 Em Teste"/>
    <m/>
    <s v="Package 1"/>
    <s v="Package 5"/>
    <m/>
    <s v=""/>
    <s v=""/>
    <s v=""/>
    <m/>
    <m/>
    <s v="Novo Projeto - Em especificação"/>
    <s v="P3"/>
    <s v="Novos Requisitos FY25 - Outros"/>
    <x v="1"/>
    <s v="JB"/>
  </r>
  <r>
    <x v="0"/>
    <x v="1"/>
    <x v="0"/>
    <s v="lt003_entity"/>
    <s v="txnmy_elgbl_capex_p"/>
    <x v="4"/>
    <s v="2.1 Em Teste"/>
    <m/>
    <s v="Package 1"/>
    <s v="Package 5"/>
    <m/>
    <s v=""/>
    <s v=""/>
    <s v=""/>
    <m/>
    <m/>
    <s v="Novo Projeto - Em especificação"/>
    <s v="P3"/>
    <s v="Novos Requisitos FY25 - Outros"/>
    <x v="1"/>
    <s v="JB"/>
  </r>
  <r>
    <x v="0"/>
    <x v="1"/>
    <x v="0"/>
    <s v="lt003_entity"/>
    <s v="txnmy_elgbl_trnvr_p"/>
    <x v="4"/>
    <s v="2.1 Em Teste"/>
    <m/>
    <s v="Package 1"/>
    <s v="Package 5"/>
    <m/>
    <s v=""/>
    <s v=""/>
    <s v=""/>
    <m/>
    <m/>
    <s v="Novo Projeto - Em especificação"/>
    <s v="P3"/>
    <s v="Novos Requisitos FY25 - Outros"/>
    <x v="1"/>
    <s v="JB"/>
  </r>
  <r>
    <x v="0"/>
    <x v="1"/>
    <x v="0"/>
    <s v="lt003_entity"/>
    <s v="txnmy_elgbl_capex_b"/>
    <x v="4"/>
    <s v="2.1 Em Teste"/>
    <m/>
    <s v="Package 1"/>
    <s v="Package 5"/>
    <m/>
    <s v=""/>
    <s v=""/>
    <s v=""/>
    <m/>
    <m/>
    <s v="Novo Projeto - Em especificação"/>
    <s v="P3"/>
    <s v="Novos Requisitos FY25 - Outros"/>
    <x v="1"/>
    <s v="JB"/>
  </r>
  <r>
    <x v="0"/>
    <x v="1"/>
    <x v="0"/>
    <s v="lt003_entity"/>
    <s v="txnmy_elgbl_trnvr_b"/>
    <x v="4"/>
    <s v="2.1 Em Teste"/>
    <m/>
    <s v="Package 1"/>
    <s v="Package 5"/>
    <m/>
    <s v=""/>
    <s v=""/>
    <s v=""/>
    <m/>
    <m/>
    <s v="Novo Projeto - Em especificação"/>
    <s v="P3"/>
    <s v="Novos Requisitos FY25 - Outros"/>
    <x v="1"/>
    <s v="JB"/>
  </r>
  <r>
    <x v="0"/>
    <x v="1"/>
    <x v="0"/>
    <s v="lt003_entity"/>
    <s v="txnmy_elgbl_capex_ce"/>
    <x v="4"/>
    <s v="2.1 Em Teste"/>
    <m/>
    <s v="Package 1"/>
    <s v="Package 5"/>
    <m/>
    <s v=""/>
    <s v=""/>
    <s v=""/>
    <m/>
    <m/>
    <s v="Novo Projeto - Em especificação"/>
    <s v="P3"/>
    <s v="Novos Requisitos FY25 - Outros"/>
    <x v="1"/>
    <s v="JB"/>
  </r>
  <r>
    <x v="0"/>
    <x v="1"/>
    <x v="0"/>
    <s v="lt003_entity"/>
    <s v="txnmy_elgbl_trnvr_ce"/>
    <x v="4"/>
    <s v="2.1 Em Teste"/>
    <m/>
    <s v="Package 1"/>
    <s v="Package 5"/>
    <m/>
    <s v=""/>
    <s v=""/>
    <s v=""/>
    <m/>
    <m/>
    <s v="Novo Projeto - Em especificação"/>
    <s v="P3"/>
    <s v="Novos Requisitos FY25 - Outros"/>
    <x v="1"/>
    <s v="JB"/>
  </r>
  <r>
    <x v="0"/>
    <x v="1"/>
    <x v="0"/>
    <s v="lt003_entity"/>
    <s v="pure_capex_p"/>
    <x v="4"/>
    <s v="2.1 Em Teste"/>
    <m/>
    <s v="Package 1"/>
    <s v="Package 5"/>
    <m/>
    <s v=""/>
    <s v=""/>
    <s v=""/>
    <m/>
    <m/>
    <s v="Novo Projeto - Em especificação"/>
    <s v="P3"/>
    <s v="Novos Requisitos FY25 - Outros"/>
    <x v="1"/>
    <s v="JB"/>
  </r>
  <r>
    <x v="0"/>
    <x v="1"/>
    <x v="0"/>
    <s v="lt003_entity"/>
    <s v="pure_trnvr_p"/>
    <x v="4"/>
    <s v="2.1 Em Teste"/>
    <m/>
    <s v="Package 1"/>
    <s v="Package 5"/>
    <m/>
    <s v=""/>
    <s v=""/>
    <s v=""/>
    <m/>
    <m/>
    <s v="Novo Projeto - Em especificação"/>
    <s v="P3"/>
    <s v="Novos Requisitos FY25 - Outros"/>
    <x v="1"/>
    <s v="JB"/>
  </r>
  <r>
    <x v="0"/>
    <x v="1"/>
    <x v="0"/>
    <s v="lt003_entity"/>
    <s v="pure_capex_b"/>
    <x v="4"/>
    <s v="2.1 Em Teste"/>
    <m/>
    <s v="Package 1"/>
    <s v="Package 5"/>
    <m/>
    <s v=""/>
    <s v=""/>
    <s v=""/>
    <m/>
    <m/>
    <s v="Novo Projeto - Em especificação"/>
    <s v="P3"/>
    <s v="Novos Requisitos FY25 - Outros"/>
    <x v="1"/>
    <s v="JB"/>
  </r>
  <r>
    <x v="0"/>
    <x v="1"/>
    <x v="0"/>
    <s v="lt003_entity"/>
    <s v="pure_trnvr_b"/>
    <x v="4"/>
    <s v="2.1 Em Teste"/>
    <m/>
    <s v="Package 1"/>
    <s v="Package 5"/>
    <m/>
    <s v=""/>
    <s v=""/>
    <s v=""/>
    <m/>
    <m/>
    <s v="Novo Projeto - Em especificação"/>
    <s v="P3"/>
    <s v="Novos Requisitos FY25 - Outros"/>
    <x v="1"/>
    <s v="JB"/>
  </r>
  <r>
    <x v="0"/>
    <x v="1"/>
    <x v="0"/>
    <s v="lt003_entity"/>
    <s v="pure_capex_w"/>
    <x v="4"/>
    <s v="2.1 Em Teste"/>
    <m/>
    <s v="Package 1"/>
    <s v="Package 5"/>
    <m/>
    <s v=""/>
    <s v=""/>
    <s v=""/>
    <m/>
    <m/>
    <s v="Novo Projeto - Em especificação"/>
    <s v="P3"/>
    <s v="Novos Requisitos FY25 - Outros"/>
    <x v="1"/>
    <s v="JB"/>
  </r>
  <r>
    <x v="0"/>
    <x v="1"/>
    <x v="0"/>
    <s v="lt003_entity"/>
    <s v="pure_trnvr_w"/>
    <x v="4"/>
    <s v="2.1 Em Teste"/>
    <m/>
    <s v="Package 1"/>
    <s v="Package 5"/>
    <m/>
    <s v=""/>
    <s v=""/>
    <s v=""/>
    <m/>
    <m/>
    <s v="Novo Projeto - Em especificação"/>
    <s v="P3"/>
    <s v="Novos Requisitos FY25 - Outros"/>
    <x v="1"/>
    <s v="JB"/>
  </r>
  <r>
    <x v="0"/>
    <x v="1"/>
    <x v="0"/>
    <s v="lt003_entity"/>
    <s v="pure_capex_ce"/>
    <x v="4"/>
    <s v="2.1 Em Teste"/>
    <m/>
    <s v="Package 1"/>
    <s v="Package 5"/>
    <m/>
    <s v=""/>
    <s v=""/>
    <s v=""/>
    <m/>
    <m/>
    <s v="Novo Projeto - Em especificação"/>
    <s v="P3"/>
    <s v="Novos Requisitos FY25 - Outros"/>
    <x v="1"/>
    <s v="JB"/>
  </r>
  <r>
    <x v="0"/>
    <x v="1"/>
    <x v="0"/>
    <s v="lt003_entity"/>
    <s v="pure_trnvr_ce"/>
    <x v="4"/>
    <s v="2.1 Em Teste"/>
    <m/>
    <s v="Package 1"/>
    <s v="Package 5"/>
    <m/>
    <s v=""/>
    <s v=""/>
    <s v=""/>
    <m/>
    <m/>
    <s v="Novo Projeto - Em especificação"/>
    <s v="P3"/>
    <s v="Novos Requisitos FY25 - Outros"/>
    <x v="1"/>
    <s v="JB"/>
  </r>
  <r>
    <x v="0"/>
    <x v="1"/>
    <x v="0"/>
    <s v="lt003_entity"/>
    <s v="enblng_capex_w"/>
    <x v="4"/>
    <s v="2.1 Em Teste"/>
    <m/>
    <s v="Package 1"/>
    <s v="Package 5"/>
    <m/>
    <s v=""/>
    <s v=""/>
    <s v=""/>
    <m/>
    <m/>
    <s v="Novo Projeto - Em especificação"/>
    <s v="P3"/>
    <s v="Novos Requisitos FY25 - Outros"/>
    <x v="1"/>
    <s v="JB"/>
  </r>
  <r>
    <x v="0"/>
    <x v="1"/>
    <x v="0"/>
    <s v="lt003_entity"/>
    <s v="enblng_trnvr_w"/>
    <x v="4"/>
    <s v="2.1 Em Teste"/>
    <m/>
    <s v="Package 1"/>
    <s v="Package 5"/>
    <m/>
    <s v=""/>
    <s v=""/>
    <s v=""/>
    <m/>
    <m/>
    <s v="Novo Projeto - Em especificação"/>
    <s v="P3"/>
    <s v="Novos Requisitos FY25 - Outros"/>
    <x v="1"/>
    <s v="JB"/>
  </r>
  <r>
    <x v="0"/>
    <x v="1"/>
    <x v="0"/>
    <s v="lt003_entity"/>
    <s v="enblng_capex_ce"/>
    <x v="4"/>
    <s v="2.1 Em Teste"/>
    <m/>
    <s v="Package 1"/>
    <s v="Package 5"/>
    <m/>
    <s v=""/>
    <s v=""/>
    <s v=""/>
    <m/>
    <m/>
    <s v="Novo Projeto - Em especificação"/>
    <s v="P3"/>
    <s v="Novos Requisitos FY25 - Outros"/>
    <x v="1"/>
    <s v="JB"/>
  </r>
  <r>
    <x v="0"/>
    <x v="1"/>
    <x v="0"/>
    <s v="lt003_entity"/>
    <s v="enblng_trnvr_ce"/>
    <x v="4"/>
    <s v="2.1 Em Teste"/>
    <m/>
    <s v="Package 1"/>
    <s v="Package 5"/>
    <m/>
    <s v=""/>
    <s v=""/>
    <s v=""/>
    <m/>
    <m/>
    <s v="Novo Projeto - Em especificação"/>
    <s v="P3"/>
    <s v="Novos Requisitos FY25 - Outros"/>
    <x v="1"/>
    <s v="JB"/>
  </r>
  <r>
    <x v="0"/>
    <x v="1"/>
    <x v="0"/>
    <s v="lt004_protection"/>
    <s v="TYP_EMSSNS_LBL"/>
    <x v="4"/>
    <s v="2.1 Em Teste"/>
    <m/>
    <s v="Package 2"/>
    <s v="Package 5"/>
    <m/>
    <s v=""/>
    <s v=""/>
    <s v=""/>
    <m/>
    <m/>
    <s v="Novo Projeto - Em especificação"/>
    <s v="ESG"/>
    <s v="Novos Requisitos FY25 - Outros"/>
    <x v="1"/>
    <s v="JB"/>
  </r>
  <r>
    <x v="0"/>
    <x v="1"/>
    <x v="0"/>
    <s v="lt004_protection"/>
    <s v="VHCL_EMSSNS_LBL"/>
    <x v="4"/>
    <s v="2.1 Em Teste"/>
    <m/>
    <s v="Package 2"/>
    <s v="Package 5"/>
    <m/>
    <s v=""/>
    <s v=""/>
    <s v=""/>
    <m/>
    <m/>
    <s v="Novo Projeto - Em especificação"/>
    <s v="ESG"/>
    <s v="Novos Requisitos FY25 - Outros"/>
    <x v="1"/>
    <s v="JB"/>
  </r>
  <r>
    <x v="0"/>
    <x v="1"/>
    <x v="0"/>
    <s v="lt004_protection"/>
    <s v="VHCL_EMSSNS_SCR"/>
    <x v="4"/>
    <s v="2.1 Em Teste"/>
    <m/>
    <s v="Package 2"/>
    <s v="Package 5"/>
    <m/>
    <s v=""/>
    <s v=""/>
    <s v=""/>
    <m/>
    <m/>
    <s v="Novo Projeto - Em especificação"/>
    <s v="ESG"/>
    <s v="Novos Requisitos FY25 - Outros"/>
    <x v="1"/>
    <s v="JB"/>
  </r>
  <r>
    <x v="0"/>
    <x v="1"/>
    <x v="0"/>
    <s v="lt004_protection"/>
    <s v="INSRNC_ID"/>
    <x v="4"/>
    <s v="2.1 Em Teste"/>
    <m/>
    <s v="Package 2"/>
    <s v="Package 5"/>
    <m/>
    <s v=""/>
    <s v=""/>
    <s v=""/>
    <m/>
    <m/>
    <s v="Novo Projeto - Em especificação"/>
    <s v="ESG"/>
    <s v="Novos Requisitos FY25 - Outros"/>
    <x v="1"/>
    <s v="JB"/>
  </r>
  <r>
    <x v="0"/>
    <x v="1"/>
    <x v="0"/>
    <s v="lt004_protection"/>
    <s v="TYP_HZRDS_INSRD"/>
    <x v="4"/>
    <s v="2.1 Em Teste"/>
    <m/>
    <s v="Package 2"/>
    <s v="Package 5"/>
    <m/>
    <s v=""/>
    <s v=""/>
    <s v=""/>
    <m/>
    <m/>
    <s v="Novo Projeto - Em especificação"/>
    <s v="ESG"/>
    <s v="Novos Requisitos FY25 - Outros"/>
    <x v="1"/>
    <s v="JB"/>
  </r>
  <r>
    <x v="0"/>
    <x v="1"/>
    <x v="0"/>
    <s v="lt004_protection"/>
    <s v="AMNT_CVRD_INSRNC"/>
    <x v="4"/>
    <s v="2.1 Em Teste"/>
    <m/>
    <s v="Package 2"/>
    <s v="Package 5"/>
    <m/>
    <s v=""/>
    <s v=""/>
    <s v=""/>
    <m/>
    <m/>
    <s v="Novo Projeto - Em especificação"/>
    <s v="ESG"/>
    <s v="Novos Requisitos FY25 - Outros"/>
    <x v="1"/>
    <s v="JB"/>
  </r>
  <r>
    <x v="0"/>
    <x v="1"/>
    <x v="0"/>
    <s v="lt004_protection"/>
    <s v="DT_MTRTY_INSRNC"/>
    <x v="4"/>
    <s v="2.1 Em Teste"/>
    <m/>
    <s v="Package 2"/>
    <s v="Package 5"/>
    <m/>
    <s v=""/>
    <s v=""/>
    <s v=""/>
    <m/>
    <m/>
    <s v="Novo Projeto - Em especificação"/>
    <s v="ESG"/>
    <s v="Novos Requisitos FY25 - Outros"/>
    <x v="1"/>
    <s v="JB"/>
  </r>
  <r>
    <x v="0"/>
    <x v="1"/>
    <x v="0"/>
    <s v="lt004_protection"/>
    <s v="FLG_FRST_HM"/>
    <x v="4"/>
    <s v="2.1 Em Teste"/>
    <m/>
    <s v="Package 2"/>
    <s v="Package 5"/>
    <m/>
    <s v=""/>
    <s v=""/>
    <s v=""/>
    <m/>
    <m/>
    <s v="Novo Projeto - Em especificação"/>
    <s v="ESG"/>
    <s v="Novos Requisitos FY25 - Outros"/>
    <x v="1"/>
    <s v="JB"/>
  </r>
  <r>
    <x v="0"/>
    <x v="1"/>
    <x v="0"/>
    <s v="lt004_protection"/>
    <s v="RL_ESTT_CRTFCTN"/>
    <x v="4"/>
    <s v="2.1 Em Teste"/>
    <m/>
    <s v="Package 2"/>
    <s v="Package 5"/>
    <m/>
    <s v=""/>
    <s v=""/>
    <s v=""/>
    <m/>
    <m/>
    <s v="Novo Projeto - Em especificação"/>
    <s v="P3 e ESG"/>
    <s v="Novos Requisitos FY25 - Outros"/>
    <x v="1"/>
    <s v="JB"/>
  </r>
  <r>
    <x v="0"/>
    <x v="1"/>
    <x v="0"/>
    <s v="lt004_protection"/>
    <s v="DT_RGSTRTN"/>
    <x v="4"/>
    <s v="2.1 Em Teste"/>
    <m/>
    <s v="Package 2"/>
    <s v="Package 5"/>
    <m/>
    <s v=""/>
    <s v=""/>
    <s v=""/>
    <m/>
    <m/>
    <s v="Novo Projeto - Em especificação"/>
    <s v="P3 e ESG"/>
    <s v="Novos Requisitos FY25 - Outros"/>
    <x v="1"/>
    <s v="JB"/>
  </r>
  <r>
    <x v="0"/>
    <x v="1"/>
    <x v="0"/>
    <s v="lt004_protection"/>
    <s v="PRMRY_ENRGY_DMND_NN_RNWBL"/>
    <x v="4"/>
    <s v="2.1 Em Teste"/>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2.1 Em Teste"/>
    <m/>
    <s v="Package 2"/>
    <s v="Package 6"/>
    <m/>
    <s v=""/>
    <s v=""/>
    <s v=""/>
    <m/>
    <m/>
    <s v="Novo Projeto - Em especificação"/>
    <s v="ESTR, P3 e LF"/>
    <s v="Novos Requisitos FY25 - Âmbito ESTR e (ou) LF"/>
    <x v="1"/>
    <s v="JB"/>
  </r>
  <r>
    <x v="0"/>
    <x v="1"/>
    <x v="0"/>
    <s v="lt002_instrument"/>
    <s v="INTRNL_SGMNT"/>
    <x v="4"/>
    <s v="2.1 Em Teste"/>
    <m/>
    <s v="Package 3"/>
    <s v="Package 6"/>
    <m/>
    <s v=""/>
    <s v=""/>
    <s v=""/>
    <m/>
    <m/>
    <s v="Novo Projeto - Em especificação"/>
    <s v="ESTR, ESG e LF"/>
    <s v="Novos Requisitos FY25 - Âmbito ESTR e (ou) LF"/>
    <x v="1"/>
    <s v="HF"/>
  </r>
  <r>
    <x v="0"/>
    <x v="1"/>
    <x v="0"/>
    <s v="lt002_instrument"/>
    <s v="DT_ORGNL_MTRTY"/>
    <x v="4"/>
    <s v="2.1 Em Teste"/>
    <m/>
    <s v="Package 3"/>
    <s v="Package 6"/>
    <m/>
    <s v=""/>
    <s v=""/>
    <s v=""/>
    <m/>
    <m/>
    <s v="Novo Projeto - Em especificação"/>
    <s v="ESTR, P3, GF e LF"/>
    <s v="Novos Requisitos FY25 - Âmbito ESTR e (ou) LF"/>
    <x v="1"/>
    <s v="HF"/>
  </r>
  <r>
    <x v="0"/>
    <x v="1"/>
    <x v="0"/>
    <s v="lt002_instrument"/>
    <s v="EAD"/>
    <x v="4"/>
    <s v="2.1 Em Teste"/>
    <m/>
    <s v="Package 3"/>
    <s v="Package 6"/>
    <m/>
    <s v=""/>
    <s v=""/>
    <s v=""/>
    <m/>
    <m/>
    <s v="Novo Projeto - Em especificação"/>
    <s v="ESTR, GD, ESG e LF"/>
    <s v="Novos Requisitos FY25 - Âmbito ESTR e (ou) LF"/>
    <x v="1"/>
    <s v="HF"/>
  </r>
  <r>
    <x v="0"/>
    <x v="1"/>
    <x v="0"/>
    <s v="lt002_instrument"/>
    <s v="RWA"/>
    <x v="4"/>
    <s v="2.1 Em Teste"/>
    <m/>
    <s v="Package 3"/>
    <s v="Package 6"/>
    <m/>
    <s v=""/>
    <s v=""/>
    <s v=""/>
    <m/>
    <m/>
    <s v="Novo Projeto - Em especificação"/>
    <s v="ESTR, GD, P3, GF e LF"/>
    <s v="Novos Requisitos FY25 - Âmbito ESTR e (ou) LF"/>
    <x v="1"/>
    <s v="HF"/>
  </r>
  <r>
    <x v="0"/>
    <x v="1"/>
    <x v="0"/>
    <s v="lt002_instrument"/>
    <s v="LTV"/>
    <x v="4"/>
    <s v="2.1 Em Teste"/>
    <m/>
    <s v="Package 3"/>
    <s v="Package 6"/>
    <m/>
    <s v=""/>
    <s v=""/>
    <s v=""/>
    <m/>
    <m/>
    <s v="Novo Projeto - Em especificação"/>
    <s v="ESTR e P3"/>
    <s v="Novos Requisitos FY25 - Âmbito ESTR e (ou) LF"/>
    <x v="1"/>
    <s v="HF"/>
  </r>
  <r>
    <x v="0"/>
    <x v="1"/>
    <x v="0"/>
    <s v="lt002_instrument"/>
    <s v="LTV_INCPTN"/>
    <x v="4"/>
    <s v="2.1 Em Teste"/>
    <m/>
    <s v="Package 3"/>
    <s v="Package 6"/>
    <m/>
    <s v=""/>
    <s v=""/>
    <s v=""/>
    <m/>
    <m/>
    <s v="Novo Projeto - Em especificação"/>
    <s v="ESTR e P3"/>
    <s v="Novos Requisitos FY25 - Âmbito ESTR e (ou) LF"/>
    <x v="1"/>
    <s v="JB"/>
  </r>
  <r>
    <x v="0"/>
    <x v="1"/>
    <x v="0"/>
    <s v="lt002_instrument"/>
    <s v="EIR"/>
    <x v="4"/>
    <s v="2.1 Em Teste"/>
    <m/>
    <s v="Package 3"/>
    <s v="Package 6"/>
    <m/>
    <s v=""/>
    <s v=""/>
    <s v=""/>
    <m/>
    <m/>
    <s v="Novo Projeto - Em especificação"/>
    <s v="ESTR, P3 e LF"/>
    <s v="Novos Requisitos FY25 - Âmbito ESTR e (ou) LF"/>
    <x v="1"/>
    <s v="JB"/>
  </r>
  <r>
    <x v="0"/>
    <x v="1"/>
    <x v="0"/>
    <s v="lt002_instrument"/>
    <s v="EIR_INCPTN"/>
    <x v="4"/>
    <s v="2.1 Em Teste"/>
    <m/>
    <s v="Package 3"/>
    <s v="Package 6"/>
    <m/>
    <s v=""/>
    <s v=""/>
    <s v=""/>
    <m/>
    <m/>
    <s v="Novo Projeto - Em especificação"/>
    <s v="ESTR e P3"/>
    <s v="Novos Requisitos FY25 - Âmbito ESTR e (ou) LF"/>
    <x v="1"/>
    <s v="JB"/>
  </r>
  <r>
    <x v="0"/>
    <x v="1"/>
    <x v="0"/>
    <s v="lt002_instrument"/>
    <s v="INTRNL_SGMNT_CAT_MSTA"/>
    <x v="4"/>
    <s v="2.1 Em Teste"/>
    <m/>
    <s v="Package 3"/>
    <s v="Package 6"/>
    <m/>
    <s v=""/>
    <s v=""/>
    <s v=""/>
    <m/>
    <m/>
    <s v="Novo Projeto - Em especificação"/>
    <s v="ESTR e ESG"/>
    <s v="Novos Requisitos FY25 - Âmbito ESTR e (ou) LF"/>
    <x v="1"/>
    <s v="JB"/>
  </r>
  <r>
    <x v="0"/>
    <x v="1"/>
    <x v="0"/>
    <s v="lt002_instrument"/>
    <s v="INTRNL_SGMNT_CATGSUB"/>
    <x v="4"/>
    <s v="2.1 Em Teste"/>
    <m/>
    <s v="Package 3"/>
    <s v="Package 6"/>
    <m/>
    <s v=""/>
    <s v=""/>
    <s v=""/>
    <m/>
    <m/>
    <s v="Novo Projeto - Em especificação"/>
    <s v="ESTR e ESG"/>
    <s v="Novos Requisitos FY25 - Âmbito ESTR e (ou) LF"/>
    <x v="1"/>
    <s v="JB"/>
  </r>
  <r>
    <x v="0"/>
    <x v="1"/>
    <x v="0"/>
    <s v="lt003_entity"/>
    <s v="entty_nm"/>
    <x v="4"/>
    <s v="2.1 Em Teste"/>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0. Cancelado"/>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6. Em implementação "/>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6. Em implementação "/>
    <m/>
    <m/>
    <m/>
    <m/>
    <m/>
    <m/>
    <m/>
    <m/>
    <m/>
    <m/>
    <m/>
    <m/>
    <x v="0"/>
    <m/>
  </r>
  <r>
    <x v="0"/>
    <x v="4"/>
    <x v="0"/>
    <s v="modesg_param_sfics_taxon_europeia"/>
    <s v="nome_purpose_esg"/>
    <x v="5"/>
    <s v="0. Cancelado"/>
    <m/>
    <m/>
    <m/>
    <m/>
    <m/>
    <m/>
    <m/>
    <m/>
    <m/>
    <m/>
    <m/>
    <m/>
    <x v="0"/>
    <m/>
  </r>
  <r>
    <x v="0"/>
    <x v="4"/>
    <x v="0"/>
    <s v="modesg_param_sfics_taxon_europeia"/>
    <s v="dominio"/>
    <x v="0"/>
    <s v="6. Em implementação "/>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6. Em implementação "/>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4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8" cacheId="25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14"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4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6"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24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 cacheId="25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9.xml><?xml version="1.0" encoding="utf-8"?>
<pivotTableDefinition xmlns="http://schemas.openxmlformats.org/spreadsheetml/2006/main" name="PivotTable5" cacheId="23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10.xml><?xml version="1.0" encoding="utf-8"?>
<pivotTableDefinition xmlns="http://schemas.openxmlformats.org/spreadsheetml/2006/main" name="PivotTable12" cacheId="26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3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68" tableBorderDxfId="267">
  <autoFilter ref="B6:V740">
    <filterColumn colId="1">
      <filters>
        <filter val="Bens Imóveis - Input"/>
        <filter val="Bens Imóveis - Output"/>
      </filters>
    </filterColumn>
    <filterColumn colId="5">
      <filters>
        <filter val="2.2 Em especificação"/>
        <filter val="6. Em implementação"/>
      </filters>
    </filterColumn>
  </autoFilter>
  <tableColumns count="21">
    <tableColumn id="1" name="Âmbito" dataDxfId="266"/>
    <tableColumn id="2" name="Sub-âmbito" dataDxfId="265"/>
    <tableColumn id="3" name="Tipo de teste" dataDxfId="264"/>
    <tableColumn id="4" name="Tabela" dataDxfId="263"/>
    <tableColumn id="5" name="Campo" dataDxfId="262"/>
    <tableColumn id="6" name="Status Atual" dataDxfId="261">
      <calculatedColumnFormula>VLOOKUP(A7,Plano_V3!$A$26:$G$768,7,0)</calculatedColumnFormula>
    </tableColumn>
    <tableColumn id="7" name="Status Anterior" dataDxfId="260"/>
    <tableColumn id="14" name="Fase" dataDxfId="259"/>
    <tableColumn id="8" name="Observações - Especificações" dataDxfId="258"/>
    <tableColumn id="20" name="Observações - Testes" dataDxfId="257"/>
    <tableColumn id="19" name="Observações - Testes sem visibilidade" dataDxfId="256"/>
    <tableColumn id="9" name="Data de Pedido correção/esclarecimento" dataDxfId="255">
      <calculatedColumnFormula>IF(VLOOKUP(A7,'Aux - pivots1'!$A:$E,3,0)=0, "",VLOOKUP(A7,'Aux - pivots1'!$A:$E,3,0))</calculatedColumnFormula>
    </tableColumn>
    <tableColumn id="10" name="Data de correção prevista" dataDxfId="254">
      <calculatedColumnFormula>IF(VLOOKUP(A7,'Aux - pivots1'!$A:$E,4,0)=0, "",VLOOKUP(A7,'Aux - pivots1'!$A:$E,4,0))</calculatedColumnFormula>
    </tableColumn>
    <tableColumn id="11" name="Data de correção efetiva" dataDxfId="253">
      <calculatedColumnFormula>IF(VLOOKUP(A7,'Aux - pivots1'!$A:$E,5,0)=0, "",VLOOKUP(A7,'Aux - pivots1'!$A:$E,5,0))</calculatedColumnFormula>
    </tableColumn>
    <tableColumn id="12" name="Data Prevista de Re-especificação" dataDxfId="252"/>
    <tableColumn id="13" name="Data Prevista de Teste" dataDxfId="251"/>
    <tableColumn id="15" name="Projeto (Aux JB)" dataDxfId="250"/>
    <tableColumn id="18" name="LT Âmbito" dataDxfId="249"/>
    <tableColumn id="21" name="LT Âmbito- Aux" dataDxfId="248"/>
    <tableColumn id="16" name="Plano" dataDxfId="247"/>
    <tableColumn id="17" name="Owner" dataDxfId="246"/>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107" dataDxfId="105" totalsRowDxfId="103" headerRowBorderDxfId="106" tableBorderDxfId="104" totalsRowBorderDxfId="102">
  <autoFilter ref="B8:X1532"/>
  <tableColumns count="23">
    <tableColumn id="1" name="Âmbito" dataDxfId="101" totalsRowDxfId="100"/>
    <tableColumn id="12" name="Sub-âmbito" dataDxfId="99" totalsRowDxfId="98"/>
    <tableColumn id="2" name="Origem" dataDxfId="97" totalsRowDxfId="96"/>
    <tableColumn id="18" name="Campo Origem" dataDxfId="95" totalsRowDxfId="94"/>
    <tableColumn id="5" name="Tabela" dataDxfId="93" totalsRowDxfId="92"/>
    <tableColumn id="3" name="Campo" dataDxfId="91" totalsRowDxfId="90"/>
    <tableColumn id="20" name="concat" dataDxfId="89" totalsRowDxfId="88">
      <calculatedColumnFormula>Table1[[#This Row],[Tabela]]&amp;Table1[[#This Row],[Campo]]</calculatedColumnFormula>
    </tableColumn>
    <tableColumn id="4" name="Status" dataDxfId="87" totalsRowDxfId="86"/>
    <tableColumn id="19" name="Status2" dataDxfId="85">
      <calculatedColumnFormula>VLOOKUP(Table1[[#This Row],[Status]],Auxiliar!$B$16:$C$24,2,0)</calculatedColumnFormula>
    </tableColumn>
    <tableColumn id="6" name="Tipologia_Testes" dataDxfId="84" totalsRowDxfId="83"/>
    <tableColumn id="10" name="Necessidade de re-especificação? (campo)" dataDxfId="82" totalsRowDxfId="81"/>
    <tableColumn id="9" name="Complexidade" dataDxfId="80" totalsRowDxfId="79"/>
    <tableColumn id="17" name="Data de Alteração Status" dataDxfId="78" totalsRowDxfId="77"/>
    <tableColumn id="8" name="Estimação (horas)" totalsRowFunction="custom" dataDxfId="76" totalsRowDxfId="75">
      <calculatedColumnFormula>INDEX(Auxiliar!$D$5:$F$11,MATCH(Table1[[#This Row],[Tipologia_Testes]],Auxiliar!$B$5:$B$11,0),MATCH(Table1[[#This Row],[Complexidade]],Auxiliar!$D$4:$F$4,0))</calculatedColumnFormula>
      <totalsRowFormula>SUMIF(Table1[Estimação (horas)],"&gt;0")</totalsRowFormula>
    </tableColumn>
    <tableColumn id="7" name="Notas" dataDxfId="74" totalsRowDxfId="73"/>
    <tableColumn id="11" name="Owner" dataDxfId="72" totalsRowDxfId="71"/>
    <tableColumn id="21" name="Data alteração especificação" dataDxfId="70" totalsRowDxfId="69"/>
    <tableColumn id="13" name="Data de inicio testes" dataDxfId="68" totalsRowDxfId="67"/>
    <tableColumn id="14" name="Data de incidência / pedido esclarecimento" dataDxfId="66" totalsRowDxfId="65"/>
    <tableColumn id="15" name="Data de correção/resposta prevista" dataDxfId="64" totalsRowDxfId="63"/>
    <tableColumn id="22" name="Data de correção/resposta efetiva" dataDxfId="62" totalsRowDxfId="61"/>
    <tableColumn id="23" name="Horas efetivas" dataDxfId="60" totalsRowDxfId="59">
      <calculatedColumnFormula>VLOOKUP(Table1[[#This Row],[Status]],Auxiliar!$B$16:$D$24,3,0)*Table1[[#This Row],[Estimação (horas)]]</calculatedColumnFormula>
    </tableColumn>
    <tableColumn id="16" name="Query" dataDxfId="58" totalsRowDxfId="57">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 xml:space="preserve">6. Em implementação </v>
      </c>
      <c r="H480" s="64">
        <f>VLOOKUP(A480,'Aux - pivots1'!$A:$B,2,0)</f>
        <v>7</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 xml:space="preserve">6. Em implementação </v>
      </c>
      <c r="H481" s="64">
        <f>VLOOKUP(A481,'Aux - pivots1'!$A:$B,2,0)</f>
        <v>7</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91" priority="11" operator="notEqual">
      <formula>0</formula>
    </cfRule>
  </conditionalFormatting>
  <conditionalFormatting sqref="L21:L23">
    <cfRule type="cellIs" dxfId="290" priority="3" operator="notEqual">
      <formula>0</formula>
    </cfRule>
  </conditionalFormatting>
  <conditionalFormatting sqref="L577:L579">
    <cfRule type="cellIs" dxfId="289" priority="2" operator="notEqual">
      <formula>0</formula>
    </cfRule>
  </conditionalFormatting>
  <conditionalFormatting sqref="L582:L636">
    <cfRule type="cellIs" dxfId="288" priority="1" operator="notEqual">
      <formula>0</formula>
    </cfRule>
  </conditionalFormatting>
  <conditionalFormatting sqref="M5:M6 N6:FK6">
    <cfRule type="cellIs" dxfId="287" priority="12" operator="notEqual">
      <formula>0</formula>
    </cfRule>
  </conditionalFormatting>
  <conditionalFormatting sqref="M15:FK18 M21:FK23 M577:FK579 M636:FK636">
    <cfRule type="cellIs" dxfId="286" priority="10" operator="greaterThan">
      <formula>0</formula>
    </cfRule>
  </conditionalFormatting>
  <conditionalFormatting sqref="M26:FK27">
    <cfRule type="cellIs" dxfId="285" priority="9" operator="greaterThan">
      <formula>0</formula>
    </cfRule>
  </conditionalFormatting>
  <conditionalFormatting sqref="M42:FK42">
    <cfRule type="cellIs" dxfId="284" priority="8" operator="greaterThan">
      <formula>0</formula>
    </cfRule>
  </conditionalFormatting>
  <conditionalFormatting sqref="M198:FK198">
    <cfRule type="cellIs" dxfId="283" priority="7" operator="greaterThan">
      <formula>0</formula>
    </cfRule>
  </conditionalFormatting>
  <conditionalFormatting sqref="M362:FK362">
    <cfRule type="cellIs" dxfId="282" priority="6" operator="greaterThan">
      <formula>0</formula>
    </cfRule>
  </conditionalFormatting>
  <conditionalFormatting sqref="M447:FK447">
    <cfRule type="cellIs" dxfId="281" priority="5" operator="greaterThan">
      <formula>0</formula>
    </cfRule>
  </conditionalFormatting>
  <conditionalFormatting sqref="M582:FK583">
    <cfRule type="cellIs" dxfId="28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opLeftCell="A7" zoomScale="50" zoomScaleNormal="50" zoomScalePageLayoutView="90" workbookViewId="0">
      <selection activeCell="Q34" sqref="Q34"/>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8" t="s">
        <v>2455</v>
      </c>
      <c r="Y10" s="519"/>
      <c r="Z10" s="519"/>
      <c r="AA10" s="519"/>
      <c r="AB10" s="519"/>
      <c r="AC10" s="519"/>
      <c r="AD10" s="519"/>
      <c r="AE10" s="519"/>
      <c r="AF10" s="520"/>
      <c r="AG10" s="334"/>
      <c r="AH10" s="116"/>
    </row>
    <row r="11" spans="1:34" ht="18.75" customHeight="1">
      <c r="A11" s="116"/>
      <c r="B11" s="326"/>
      <c r="C11" s="511" t="s">
        <v>8</v>
      </c>
      <c r="D11" s="512"/>
      <c r="E11" s="515" t="s">
        <v>2358</v>
      </c>
      <c r="F11" s="516"/>
      <c r="G11" s="517"/>
      <c r="H11" s="508" t="s">
        <v>2359</v>
      </c>
      <c r="I11" s="509"/>
      <c r="J11" s="509"/>
      <c r="K11" s="510"/>
      <c r="L11" s="505" t="s">
        <v>2360</v>
      </c>
      <c r="M11" s="506"/>
      <c r="N11" s="507"/>
      <c r="O11" s="388"/>
      <c r="P11" s="421"/>
      <c r="Q11" s="423" t="s">
        <v>2369</v>
      </c>
      <c r="R11" s="550" t="s">
        <v>2367</v>
      </c>
      <c r="S11" s="550"/>
      <c r="T11" s="550" t="s">
        <v>2368</v>
      </c>
      <c r="U11" s="550"/>
      <c r="V11" s="422" t="s">
        <v>13</v>
      </c>
      <c r="W11" s="333"/>
      <c r="X11" s="521"/>
      <c r="Y11" s="522"/>
      <c r="Z11" s="522"/>
      <c r="AA11" s="522"/>
      <c r="AB11" s="522"/>
      <c r="AC11" s="522"/>
      <c r="AD11" s="522"/>
      <c r="AE11" s="522"/>
      <c r="AF11" s="523"/>
      <c r="AG11" s="334"/>
      <c r="AH11" s="116"/>
    </row>
    <row r="12" spans="1:34" ht="18.75" customHeight="1">
      <c r="A12" s="116"/>
      <c r="B12" s="326"/>
      <c r="C12" s="513"/>
      <c r="D12" s="514"/>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4">
        <v>20</v>
      </c>
      <c r="S12" s="494"/>
      <c r="T12" s="498">
        <f>+COUNTIFS('2. Status Detalhe Campos FY24'!$C:$C,"*Pilar*",'2. Status Detalhe Campos FY24'!$J:$J,"*"&amp;O12&amp;"*",'2. Status Detalhe Campos FY24'!U:U,"*Novo Plano*")</f>
        <v>20</v>
      </c>
      <c r="U12" s="498"/>
      <c r="V12" s="161" t="s">
        <v>621</v>
      </c>
      <c r="W12" s="333"/>
      <c r="X12" s="521"/>
      <c r="Y12" s="522"/>
      <c r="Z12" s="522"/>
      <c r="AA12" s="522"/>
      <c r="AB12" s="522"/>
      <c r="AC12" s="522"/>
      <c r="AD12" s="522"/>
      <c r="AE12" s="522"/>
      <c r="AF12" s="523"/>
      <c r="AG12" s="334"/>
      <c r="AH12" s="116"/>
    </row>
    <row r="13" spans="1:34" ht="18.75" customHeight="1">
      <c r="A13" s="116"/>
      <c r="B13" s="326"/>
      <c r="C13" s="501" t="s">
        <v>2331</v>
      </c>
      <c r="D13" s="502"/>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494">
        <v>15</v>
      </c>
      <c r="S13" s="494"/>
      <c r="T13" s="499">
        <f>+COUNTIFS('2. Status Detalhe Campos FY24'!$C:$C,"*Pilar*",'2. Status Detalhe Campos FY24'!$J:$J,"*"&amp;O13&amp;"*",'2. Status Detalhe Campos FY24'!U:U,"*Novo Plano*")</f>
        <v>14</v>
      </c>
      <c r="U13" s="499"/>
      <c r="V13" s="161" t="s">
        <v>621</v>
      </c>
      <c r="W13" s="333"/>
      <c r="X13" s="521"/>
      <c r="Y13" s="522"/>
      <c r="Z13" s="522"/>
      <c r="AA13" s="522"/>
      <c r="AB13" s="522"/>
      <c r="AC13" s="522"/>
      <c r="AD13" s="522"/>
      <c r="AE13" s="522"/>
      <c r="AF13" s="523"/>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494">
        <v>14</v>
      </c>
      <c r="S14" s="494"/>
      <c r="T14" s="499">
        <f>+COUNTIFS('2. Status Detalhe Campos FY24'!$C:$C,"*Pilar*",'2. Status Detalhe Campos FY24'!$J:$J,"*"&amp;O14&amp;"*",'2. Status Detalhe Campos FY24'!U:U,"*Novo Plano*")</f>
        <v>16</v>
      </c>
      <c r="U14" s="499"/>
      <c r="V14" s="161" t="s">
        <v>621</v>
      </c>
      <c r="W14" s="333"/>
      <c r="X14" s="521"/>
      <c r="Y14" s="522"/>
      <c r="Z14" s="522"/>
      <c r="AA14" s="522"/>
      <c r="AB14" s="522"/>
      <c r="AC14" s="522"/>
      <c r="AD14" s="522"/>
      <c r="AE14" s="522"/>
      <c r="AF14" s="523"/>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4">
        <v>13</v>
      </c>
      <c r="S15" s="494"/>
      <c r="T15" s="499">
        <f>+COUNTIFS('2. Status Detalhe Campos FY24'!$C:$C,"*Pilar*",'2. Status Detalhe Campos FY24'!$J:$J,"*"&amp;O15&amp;"*",'2. Status Detalhe Campos FY24'!U:U,"*Novo Plano*")</f>
        <v>14</v>
      </c>
      <c r="U15" s="499"/>
      <c r="V15" s="161" t="s">
        <v>2450</v>
      </c>
      <c r="W15" s="333"/>
      <c r="X15" s="521"/>
      <c r="Y15" s="522"/>
      <c r="Z15" s="522"/>
      <c r="AA15" s="522"/>
      <c r="AB15" s="522"/>
      <c r="AC15" s="522"/>
      <c r="AD15" s="522"/>
      <c r="AE15" s="522"/>
      <c r="AF15" s="523"/>
      <c r="AG15" s="334"/>
      <c r="AH15" s="116"/>
    </row>
    <row r="16" spans="1:34" ht="18.75" customHeight="1">
      <c r="A16" s="116"/>
      <c r="B16" s="326"/>
      <c r="C16" s="501" t="s">
        <v>29</v>
      </c>
      <c r="D16" s="502"/>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495">
        <v>6</v>
      </c>
      <c r="S16" s="495"/>
      <c r="T16" s="500">
        <f>+COUNTIFS('2. Status Detalhe Campos FY24'!$C:$C,"*Pilar*",'2. Status Detalhe Campos FY24'!$J:$J,"*"&amp;O16&amp;"*",'2. Status Detalhe Campos FY24'!U:U,"*Novo Plano*")</f>
        <v>7</v>
      </c>
      <c r="U16" s="500"/>
      <c r="V16" s="475" t="s">
        <v>2424</v>
      </c>
      <c r="W16" s="333"/>
      <c r="X16" s="521"/>
      <c r="Y16" s="522"/>
      <c r="Z16" s="522"/>
      <c r="AA16" s="522"/>
      <c r="AB16" s="522"/>
      <c r="AC16" s="522"/>
      <c r="AD16" s="522"/>
      <c r="AE16" s="522"/>
      <c r="AF16" s="523"/>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496">
        <f>+SUM(R12:S16)</f>
        <v>68</v>
      </c>
      <c r="S17" s="496"/>
      <c r="T17" s="497">
        <f>+SUM(T12:T16)</f>
        <v>71</v>
      </c>
      <c r="U17" s="497"/>
      <c r="V17" s="426"/>
      <c r="W17" s="333"/>
      <c r="X17" s="521"/>
      <c r="Y17" s="522"/>
      <c r="Z17" s="522"/>
      <c r="AA17" s="522"/>
      <c r="AB17" s="522"/>
      <c r="AC17" s="522"/>
      <c r="AD17" s="522"/>
      <c r="AE17" s="522"/>
      <c r="AF17" s="523"/>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1"/>
      <c r="Y18" s="522"/>
      <c r="Z18" s="522"/>
      <c r="AA18" s="522"/>
      <c r="AB18" s="522"/>
      <c r="AC18" s="522"/>
      <c r="AD18" s="522"/>
      <c r="AE18" s="522"/>
      <c r="AF18" s="523"/>
      <c r="AG18" s="334"/>
      <c r="AH18" s="116"/>
    </row>
    <row r="19" spans="1:34" ht="18.649999999999999" customHeight="1">
      <c r="A19" s="116"/>
      <c r="B19" s="326"/>
      <c r="C19" s="501" t="s">
        <v>2332</v>
      </c>
      <c r="D19" s="502"/>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521"/>
      <c r="Y19" s="522"/>
      <c r="Z19" s="522"/>
      <c r="AA19" s="522"/>
      <c r="AB19" s="522"/>
      <c r="AC19" s="522"/>
      <c r="AD19" s="522"/>
      <c r="AE19" s="522"/>
      <c r="AF19" s="523"/>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1"/>
      <c r="Y20" s="522"/>
      <c r="Z20" s="522"/>
      <c r="AA20" s="522"/>
      <c r="AB20" s="522"/>
      <c r="AC20" s="522"/>
      <c r="AD20" s="522"/>
      <c r="AE20" s="522"/>
      <c r="AF20" s="523"/>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521"/>
      <c r="Y21" s="522"/>
      <c r="Z21" s="522"/>
      <c r="AA21" s="522"/>
      <c r="AB21" s="522"/>
      <c r="AC21" s="522"/>
      <c r="AD21" s="522"/>
      <c r="AE21" s="522"/>
      <c r="AF21" s="523"/>
      <c r="AG21" s="334"/>
      <c r="AH21" s="116"/>
    </row>
    <row r="22" spans="1:34" ht="18.75" customHeight="1">
      <c r="A22" s="116"/>
      <c r="B22" s="326"/>
      <c r="C22" s="503" t="s">
        <v>2326</v>
      </c>
      <c r="D22" s="504"/>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521"/>
      <c r="Y22" s="522"/>
      <c r="Z22" s="522"/>
      <c r="AA22" s="522"/>
      <c r="AB22" s="522"/>
      <c r="AC22" s="522"/>
      <c r="AD22" s="522"/>
      <c r="AE22" s="522"/>
      <c r="AF22" s="523"/>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1"/>
      <c r="Y23" s="522"/>
      <c r="Z23" s="522"/>
      <c r="AA23" s="522"/>
      <c r="AB23" s="522"/>
      <c r="AC23" s="522"/>
      <c r="AD23" s="522"/>
      <c r="AE23" s="522"/>
      <c r="AF23" s="523"/>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1"/>
      <c r="Y24" s="522"/>
      <c r="Z24" s="522"/>
      <c r="AA24" s="522"/>
      <c r="AB24" s="522"/>
      <c r="AC24" s="522"/>
      <c r="AD24" s="522"/>
      <c r="AE24" s="522"/>
      <c r="AF24" s="523"/>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1"/>
      <c r="Y25" s="522"/>
      <c r="Z25" s="522"/>
      <c r="AA25" s="522"/>
      <c r="AB25" s="522"/>
      <c r="AC25" s="522"/>
      <c r="AD25" s="522"/>
      <c r="AE25" s="522"/>
      <c r="AF25" s="523"/>
      <c r="AG25" s="334"/>
      <c r="AH25" s="116"/>
    </row>
    <row r="26" spans="1:34" ht="18.75" customHeight="1">
      <c r="A26" s="116"/>
      <c r="B26" s="326"/>
      <c r="C26" s="511" t="s">
        <v>8</v>
      </c>
      <c r="D26" s="512"/>
      <c r="E26" s="505" t="s">
        <v>2339</v>
      </c>
      <c r="F26" s="506"/>
      <c r="G26" s="506"/>
      <c r="H26" s="506"/>
      <c r="I26" s="507"/>
      <c r="J26" s="508" t="s">
        <v>2345</v>
      </c>
      <c r="K26" s="509"/>
      <c r="L26" s="509"/>
      <c r="M26" s="509"/>
      <c r="N26" s="509"/>
      <c r="O26" s="510"/>
      <c r="P26" s="505" t="s">
        <v>2346</v>
      </c>
      <c r="Q26" s="506"/>
      <c r="R26" s="507"/>
      <c r="S26" s="333"/>
      <c r="T26" s="333"/>
      <c r="U26" s="161"/>
      <c r="V26" s="333"/>
      <c r="W26" s="333"/>
      <c r="X26" s="521"/>
      <c r="Y26" s="522"/>
      <c r="Z26" s="522"/>
      <c r="AA26" s="522"/>
      <c r="AB26" s="522"/>
      <c r="AC26" s="522"/>
      <c r="AD26" s="522"/>
      <c r="AE26" s="522"/>
      <c r="AF26" s="523"/>
      <c r="AG26" s="334"/>
      <c r="AH26" s="116"/>
    </row>
    <row r="27" spans="1:34" ht="18.75" customHeight="1">
      <c r="A27" s="116"/>
      <c r="B27" s="326"/>
      <c r="C27" s="513"/>
      <c r="D27" s="514"/>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1"/>
      <c r="Y27" s="522"/>
      <c r="Z27" s="522"/>
      <c r="AA27" s="522"/>
      <c r="AB27" s="522"/>
      <c r="AC27" s="522"/>
      <c r="AD27" s="522"/>
      <c r="AE27" s="522"/>
      <c r="AF27" s="523"/>
      <c r="AG27" s="334"/>
      <c r="AH27" s="116"/>
    </row>
    <row r="28" spans="1:34" ht="18.75" customHeight="1">
      <c r="A28" s="116"/>
      <c r="B28" s="326"/>
      <c r="C28" s="501" t="s">
        <v>2331</v>
      </c>
      <c r="D28" s="502"/>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521"/>
      <c r="Y28" s="522"/>
      <c r="Z28" s="522"/>
      <c r="AA28" s="522"/>
      <c r="AB28" s="522"/>
      <c r="AC28" s="522"/>
      <c r="AD28" s="522"/>
      <c r="AE28" s="522"/>
      <c r="AF28" s="523"/>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9:O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521"/>
      <c r="Y29" s="522"/>
      <c r="Z29" s="522"/>
      <c r="AA29" s="522"/>
      <c r="AB29" s="522"/>
      <c r="AC29" s="522"/>
      <c r="AD29" s="522"/>
      <c r="AE29" s="522"/>
      <c r="AF29" s="523"/>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93">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521"/>
      <c r="Y30" s="522"/>
      <c r="Z30" s="522"/>
      <c r="AA30" s="522"/>
      <c r="AB30" s="522"/>
      <c r="AC30" s="522"/>
      <c r="AD30" s="522"/>
      <c r="AE30" s="522"/>
      <c r="AF30" s="523"/>
      <c r="AG30" s="334"/>
      <c r="AH30" s="116"/>
    </row>
    <row r="31" spans="1:34" ht="18.75" customHeight="1">
      <c r="A31" s="116"/>
      <c r="B31" s="326"/>
      <c r="C31" s="501" t="s">
        <v>29</v>
      </c>
      <c r="D31" s="502"/>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0</v>
      </c>
      <c r="R31" s="445">
        <f t="shared" si="4"/>
        <v>1</v>
      </c>
      <c r="S31" s="333"/>
      <c r="T31" s="333"/>
      <c r="U31" s="333"/>
      <c r="V31" s="333"/>
      <c r="W31" s="333"/>
      <c r="X31" s="521"/>
      <c r="Y31" s="522"/>
      <c r="Z31" s="522"/>
      <c r="AA31" s="522"/>
      <c r="AB31" s="522"/>
      <c r="AC31" s="522"/>
      <c r="AD31" s="522"/>
      <c r="AE31" s="522"/>
      <c r="AF31" s="523"/>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0</v>
      </c>
      <c r="R32" s="454">
        <f t="shared" si="4"/>
        <v>1</v>
      </c>
      <c r="S32" s="333"/>
      <c r="T32" s="333"/>
      <c r="U32" s="333"/>
      <c r="V32" s="333"/>
      <c r="W32" s="333"/>
      <c r="X32" s="521"/>
      <c r="Y32" s="522"/>
      <c r="Z32" s="522"/>
      <c r="AA32" s="522"/>
      <c r="AB32" s="522"/>
      <c r="AC32" s="522"/>
      <c r="AD32" s="522"/>
      <c r="AE32" s="522"/>
      <c r="AF32" s="523"/>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521"/>
      <c r="Y33" s="522"/>
      <c r="Z33" s="522"/>
      <c r="AA33" s="522"/>
      <c r="AB33" s="522"/>
      <c r="AC33" s="522"/>
      <c r="AD33" s="522"/>
      <c r="AE33" s="522"/>
      <c r="AF33" s="523"/>
      <c r="AG33" s="334"/>
      <c r="AH33" s="116"/>
    </row>
    <row r="34" spans="1:34" ht="18.75" customHeight="1">
      <c r="A34" s="116"/>
      <c r="B34" s="326"/>
      <c r="C34" s="501" t="s">
        <v>2332</v>
      </c>
      <c r="D34" s="502"/>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33</v>
      </c>
      <c r="R34" s="445">
        <f t="shared" si="4"/>
        <v>33</v>
      </c>
      <c r="S34" s="333"/>
      <c r="T34" s="333"/>
      <c r="U34" s="333"/>
      <c r="V34" s="333"/>
      <c r="W34" s="333"/>
      <c r="X34" s="521"/>
      <c r="Y34" s="522"/>
      <c r="Z34" s="522"/>
      <c r="AA34" s="522"/>
      <c r="AB34" s="522"/>
      <c r="AC34" s="522"/>
      <c r="AD34" s="522"/>
      <c r="AE34" s="522"/>
      <c r="AF34" s="523"/>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1</v>
      </c>
      <c r="R35" s="454">
        <f t="shared" si="4"/>
        <v>1</v>
      </c>
      <c r="S35" s="333"/>
      <c r="T35" s="333"/>
      <c r="U35" s="333"/>
      <c r="V35" s="333"/>
      <c r="W35" s="333"/>
      <c r="X35" s="521"/>
      <c r="Y35" s="522"/>
      <c r="Z35" s="522"/>
      <c r="AA35" s="522"/>
      <c r="AB35" s="522"/>
      <c r="AC35" s="522"/>
      <c r="AD35" s="522"/>
      <c r="AE35" s="522"/>
      <c r="AF35" s="523"/>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521"/>
      <c r="Y36" s="522"/>
      <c r="Z36" s="522"/>
      <c r="AA36" s="522"/>
      <c r="AB36" s="522"/>
      <c r="AC36" s="522"/>
      <c r="AD36" s="522"/>
      <c r="AE36" s="522"/>
      <c r="AF36" s="523"/>
      <c r="AG36" s="334"/>
      <c r="AH36" s="116"/>
    </row>
    <row r="37" spans="1:34" ht="18.75" customHeight="1">
      <c r="A37" s="116"/>
      <c r="B37" s="326"/>
      <c r="C37" s="503" t="s">
        <v>2326</v>
      </c>
      <c r="D37" s="504"/>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33</v>
      </c>
      <c r="R37" s="470">
        <f t="shared" si="5"/>
        <v>34</v>
      </c>
      <c r="S37" s="333"/>
      <c r="T37" s="333"/>
      <c r="U37" s="333"/>
      <c r="V37" s="333"/>
      <c r="W37" s="333"/>
      <c r="X37" s="521"/>
      <c r="Y37" s="522"/>
      <c r="Z37" s="522"/>
      <c r="AA37" s="522"/>
      <c r="AB37" s="522"/>
      <c r="AC37" s="522"/>
      <c r="AD37" s="522"/>
      <c r="AE37" s="522"/>
      <c r="AF37" s="523"/>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1"/>
      <c r="Y38" s="522"/>
      <c r="Z38" s="522"/>
      <c r="AA38" s="522"/>
      <c r="AB38" s="522"/>
      <c r="AC38" s="522"/>
      <c r="AD38" s="522"/>
      <c r="AE38" s="522"/>
      <c r="AF38" s="523"/>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1"/>
      <c r="Y39" s="522"/>
      <c r="Z39" s="522"/>
      <c r="AA39" s="522"/>
      <c r="AB39" s="522"/>
      <c r="AC39" s="522"/>
      <c r="AD39" s="522"/>
      <c r="AE39" s="522"/>
      <c r="AF39" s="523"/>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1"/>
      <c r="Y40" s="522"/>
      <c r="Z40" s="522"/>
      <c r="AA40" s="522"/>
      <c r="AB40" s="522"/>
      <c r="AC40" s="522"/>
      <c r="AD40" s="522"/>
      <c r="AE40" s="522"/>
      <c r="AF40" s="523"/>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1"/>
      <c r="Y41" s="522"/>
      <c r="Z41" s="522"/>
      <c r="AA41" s="522"/>
      <c r="AB41" s="522"/>
      <c r="AC41" s="522"/>
      <c r="AD41" s="522"/>
      <c r="AE41" s="522"/>
      <c r="AF41" s="523"/>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1"/>
      <c r="Y42" s="522"/>
      <c r="Z42" s="522"/>
      <c r="AA42" s="522"/>
      <c r="AB42" s="522"/>
      <c r="AC42" s="522"/>
      <c r="AD42" s="522"/>
      <c r="AE42" s="522"/>
      <c r="AF42" s="523"/>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4"/>
      <c r="Y43" s="525"/>
      <c r="Z43" s="525"/>
      <c r="AA43" s="525"/>
      <c r="AB43" s="525"/>
      <c r="AC43" s="525"/>
      <c r="AD43" s="525"/>
      <c r="AE43" s="525"/>
      <c r="AF43" s="526"/>
      <c r="AG43" s="334"/>
      <c r="AH43" s="116"/>
    </row>
    <row r="44" spans="1:34">
      <c r="A44" s="116"/>
      <c r="B44" s="384">
        <v>1</v>
      </c>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85">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99999999999999" customHeight="1">
      <c r="A50" s="116"/>
      <c r="B50" s="121"/>
      <c r="P50" s="374" t="s">
        <v>611</v>
      </c>
      <c r="Q50" s="374"/>
      <c r="R50" s="374"/>
      <c r="S50" s="374"/>
      <c r="T50" s="374">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4">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12</v>
      </c>
      <c r="V50" s="374">
        <f t="shared" ref="V50:V76" si="6">U50-T50</f>
        <v>0</v>
      </c>
      <c r="X50" s="529" t="s">
        <v>2452</v>
      </c>
      <c r="Y50" s="530"/>
      <c r="Z50" s="530"/>
      <c r="AA50" s="530"/>
      <c r="AB50" s="530"/>
      <c r="AC50" s="530"/>
      <c r="AD50" s="530"/>
      <c r="AE50" s="530"/>
      <c r="AF50" s="531"/>
      <c r="AG50" s="163"/>
      <c r="AH50" s="116"/>
    </row>
    <row r="51" spans="1:34" ht="17.899999999999999" customHeight="1">
      <c r="A51" s="116"/>
      <c r="B51" s="121"/>
      <c r="P51" s="375" t="s">
        <v>2357</v>
      </c>
      <c r="Q51" s="376"/>
      <c r="R51" s="376"/>
      <c r="S51" s="376"/>
      <c r="T51" s="446">
        <f>COUNTIFS('2. Status Detalhe Campos FY24'!$H$7:$H$740,'1. Status Resumo FY24'!$P50,'2. Status Detalhe Campos FY24'!$C$7:$C$740,'1. Status Resumo FY24'!$G$46,'2. Status Detalhe Campos FY24'!$D$7:$D$740,"2. Campo",'2. Status Detalhe Campos FY24'!$U$7:$U$740,"*Plano anterior*")
+COUNTIFS('2. Status Detalhe Campos FY24'!$H$7:$H$740,'1. Status Resumo FY24'!$P50,'2. Status Detalhe Campos FY24'!$C$7:$C$740,'1. Status Resumo FY24'!$H$46,'2. Status Detalhe Campos FY24'!$D$7:$D$740,"2. Campo",'2. Status Detalhe Campos FY24'!$U$7:$U$740,"*Plano anterior*")</f>
        <v>12</v>
      </c>
      <c r="U51" s="446">
        <f>COUNTIFS('2. Status Detalhe Campos FY24'!$G$7:$G$740,'1. Status Resumo FY24'!$P50,'2. Status Detalhe Campos FY24'!$C$7:$C$740,'1. Status Resumo FY24'!$G$46,'2. Status Detalhe Campos FY24'!$D$7:$D$740,"2. Campo",'2. Status Detalhe Campos FY24'!$U$7:$U$740,"*Plano anterior*")
+COUNTIFS('2. Status Detalhe Campos FY24'!$G$7:$G$740,'1. Status Resumo FY24'!$P50,'2. Status Detalhe Campos FY24'!$C$7:$C$740,'1. Status Resumo FY24'!$H$46,'2. Status Detalhe Campos FY24'!$D$7:$D$740,"2. Campo",'2. Status Detalhe Campos FY24'!$U$7:$U$740,"*Plano anterior*")</f>
        <v>12</v>
      </c>
      <c r="V51" s="446">
        <f t="shared" si="6"/>
        <v>0</v>
      </c>
      <c r="X51" s="532"/>
      <c r="Y51" s="533"/>
      <c r="Z51" s="533"/>
      <c r="AA51" s="533"/>
      <c r="AB51" s="533"/>
      <c r="AC51" s="533"/>
      <c r="AD51" s="533"/>
      <c r="AE51" s="533"/>
      <c r="AF51" s="534"/>
      <c r="AG51" s="163"/>
      <c r="AH51" s="116"/>
    </row>
    <row r="52" spans="1:34" ht="17.899999999999999" customHeight="1">
      <c r="A52" s="116"/>
      <c r="B52" s="121"/>
      <c r="P52" s="375" t="s">
        <v>2356</v>
      </c>
      <c r="Q52" s="376"/>
      <c r="R52" s="376"/>
      <c r="S52" s="376"/>
      <c r="T52" s="446">
        <f>COUNTIFS('2. Status Detalhe Campos FY24'!$H$7:$H$740,'1. Status Resumo FY24'!$P51,'2. Status Detalhe Campos FY24'!$C$7:$C$740,'1. Status Resumo FY24'!$G$46,'2. Status Detalhe Campos FY24'!$D$7:$D$740,"2. Campo",'2. Status Detalhe Campos FY24'!$U$7:$U$740,"*Novo Plano*")
+COUNTIFS('2. Status Detalhe Campos FY24'!$H$7:$H$740,'1. Status Resumo FY24'!$P51,'2. Status Detalhe Campos FY24'!$C$7:$C$740,'1. Status Resumo FY24'!$H$46,'2. Status Detalhe Campos FY24'!$D$7:$D$740,"2. Campo",'2. Status Detalhe Campos FY24'!$U$7:$U$740,"*Novo Plano*")</f>
        <v>0</v>
      </c>
      <c r="U52" s="446">
        <f>COUNTIFS('2. Status Detalhe Campos FY24'!$G$7:$G$740,'1. Status Resumo FY24'!$P50,'2. Status Detalhe Campos FY24'!$C$7:$C$740,'1. Status Resumo FY24'!$G$46,'2. Status Detalhe Campos FY24'!$D$7:$D$740,"2. Campo",'2. Status Detalhe Campos FY24'!$U$7:$U$740,"*Novo Plano*")
+COUNTIFS('2. Status Detalhe Campos FY24'!$G$7:$G$740,'1. Status Resumo FY24'!$P50,'2. Status Detalhe Campos FY24'!$C$7:$C$740,'1. Status Resumo FY24'!$H$46,'2. Status Detalhe Campos FY24'!$D$7:$D$740,"2. Campo",'2. Status Detalhe Campos FY24'!$U$7:$U$740,"*Novo Plano*")</f>
        <v>0</v>
      </c>
      <c r="V52" s="446">
        <f t="shared" si="6"/>
        <v>0</v>
      </c>
      <c r="X52" s="532"/>
      <c r="Y52" s="533"/>
      <c r="Z52" s="533"/>
      <c r="AA52" s="533"/>
      <c r="AB52" s="533"/>
      <c r="AC52" s="533"/>
      <c r="AD52" s="533"/>
      <c r="AE52" s="533"/>
      <c r="AF52" s="534"/>
      <c r="AG52" s="163"/>
      <c r="AH52" s="116"/>
    </row>
    <row r="53" spans="1:34">
      <c r="A53" s="116"/>
      <c r="B53" s="121"/>
      <c r="P53" s="373" t="s">
        <v>612</v>
      </c>
      <c r="Q53" s="373"/>
      <c r="R53" s="373"/>
      <c r="S53" s="373"/>
      <c r="T53" s="373">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3">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3">
        <f t="shared" si="6"/>
        <v>0</v>
      </c>
      <c r="X53" s="532"/>
      <c r="Y53" s="533"/>
      <c r="Z53" s="533"/>
      <c r="AA53" s="533"/>
      <c r="AB53" s="533"/>
      <c r="AC53" s="533"/>
      <c r="AD53" s="533"/>
      <c r="AE53" s="533"/>
      <c r="AF53" s="534"/>
      <c r="AG53" s="163"/>
      <c r="AH53" s="116"/>
    </row>
    <row r="54" spans="1:34">
      <c r="A54" s="116"/>
      <c r="B54" s="121"/>
      <c r="P54" s="375" t="s">
        <v>2357</v>
      </c>
      <c r="Q54" s="376"/>
      <c r="R54" s="376"/>
      <c r="S54" s="376"/>
      <c r="T54" s="446">
        <f>COUNTIFS('2. Status Detalhe Campos FY24'!$H$7:$H$740,'1. Status Resumo FY24'!$P53,'2. Status Detalhe Campos FY24'!$C$7:$C$740,'1. Status Resumo FY24'!$G$46,'2. Status Detalhe Campos FY24'!$D$7:$D$740,"2. Campo",'2. Status Detalhe Campos FY24'!$U$7:$U$740,"*Plano anterior*")
+COUNTIFS('2. Status Detalhe Campos FY24'!$H$7:$H$740,'1. Status Resumo FY24'!$P53,'2. Status Detalhe Campos FY24'!$C$7:$C$740,'1. Status Resumo FY24'!$H$46,'2. Status Detalhe Campos FY24'!$D$7:$D$740,"2. Campo",'2. Status Detalhe Campos FY24'!$U$7:$U$740,"*Plano anterior*")</f>
        <v>192</v>
      </c>
      <c r="U54" s="446">
        <f>COUNTIFS('2. Status Detalhe Campos FY24'!$G$7:$G$740,'1. Status Resumo FY24'!$P53,'2. Status Detalhe Campos FY24'!$C$7:$C$740,'1. Status Resumo FY24'!$G$46,'2. Status Detalhe Campos FY24'!$D$7:$D$740,"2. Campo",'2. Status Detalhe Campos FY24'!$U$7:$U$740,"*Plano anterior*")
+COUNTIFS('2. Status Detalhe Campos FY24'!$G$7:$G$740,'1. Status Resumo FY24'!$P53,'2. Status Detalhe Campos FY24'!$C$7:$C$740,'1. Status Resumo FY24'!$H$46,'2. Status Detalhe Campos FY24'!$D$7:$D$740,"2. Campo",'2. Status Detalhe Campos FY24'!$U$7:$U$740,"*Plano anterior*")</f>
        <v>192</v>
      </c>
      <c r="V54" s="446">
        <f t="shared" si="6"/>
        <v>0</v>
      </c>
      <c r="X54" s="532"/>
      <c r="Y54" s="533"/>
      <c r="Z54" s="533"/>
      <c r="AA54" s="533"/>
      <c r="AB54" s="533"/>
      <c r="AC54" s="533"/>
      <c r="AD54" s="533"/>
      <c r="AE54" s="533"/>
      <c r="AF54" s="534"/>
      <c r="AG54" s="163"/>
      <c r="AH54" s="116"/>
    </row>
    <row r="55" spans="1:34">
      <c r="A55" s="116"/>
      <c r="B55" s="121"/>
      <c r="P55" s="375" t="s">
        <v>2356</v>
      </c>
      <c r="Q55" s="378"/>
      <c r="R55" s="378"/>
      <c r="S55" s="378"/>
      <c r="T55" s="447">
        <f>COUNTIFS('2. Status Detalhe Campos FY24'!$H$7:$H$740,'1. Status Resumo FY24'!$P54,'2. Status Detalhe Campos FY24'!$C$7:$C$740,'1. Status Resumo FY24'!$G$46,'2. Status Detalhe Campos FY24'!$D$7:$D$740,"2. Campo",'2. Status Detalhe Campos FY24'!$U$7:$U$740,"*Novo Plano*")
+COUNTIFS('2. Status Detalhe Campos FY24'!$H$7:$H$740,'1. Status Resumo FY24'!$P54,'2. Status Detalhe Campos FY24'!$C$7:$C$740,'1. Status Resumo FY24'!$H$46,'2. Status Detalhe Campos FY24'!$D$7:$D$740,"2. Campo",'2. Status Detalhe Campos FY24'!$U$7:$U$740,"*Novo Plano*")</f>
        <v>0</v>
      </c>
      <c r="U55" s="447">
        <f>COUNTIFS('2. Status Detalhe Campos FY24'!$G$7:$G$740,'1. Status Resumo FY24'!$P53,'2. Status Detalhe Campos FY24'!$C$7:$C$740,'1. Status Resumo FY24'!$G$46,'2. Status Detalhe Campos FY24'!$D$7:$D$740,"2. Campo",'2. Status Detalhe Campos FY24'!$U$7:$U$740,"*Novo Plano*")
+COUNTIFS('2. Status Detalhe Campos FY24'!$G$7:$G$740,'1. Status Resumo FY24'!$P53,'2. Status Detalhe Campos FY24'!$C$7:$C$740,'1. Status Resumo FY24'!$H$46,'2. Status Detalhe Campos FY24'!$D$7:$D$740,"2. Campo",'2. Status Detalhe Campos FY24'!$U$7:$U$740,"*Novo Plano*")</f>
        <v>0</v>
      </c>
      <c r="V55" s="447">
        <f t="shared" si="6"/>
        <v>0</v>
      </c>
      <c r="X55" s="532"/>
      <c r="Y55" s="533"/>
      <c r="Z55" s="533"/>
      <c r="AA55" s="533"/>
      <c r="AB55" s="533"/>
      <c r="AC55" s="533"/>
      <c r="AD55" s="533"/>
      <c r="AE55" s="533"/>
      <c r="AF55" s="534"/>
      <c r="AG55" s="163"/>
      <c r="AH55" s="116"/>
    </row>
    <row r="56" spans="1:34">
      <c r="A56" s="116"/>
      <c r="B56" s="121"/>
      <c r="P56" s="373" t="s">
        <v>1840</v>
      </c>
      <c r="Q56" s="373"/>
      <c r="R56" s="373"/>
      <c r="S56" s="373"/>
      <c r="T56" s="373">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0</v>
      </c>
      <c r="U56" s="373">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3">
        <f t="shared" si="6"/>
        <v>0</v>
      </c>
      <c r="X56" s="532"/>
      <c r="Y56" s="533"/>
      <c r="Z56" s="533"/>
      <c r="AA56" s="533"/>
      <c r="AB56" s="533"/>
      <c r="AC56" s="533"/>
      <c r="AD56" s="533"/>
      <c r="AE56" s="533"/>
      <c r="AF56" s="534"/>
      <c r="AG56" s="163"/>
      <c r="AH56" s="116"/>
    </row>
    <row r="57" spans="1:34">
      <c r="A57" s="116"/>
      <c r="B57" s="121"/>
      <c r="P57" s="375" t="s">
        <v>2357</v>
      </c>
      <c r="Q57" s="376"/>
      <c r="R57" s="376"/>
      <c r="S57" s="376"/>
      <c r="T57" s="446">
        <f>COUNTIFS('2. Status Detalhe Campos FY24'!$H$7:$H$740,'1. Status Resumo FY24'!$P56,'2. Status Detalhe Campos FY24'!$C$7:$C$740,'1. Status Resumo FY24'!$G$46,'2. Status Detalhe Campos FY24'!$D$7:$D$740,"2. Campo",'2. Status Detalhe Campos FY24'!$U$7:$U$740,"*Plano anterior*")
+COUNTIFS('2. Status Detalhe Campos FY24'!$H$7:$H$740,'1. Status Resumo FY24'!$P56,'2. Status Detalhe Campos FY24'!$C$7:$C$740,'1. Status Resumo FY24'!$H$46,'2. Status Detalhe Campos FY24'!$D$7:$D$740,"2. Campo",'2. Status Detalhe Campos FY24'!$U$7:$U$740,"*Plano anterior*")</f>
        <v>0</v>
      </c>
      <c r="U57" s="446">
        <f>COUNTIFS('2. Status Detalhe Campos FY24'!$G$7:$G$740,'1. Status Resumo FY24'!$P56,'2. Status Detalhe Campos FY24'!$C$7:$C$740,'1. Status Resumo FY24'!$G$46,'2. Status Detalhe Campos FY24'!$D$7:$D$740,"2. Campo",'2. Status Detalhe Campos FY24'!$U$7:$U$740,"*Plano anterior*")
+COUNTIFS('2. Status Detalhe Campos FY24'!$G$7:$G$740,'1. Status Resumo FY24'!$P56,'2. Status Detalhe Campos FY24'!$C$7:$C$740,'1. Status Resumo FY24'!$H$46,'2. Status Detalhe Campos FY24'!$D$7:$D$740,"2. Campo",'2. Status Detalhe Campos FY24'!$U$7:$U$740,"*Plano anterior*")</f>
        <v>0</v>
      </c>
      <c r="V57" s="446">
        <f t="shared" si="6"/>
        <v>0</v>
      </c>
      <c r="X57" s="532"/>
      <c r="Y57" s="533"/>
      <c r="Z57" s="533"/>
      <c r="AA57" s="533"/>
      <c r="AB57" s="533"/>
      <c r="AC57" s="533"/>
      <c r="AD57" s="533"/>
      <c r="AE57" s="533"/>
      <c r="AF57" s="534"/>
      <c r="AG57" s="163"/>
      <c r="AH57" s="116"/>
    </row>
    <row r="58" spans="1:34">
      <c r="A58" s="116"/>
      <c r="B58" s="121"/>
      <c r="P58" s="375" t="s">
        <v>2356</v>
      </c>
      <c r="Q58" s="378"/>
      <c r="R58" s="378"/>
      <c r="S58" s="378"/>
      <c r="T58" s="447">
        <f>COUNTIFS('2. Status Detalhe Campos FY24'!$H$7:$H$740,'1. Status Resumo FY24'!$P57,'2. Status Detalhe Campos FY24'!$C$7:$C$740,'1. Status Resumo FY24'!$G$46,'2. Status Detalhe Campos FY24'!$D$7:$D$740,"2. Campo",'2. Status Detalhe Campos FY24'!$U$7:$U$740,"*Novo Plano*")
+COUNTIFS('2. Status Detalhe Campos FY24'!$H$7:$H$740,'1. Status Resumo FY24'!$P57,'2. Status Detalhe Campos FY24'!$C$7:$C$740,'1. Status Resumo FY24'!$H$46,'2. Status Detalhe Campos FY24'!$D$7:$D$740,"2. Campo",'2. Status Detalhe Campos FY24'!$U$7:$U$740,"*Novo Plano*")</f>
        <v>0</v>
      </c>
      <c r="U58" s="447">
        <f>COUNTIFS('2. Status Detalhe Campos FY24'!$G$7:$G$740,'1. Status Resumo FY24'!$P56,'2. Status Detalhe Campos FY24'!$C$7:$C$740,'1. Status Resumo FY24'!$G$46,'2. Status Detalhe Campos FY24'!$D$7:$D$740,"2. Campo",'2. Status Detalhe Campos FY24'!$U$7:$U$740,"*Novo Plano*")
+COUNTIFS('2. Status Detalhe Campos FY24'!$G$7:$G$740,'1. Status Resumo FY24'!$P56,'2. Status Detalhe Campos FY24'!$C$7:$C$740,'1. Status Resumo FY24'!$H$46,'2. Status Detalhe Campos FY24'!$D$7:$D$740,"2. Campo",'2. Status Detalhe Campos FY24'!$U$7:$U$740,"*Novo Plano*")</f>
        <v>0</v>
      </c>
      <c r="V58" s="447">
        <f t="shared" si="6"/>
        <v>0</v>
      </c>
      <c r="X58" s="532"/>
      <c r="Y58" s="533"/>
      <c r="Z58" s="533"/>
      <c r="AA58" s="533"/>
      <c r="AB58" s="533"/>
      <c r="AC58" s="533"/>
      <c r="AD58" s="533"/>
      <c r="AE58" s="533"/>
      <c r="AF58" s="534"/>
      <c r="AG58" s="163"/>
      <c r="AH58" s="116"/>
    </row>
    <row r="59" spans="1:34">
      <c r="A59" s="116"/>
      <c r="B59" s="121"/>
      <c r="D59" s="538" t="str">
        <f>"# "&amp;U77</f>
        <v># 208</v>
      </c>
      <c r="E59" s="538"/>
      <c r="P59" s="373" t="s">
        <v>2319</v>
      </c>
      <c r="Q59" s="373"/>
      <c r="R59" s="373"/>
      <c r="S59" s="373"/>
      <c r="T59" s="373">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1</v>
      </c>
      <c r="U59" s="373">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1</v>
      </c>
      <c r="V59" s="373">
        <f t="shared" si="6"/>
        <v>0</v>
      </c>
      <c r="X59" s="532"/>
      <c r="Y59" s="533"/>
      <c r="Z59" s="533"/>
      <c r="AA59" s="533"/>
      <c r="AB59" s="533"/>
      <c r="AC59" s="533"/>
      <c r="AD59" s="533"/>
      <c r="AE59" s="533"/>
      <c r="AF59" s="534"/>
      <c r="AG59" s="163"/>
      <c r="AH59" s="116"/>
    </row>
    <row r="60" spans="1:34">
      <c r="A60" s="116"/>
      <c r="B60" s="121"/>
      <c r="D60" s="538"/>
      <c r="E60" s="538"/>
      <c r="P60" s="375" t="s">
        <v>2357</v>
      </c>
      <c r="Q60" s="376"/>
      <c r="R60" s="376"/>
      <c r="S60" s="376"/>
      <c r="T60" s="446">
        <f>COUNTIFS('2. Status Detalhe Campos FY24'!$H$7:$H$740,'1. Status Resumo FY24'!$P59,'2. Status Detalhe Campos FY24'!$C$7:$C$740,'1. Status Resumo FY24'!$G$46,'2. Status Detalhe Campos FY24'!$D$7:$D$740,"2. Campo",'2. Status Detalhe Campos FY24'!$U$7:$U$740,"*Plano anterior*")
+COUNTIFS('2. Status Detalhe Campos FY24'!$H$7:$H$740,'1. Status Resumo FY24'!$P59,'2. Status Detalhe Campos FY24'!$C$7:$C$740,'1. Status Resumo FY24'!$H$46,'2. Status Detalhe Campos FY24'!$D$7:$D$740,"2. Campo",'2. Status Detalhe Campos FY24'!$U$7:$U$740,"*Plano anterior*")</f>
        <v>1</v>
      </c>
      <c r="U60" s="446">
        <f>COUNTIFS('2. Status Detalhe Campos FY24'!$G$7:$G$740,'1. Status Resumo FY24'!$P59,'2. Status Detalhe Campos FY24'!$C$7:$C$740,'1. Status Resumo FY24'!$G$46,'2. Status Detalhe Campos FY24'!$D$7:$D$740,"2. Campo",'2. Status Detalhe Campos FY24'!$U$7:$U$740,"*Plano anterior*")
+COUNTIFS('2. Status Detalhe Campos FY24'!$G$7:$G$740,'1. Status Resumo FY24'!$P59,'2. Status Detalhe Campos FY24'!$C$7:$C$740,'1. Status Resumo FY24'!$H$46,'2. Status Detalhe Campos FY24'!$D$7:$D$740,"2. Campo",'2. Status Detalhe Campos FY24'!$U$7:$U$740,"*Plano anterior*")</f>
        <v>1</v>
      </c>
      <c r="V60" s="446">
        <f t="shared" si="6"/>
        <v>0</v>
      </c>
      <c r="X60" s="532"/>
      <c r="Y60" s="533"/>
      <c r="Z60" s="533"/>
      <c r="AA60" s="533"/>
      <c r="AB60" s="533"/>
      <c r="AC60" s="533"/>
      <c r="AD60" s="533"/>
      <c r="AE60" s="533"/>
      <c r="AF60" s="534"/>
      <c r="AG60" s="163"/>
      <c r="AH60" s="116"/>
    </row>
    <row r="61" spans="1:34">
      <c r="A61" s="116"/>
      <c r="B61" s="121"/>
      <c r="D61" s="538"/>
      <c r="E61" s="538"/>
      <c r="P61" s="375" t="s">
        <v>2356</v>
      </c>
      <c r="Q61" s="378"/>
      <c r="R61" s="378"/>
      <c r="S61" s="378"/>
      <c r="T61" s="447">
        <f>COUNTIFS('2. Status Detalhe Campos FY24'!$H$7:$H$740,'1. Status Resumo FY24'!$P60,'2. Status Detalhe Campos FY24'!$C$7:$C$740,'1. Status Resumo FY24'!$G$46,'2. Status Detalhe Campos FY24'!$D$7:$D$740,"2. Campo",'2. Status Detalhe Campos FY24'!$U$7:$U$740,"*Novo Plano*")
+COUNTIFS('2. Status Detalhe Campos FY24'!$H$7:$H$740,'1. Status Resumo FY24'!$P60,'2. Status Detalhe Campos FY24'!$C$7:$C$740,'1. Status Resumo FY24'!$H$46,'2. Status Detalhe Campos FY24'!$D$7:$D$740,"2. Campo",'2. Status Detalhe Campos FY24'!$U$7:$U$740,"*Novo Plano*")</f>
        <v>0</v>
      </c>
      <c r="U61" s="447">
        <f>COUNTIFS('2. Status Detalhe Campos FY24'!$G$7:$G$740,'1. Status Resumo FY24'!$P59,'2. Status Detalhe Campos FY24'!$C$7:$C$740,'1. Status Resumo FY24'!$G$46,'2. Status Detalhe Campos FY24'!$D$7:$D$740,"2. Campo",'2. Status Detalhe Campos FY24'!$U$7:$U$740,"*Novo Plano*")
+COUNTIFS('2. Status Detalhe Campos FY24'!$G$7:$G$740,'1. Status Resumo FY24'!$P59,'2. Status Detalhe Campos FY24'!$C$7:$C$740,'1. Status Resumo FY24'!$H$46,'2. Status Detalhe Campos FY24'!$D$7:$D$740,"2. Campo",'2. Status Detalhe Campos FY24'!$U$7:$U$740,"*Novo Plano*")</f>
        <v>0</v>
      </c>
      <c r="V61" s="447">
        <f t="shared" si="6"/>
        <v>0</v>
      </c>
      <c r="X61" s="532"/>
      <c r="Y61" s="533"/>
      <c r="Z61" s="533"/>
      <c r="AA61" s="533"/>
      <c r="AB61" s="533"/>
      <c r="AC61" s="533"/>
      <c r="AD61" s="533"/>
      <c r="AE61" s="533"/>
      <c r="AF61" s="534"/>
      <c r="AG61" s="163"/>
      <c r="AH61" s="116"/>
    </row>
    <row r="62" spans="1:34" ht="17.899999999999999" customHeight="1">
      <c r="A62" s="116"/>
      <c r="B62" s="121"/>
      <c r="D62" s="538"/>
      <c r="E62" s="538"/>
      <c r="P62" s="373" t="s">
        <v>613</v>
      </c>
      <c r="Q62" s="373"/>
      <c r="R62" s="373"/>
      <c r="S62" s="373"/>
      <c r="T62" s="373">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3">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3">
        <f t="shared" si="6"/>
        <v>0</v>
      </c>
      <c r="X62" s="532"/>
      <c r="Y62" s="533"/>
      <c r="Z62" s="533"/>
      <c r="AA62" s="533"/>
      <c r="AB62" s="533"/>
      <c r="AC62" s="533"/>
      <c r="AD62" s="533"/>
      <c r="AE62" s="533"/>
      <c r="AF62" s="534"/>
      <c r="AG62" s="163"/>
      <c r="AH62" s="116"/>
    </row>
    <row r="63" spans="1:34" ht="17.899999999999999" customHeight="1">
      <c r="A63" s="116"/>
      <c r="B63" s="121"/>
      <c r="D63" s="538"/>
      <c r="E63" s="538"/>
      <c r="P63" s="375" t="s">
        <v>2357</v>
      </c>
      <c r="Q63" s="376"/>
      <c r="R63" s="376"/>
      <c r="S63" s="376"/>
      <c r="T63" s="446">
        <f>COUNTIFS('2. Status Detalhe Campos FY24'!$H$7:$H$740,'1. Status Resumo FY24'!$P62,'2. Status Detalhe Campos FY24'!$C$7:$C$740,'1. Status Resumo FY24'!$G$46,'2. Status Detalhe Campos FY24'!$D$7:$D$740,"2. Campo",'2. Status Detalhe Campos FY24'!$U$7:$U$740,"*Plano anterior*")
+COUNTIFS('2. Status Detalhe Campos FY24'!$H$7:$H$740,'1. Status Resumo FY24'!$P62,'2. Status Detalhe Campos FY24'!$C$7:$C$740,'1. Status Resumo FY24'!$H$46,'2. Status Detalhe Campos FY24'!$D$7:$D$740,"2. Campo",'2. Status Detalhe Campos FY24'!$U$7:$U$740,"*Plano anterior*")</f>
        <v>0</v>
      </c>
      <c r="U63" s="446">
        <f>COUNTIFS('2. Status Detalhe Campos FY24'!$G$7:$G$740,'1. Status Resumo FY24'!$P62,'2. Status Detalhe Campos FY24'!$C$7:$C$740,'1. Status Resumo FY24'!$G$46,'2. Status Detalhe Campos FY24'!$D$7:$D$740,"2. Campo",'2. Status Detalhe Campos FY24'!$U$7:$U$740,"*Plano anterior*")
+COUNTIFS('2. Status Detalhe Campos FY24'!$G$7:$G$740,'1. Status Resumo FY24'!$P62,'2. Status Detalhe Campos FY24'!$C$7:$C$740,'1. Status Resumo FY24'!$H$46,'2. Status Detalhe Campos FY24'!$D$7:$D$740,"2. Campo",'2. Status Detalhe Campos FY24'!$U$7:$U$740,"*Plano anterior*")</f>
        <v>0</v>
      </c>
      <c r="V63" s="446">
        <f t="shared" si="6"/>
        <v>0</v>
      </c>
      <c r="X63" s="532"/>
      <c r="Y63" s="533"/>
      <c r="Z63" s="533"/>
      <c r="AA63" s="533"/>
      <c r="AB63" s="533"/>
      <c r="AC63" s="533"/>
      <c r="AD63" s="533"/>
      <c r="AE63" s="533"/>
      <c r="AF63" s="534"/>
      <c r="AG63" s="163"/>
      <c r="AH63" s="116"/>
    </row>
    <row r="64" spans="1:34" ht="17.899999999999999" customHeight="1">
      <c r="A64" s="116"/>
      <c r="B64" s="121"/>
      <c r="D64" s="538"/>
      <c r="E64" s="538"/>
      <c r="P64" s="375" t="s">
        <v>2356</v>
      </c>
      <c r="Q64" s="378"/>
      <c r="R64" s="378"/>
      <c r="S64" s="378"/>
      <c r="T64" s="447">
        <f>COUNTIFS('2. Status Detalhe Campos FY24'!$H$7:$H$740,'1. Status Resumo FY24'!$P63,'2. Status Detalhe Campos FY24'!$C$7:$C$740,'1. Status Resumo FY24'!$G$46,'2. Status Detalhe Campos FY24'!$D$7:$D$740,"2. Campo",'2. Status Detalhe Campos FY24'!$U$7:$U$740,"*Novo Plano*")
+COUNTIFS('2. Status Detalhe Campos FY24'!$H$7:$H$740,'1. Status Resumo FY24'!$P63,'2. Status Detalhe Campos FY24'!$C$7:$C$740,'1. Status Resumo FY24'!$H$46,'2. Status Detalhe Campos FY24'!$D$7:$D$740,"2. Campo",'2. Status Detalhe Campos FY24'!$U$7:$U$740,"*Novo Plano*")</f>
        <v>0</v>
      </c>
      <c r="U64" s="447">
        <f>COUNTIFS('2. Status Detalhe Campos FY24'!$G$7:$G$740,'1. Status Resumo FY24'!$P62,'2. Status Detalhe Campos FY24'!$C$7:$C$740,'1. Status Resumo FY24'!$G$46,'2. Status Detalhe Campos FY24'!$D$7:$D$740,"2. Campo",'2. Status Detalhe Campos FY24'!$U$7:$U$740,"*Novo Plano*")
+COUNTIFS('2. Status Detalhe Campos FY24'!$G$7:$G$740,'1. Status Resumo FY24'!$P62,'2. Status Detalhe Campos FY24'!$C$7:$C$740,'1. Status Resumo FY24'!$H$46,'2. Status Detalhe Campos FY24'!$D$7:$D$740,"2. Campo",'2. Status Detalhe Campos FY24'!$U$7:$U$740,"*Novo Plano*")</f>
        <v>0</v>
      </c>
      <c r="V64" s="447">
        <f t="shared" si="6"/>
        <v>0</v>
      </c>
      <c r="X64" s="532"/>
      <c r="Y64" s="533"/>
      <c r="Z64" s="533"/>
      <c r="AA64" s="533"/>
      <c r="AB64" s="533"/>
      <c r="AC64" s="533"/>
      <c r="AD64" s="533"/>
      <c r="AE64" s="533"/>
      <c r="AF64" s="534"/>
      <c r="AG64" s="163"/>
      <c r="AH64" s="116"/>
    </row>
    <row r="65" spans="1:34" ht="17.899999999999999" customHeight="1">
      <c r="A65" s="116"/>
      <c r="B65" s="121"/>
      <c r="D65" s="538"/>
      <c r="E65" s="538"/>
      <c r="P65" s="373" t="s">
        <v>614</v>
      </c>
      <c r="Q65" s="373"/>
      <c r="R65" s="373"/>
      <c r="S65" s="373"/>
      <c r="T65" s="373">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0</v>
      </c>
      <c r="U65" s="373">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3">
        <f t="shared" si="6"/>
        <v>0</v>
      </c>
      <c r="X65" s="532"/>
      <c r="Y65" s="533"/>
      <c r="Z65" s="533"/>
      <c r="AA65" s="533"/>
      <c r="AB65" s="533"/>
      <c r="AC65" s="533"/>
      <c r="AD65" s="533"/>
      <c r="AE65" s="533"/>
      <c r="AF65" s="534"/>
      <c r="AG65" s="163"/>
      <c r="AH65" s="116"/>
    </row>
    <row r="66" spans="1:34" ht="17.899999999999999" customHeight="1">
      <c r="A66" s="116"/>
      <c r="B66" s="121"/>
      <c r="D66" s="371"/>
      <c r="E66" s="371"/>
      <c r="P66" s="375" t="s">
        <v>2357</v>
      </c>
      <c r="Q66" s="376"/>
      <c r="R66" s="376"/>
      <c r="S66" s="376"/>
      <c r="T66" s="446">
        <f>COUNTIFS('2. Status Detalhe Campos FY24'!$H$7:$H$740,'1. Status Resumo FY24'!$P65,'2. Status Detalhe Campos FY24'!$C$7:$C$740,'1. Status Resumo FY24'!$G$46,'2. Status Detalhe Campos FY24'!$D$7:$D$740,"2. Campo",'2. Status Detalhe Campos FY24'!$U$7:$U$740,"*Plano anterior*")
+COUNTIFS('2. Status Detalhe Campos FY24'!$H$7:$H$740,'1. Status Resumo FY24'!$P65,'2. Status Detalhe Campos FY24'!$C$7:$C$740,'1. Status Resumo FY24'!$H$46,'2. Status Detalhe Campos FY24'!$D$7:$D$740,"2. Campo",'2. Status Detalhe Campos FY24'!$U$7:$U$740,"*Plano anterior*")</f>
        <v>0</v>
      </c>
      <c r="U66" s="446">
        <f>COUNTIFS('2. Status Detalhe Campos FY24'!$G$7:$G$740,'1. Status Resumo FY24'!$P65,'2. Status Detalhe Campos FY24'!$C$7:$C$740,'1. Status Resumo FY24'!$G$46,'2. Status Detalhe Campos FY24'!$D$7:$D$740,"2. Campo",'2. Status Detalhe Campos FY24'!$U$7:$U$740,"*Plano anterior*")
+COUNTIFS('2. Status Detalhe Campos FY24'!$G$7:$G$740,'1. Status Resumo FY24'!$P65,'2. Status Detalhe Campos FY24'!$C$7:$C$740,'1. Status Resumo FY24'!$H$46,'2. Status Detalhe Campos FY24'!$D$7:$D$740,"2. Campo",'2. Status Detalhe Campos FY24'!$U$7:$U$740,"*Plano anterior*")</f>
        <v>0</v>
      </c>
      <c r="V66" s="446">
        <f t="shared" si="6"/>
        <v>0</v>
      </c>
      <c r="X66" s="532"/>
      <c r="Y66" s="533"/>
      <c r="Z66" s="533"/>
      <c r="AA66" s="533"/>
      <c r="AB66" s="533"/>
      <c r="AC66" s="533"/>
      <c r="AD66" s="533"/>
      <c r="AE66" s="533"/>
      <c r="AF66" s="534"/>
      <c r="AG66" s="163"/>
      <c r="AH66" s="116"/>
    </row>
    <row r="67" spans="1:34" ht="17.899999999999999" customHeight="1">
      <c r="A67" s="116"/>
      <c r="B67" s="121"/>
      <c r="D67" s="371"/>
      <c r="E67" s="371"/>
      <c r="P67" s="375" t="s">
        <v>2356</v>
      </c>
      <c r="Q67" s="378"/>
      <c r="R67" s="378"/>
      <c r="S67" s="378"/>
      <c r="T67" s="447">
        <f>COUNTIFS('2. Status Detalhe Campos FY24'!$H$7:$H$740,'1. Status Resumo FY24'!$P66,'2. Status Detalhe Campos FY24'!$C$7:$C$740,'1. Status Resumo FY24'!$G$46,'2. Status Detalhe Campos FY24'!$D$7:$D$740,"2. Campo",'2. Status Detalhe Campos FY24'!$U$7:$U$740,"*Novo Plano*")
+COUNTIFS('2. Status Detalhe Campos FY24'!$H$7:$H$740,'1. Status Resumo FY24'!$P66,'2. Status Detalhe Campos FY24'!$C$7:$C$740,'1. Status Resumo FY24'!$H$46,'2. Status Detalhe Campos FY24'!$D$7:$D$740,"2. Campo",'2. Status Detalhe Campos FY24'!$U$7:$U$740,"*Novo Plano*")</f>
        <v>0</v>
      </c>
      <c r="U67" s="447">
        <f>COUNTIFS('2. Status Detalhe Campos FY24'!$G$7:$G$740,'1. Status Resumo FY24'!$P65,'2. Status Detalhe Campos FY24'!$C$7:$C$740,'1. Status Resumo FY24'!$G$46,'2. Status Detalhe Campos FY24'!$D$7:$D$740,"2. Campo",'2. Status Detalhe Campos FY24'!$U$7:$U$740,"*Novo Plano*")
+COUNTIFS('2. Status Detalhe Campos FY24'!$G$7:$G$740,'1. Status Resumo FY24'!$P65,'2. Status Detalhe Campos FY24'!$C$7:$C$740,'1. Status Resumo FY24'!$H$46,'2. Status Detalhe Campos FY24'!$D$7:$D$740,"2. Campo",'2. Status Detalhe Campos FY24'!$U$7:$U$740,"*Novo Plano*")</f>
        <v>0</v>
      </c>
      <c r="V67" s="447">
        <f t="shared" si="6"/>
        <v>0</v>
      </c>
      <c r="X67" s="532"/>
      <c r="Y67" s="533"/>
      <c r="Z67" s="533"/>
      <c r="AA67" s="533"/>
      <c r="AB67" s="533"/>
      <c r="AC67" s="533"/>
      <c r="AD67" s="533"/>
      <c r="AE67" s="533"/>
      <c r="AF67" s="534"/>
      <c r="AG67" s="163"/>
      <c r="AH67" s="116"/>
    </row>
    <row r="68" spans="1:34">
      <c r="A68" s="116"/>
      <c r="B68" s="121"/>
      <c r="P68" s="373" t="s">
        <v>615</v>
      </c>
      <c r="Q68" s="373"/>
      <c r="R68" s="373" t="s">
        <v>616</v>
      </c>
      <c r="S68" s="373"/>
      <c r="T68" s="373">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3">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3">
        <f t="shared" si="6"/>
        <v>0</v>
      </c>
      <c r="X68" s="532"/>
      <c r="Y68" s="533"/>
      <c r="Z68" s="533"/>
      <c r="AA68" s="533"/>
      <c r="AB68" s="533"/>
      <c r="AC68" s="533"/>
      <c r="AD68" s="533"/>
      <c r="AE68" s="533"/>
      <c r="AF68" s="534"/>
      <c r="AG68" s="163"/>
      <c r="AH68" s="116"/>
    </row>
    <row r="69" spans="1:34">
      <c r="A69" s="116"/>
      <c r="B69" s="121"/>
      <c r="P69" s="375" t="s">
        <v>2357</v>
      </c>
      <c r="Q69" s="376"/>
      <c r="R69" s="376"/>
      <c r="S69" s="376"/>
      <c r="T69" s="446">
        <f>COUNTIFS('2. Status Detalhe Campos FY24'!$H$7:$H$740,'1. Status Resumo FY24'!$P68,'2. Status Detalhe Campos FY24'!$C$7:$C$740,'1. Status Resumo FY24'!$G$46,'2. Status Detalhe Campos FY24'!$D$7:$D$740,"2. Campo",'2. Status Detalhe Campos FY24'!$U$7:$U$740,"*Plano anterior*")
+COUNTIFS('2. Status Detalhe Campos FY24'!$H$7:$H$740,'1. Status Resumo FY24'!$P68,'2. Status Detalhe Campos FY24'!$C$7:$C$740,'1. Status Resumo FY24'!$H$46,'2. Status Detalhe Campos FY24'!$D$7:$D$740,"2. Campo",'2. Status Detalhe Campos FY24'!$U$7:$U$740,"*Plano anterior*")</f>
        <v>0</v>
      </c>
      <c r="U69" s="446">
        <f>COUNTIFS('2. Status Detalhe Campos FY24'!$G$7:$G$740,'1. Status Resumo FY24'!$P68,'2. Status Detalhe Campos FY24'!$C$7:$C$740,'1. Status Resumo FY24'!$G$46,'2. Status Detalhe Campos FY24'!$D$7:$D$740,"2. Campo",'2. Status Detalhe Campos FY24'!$U$7:$U$740,"*Plano anterior*")
+COUNTIFS('2. Status Detalhe Campos FY24'!$G$7:$G$740,'1. Status Resumo FY24'!$P68,'2. Status Detalhe Campos FY24'!$C$7:$C$740,'1. Status Resumo FY24'!$H$46,'2. Status Detalhe Campos FY24'!$D$7:$D$740,"2. Campo",'2. Status Detalhe Campos FY24'!$U$7:$U$740,"*Plano anterior*")</f>
        <v>0</v>
      </c>
      <c r="V69" s="446">
        <f t="shared" si="6"/>
        <v>0</v>
      </c>
      <c r="X69" s="532"/>
      <c r="Y69" s="533"/>
      <c r="Z69" s="533"/>
      <c r="AA69" s="533"/>
      <c r="AB69" s="533"/>
      <c r="AC69" s="533"/>
      <c r="AD69" s="533"/>
      <c r="AE69" s="533"/>
      <c r="AF69" s="534"/>
      <c r="AG69" s="163"/>
      <c r="AH69" s="116"/>
    </row>
    <row r="70" spans="1:34">
      <c r="A70" s="116"/>
      <c r="B70" s="121"/>
      <c r="P70" s="375" t="s">
        <v>2356</v>
      </c>
      <c r="Q70" s="378"/>
      <c r="R70" s="378"/>
      <c r="S70" s="378"/>
      <c r="T70" s="447">
        <f>COUNTIFS('2. Status Detalhe Campos FY24'!$H$7:$H$740,'1. Status Resumo FY24'!$P69,'2. Status Detalhe Campos FY24'!$C$7:$C$740,'1. Status Resumo FY24'!$G$46,'2. Status Detalhe Campos FY24'!$D$7:$D$740,"2. Campo",'2. Status Detalhe Campos FY24'!$U$7:$U$740,"*Novo Plano*")
+COUNTIFS('2. Status Detalhe Campos FY24'!$H$7:$H$740,'1. Status Resumo FY24'!$P69,'2. Status Detalhe Campos FY24'!$C$7:$C$740,'1. Status Resumo FY24'!$H$46,'2. Status Detalhe Campos FY24'!$D$7:$D$740,"2. Campo",'2. Status Detalhe Campos FY24'!$U$7:$U$740,"*Novo Plano*")</f>
        <v>0</v>
      </c>
      <c r="U70" s="447">
        <f>COUNTIFS('2. Status Detalhe Campos FY24'!$G$7:$G$740,'1. Status Resumo FY24'!$P68,'2. Status Detalhe Campos FY24'!$C$7:$C$740,'1. Status Resumo FY24'!$G$46,'2. Status Detalhe Campos FY24'!$D$7:$D$740,"2. Campo",'2. Status Detalhe Campos FY24'!$U$7:$U$740,"*Novo Plano*")
+COUNTIFS('2. Status Detalhe Campos FY24'!$G$7:$G$740,'1. Status Resumo FY24'!$P68,'2. Status Detalhe Campos FY24'!$C$7:$C$740,'1. Status Resumo FY24'!$H$46,'2. Status Detalhe Campos FY24'!$D$7:$D$740,"2. Campo",'2. Status Detalhe Campos FY24'!$U$7:$U$740,"*Novo Plano*")</f>
        <v>0</v>
      </c>
      <c r="V70" s="447">
        <f t="shared" si="6"/>
        <v>0</v>
      </c>
      <c r="X70" s="532"/>
      <c r="Y70" s="533"/>
      <c r="Z70" s="533"/>
      <c r="AA70" s="533"/>
      <c r="AB70" s="533"/>
      <c r="AC70" s="533"/>
      <c r="AD70" s="533"/>
      <c r="AE70" s="533"/>
      <c r="AF70" s="534"/>
      <c r="AG70" s="163"/>
      <c r="AH70" s="116"/>
    </row>
    <row r="71" spans="1:34">
      <c r="A71" s="116"/>
      <c r="B71" s="121"/>
      <c r="P71" s="373" t="s">
        <v>2320</v>
      </c>
      <c r="Q71" s="373"/>
      <c r="R71" s="373"/>
      <c r="S71" s="373"/>
      <c r="T71" s="373">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3</v>
      </c>
      <c r="U71" s="373">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3</v>
      </c>
      <c r="V71" s="373">
        <f t="shared" si="6"/>
        <v>0</v>
      </c>
      <c r="X71" s="532"/>
      <c r="Y71" s="533"/>
      <c r="Z71" s="533"/>
      <c r="AA71" s="533"/>
      <c r="AB71" s="533"/>
      <c r="AC71" s="533"/>
      <c r="AD71" s="533"/>
      <c r="AE71" s="533"/>
      <c r="AF71" s="534"/>
      <c r="AG71" s="163"/>
      <c r="AH71" s="116"/>
    </row>
    <row r="72" spans="1:34">
      <c r="A72" s="116"/>
      <c r="B72" s="121"/>
      <c r="P72" s="375" t="s">
        <v>2357</v>
      </c>
      <c r="Q72" s="376"/>
      <c r="R72" s="376"/>
      <c r="S72" s="376"/>
      <c r="T72" s="446">
        <f>COUNTIFS('2. Status Detalhe Campos FY24'!$H$7:$H$740,'1. Status Resumo FY24'!$P71,'2. Status Detalhe Campos FY24'!$C$7:$C$740,'1. Status Resumo FY24'!$G$46,'2. Status Detalhe Campos FY24'!$D$7:$D$740,"2. Campo",'2. Status Detalhe Campos FY24'!$U$7:$U$740,"*Plano anterior*")
+COUNTIFS('2. Status Detalhe Campos FY24'!$H$7:$H$740,'1. Status Resumo FY24'!$P71,'2. Status Detalhe Campos FY24'!$C$7:$C$740,'1. Status Resumo FY24'!$H$46,'2. Status Detalhe Campos FY24'!$D$7:$D$740,"2. Campo",'2. Status Detalhe Campos FY24'!$U$7:$U$740,"*Plano anterior*")</f>
        <v>3</v>
      </c>
      <c r="U72" s="446">
        <f>COUNTIFS('2. Status Detalhe Campos FY24'!$G$7:$G$740,'1. Status Resumo FY24'!$P71,'2. Status Detalhe Campos FY24'!$C$7:$C$740,'1. Status Resumo FY24'!$G$46,'2. Status Detalhe Campos FY24'!$D$7:$D$740,"2. Campo",'2. Status Detalhe Campos FY24'!$U$7:$U$740,"*Plano anterior*")
+COUNTIFS('2. Status Detalhe Campos FY24'!$G$7:$G$740,'1. Status Resumo FY24'!$P71,'2. Status Detalhe Campos FY24'!$C$7:$C$740,'1. Status Resumo FY24'!$H$46,'2. Status Detalhe Campos FY24'!$D$7:$D$740,"2. Campo",'2. Status Detalhe Campos FY24'!$U$7:$U$740,"*Plano anterior*")</f>
        <v>3</v>
      </c>
      <c r="V72" s="446">
        <f t="shared" si="6"/>
        <v>0</v>
      </c>
      <c r="X72" s="532"/>
      <c r="Y72" s="533"/>
      <c r="Z72" s="533"/>
      <c r="AA72" s="533"/>
      <c r="AB72" s="533"/>
      <c r="AC72" s="533"/>
      <c r="AD72" s="533"/>
      <c r="AE72" s="533"/>
      <c r="AF72" s="534"/>
      <c r="AG72" s="163"/>
      <c r="AH72" s="116"/>
    </row>
    <row r="73" spans="1:34">
      <c r="A73" s="116"/>
      <c r="B73" s="121"/>
      <c r="P73" s="375" t="s">
        <v>2356</v>
      </c>
      <c r="Q73" s="378"/>
      <c r="R73" s="378"/>
      <c r="S73" s="378"/>
      <c r="T73" s="447">
        <f>COUNTIFS('2. Status Detalhe Campos FY24'!$H$7:$H$740,'1. Status Resumo FY24'!$P72,'2. Status Detalhe Campos FY24'!$C$7:$C$740,'1. Status Resumo FY24'!$G$46,'2. Status Detalhe Campos FY24'!$D$7:$D$740,"2. Campo",'2. Status Detalhe Campos FY24'!$U$7:$U$740,"*Novo Plano*")
+COUNTIFS('2. Status Detalhe Campos FY24'!$H$7:$H$740,'1. Status Resumo FY24'!$P72,'2. Status Detalhe Campos FY24'!$C$7:$C$740,'1. Status Resumo FY24'!$H$46,'2. Status Detalhe Campos FY24'!$D$7:$D$740,"2. Campo",'2. Status Detalhe Campos FY24'!$U$7:$U$740,"*Novo Plano*")</f>
        <v>0</v>
      </c>
      <c r="U73" s="447">
        <f>COUNTIFS('2. Status Detalhe Campos FY24'!$G$7:$G$740,'1. Status Resumo FY24'!$P71,'2. Status Detalhe Campos FY24'!$C$7:$C$740,'1. Status Resumo FY24'!$G$46,'2. Status Detalhe Campos FY24'!$D$7:$D$740,"2. Campo",'2. Status Detalhe Campos FY24'!$U$7:$U$740,"*Novo Plano*")
+COUNTIFS('2. Status Detalhe Campos FY24'!$G$7:$G$740,'1. Status Resumo FY24'!$P71,'2. Status Detalhe Campos FY24'!$C$7:$C$740,'1. Status Resumo FY24'!$H$46,'2. Status Detalhe Campos FY24'!$D$7:$D$740,"2. Campo",'2. Status Detalhe Campos FY24'!$U$7:$U$740,"*Novo Plano*")</f>
        <v>0</v>
      </c>
      <c r="V73" s="447">
        <f t="shared" si="6"/>
        <v>0</v>
      </c>
      <c r="X73" s="532"/>
      <c r="Y73" s="533"/>
      <c r="Z73" s="533"/>
      <c r="AA73" s="533"/>
      <c r="AB73" s="533"/>
      <c r="AC73" s="533"/>
      <c r="AD73" s="533"/>
      <c r="AE73" s="533"/>
      <c r="AF73" s="534"/>
      <c r="AG73" s="163"/>
      <c r="AH73" s="116"/>
    </row>
    <row r="74" spans="1:34">
      <c r="A74" s="116"/>
      <c r="B74" s="121"/>
      <c r="P74" s="373" t="s">
        <v>28</v>
      </c>
      <c r="Q74" s="373"/>
      <c r="R74" s="373"/>
      <c r="S74" s="373"/>
      <c r="T74" s="373">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3">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3">
        <f t="shared" si="6"/>
        <v>0</v>
      </c>
      <c r="X74" s="532"/>
      <c r="Y74" s="533"/>
      <c r="Z74" s="533"/>
      <c r="AA74" s="533"/>
      <c r="AB74" s="533"/>
      <c r="AC74" s="533"/>
      <c r="AD74" s="533"/>
      <c r="AE74" s="533"/>
      <c r="AF74" s="534"/>
      <c r="AG74" s="163"/>
      <c r="AH74" s="116"/>
    </row>
    <row r="75" spans="1:34">
      <c r="A75" s="116"/>
      <c r="B75" s="121"/>
      <c r="P75" s="375" t="s">
        <v>2357</v>
      </c>
      <c r="Q75" s="376"/>
      <c r="R75" s="376"/>
      <c r="S75" s="376"/>
      <c r="T75" s="446">
        <f>COUNTIFS('2. Status Detalhe Campos FY24'!$H$7:$H$740,'1. Status Resumo FY24'!$P74,'2. Status Detalhe Campos FY24'!$C$7:$C$740,'1. Status Resumo FY24'!$G$46,'2. Status Detalhe Campos FY24'!$D$7:$D$740,"2. Campo",'2. Status Detalhe Campos FY24'!$U$7:$U$740,"*Plano anterior*")
+COUNTIFS('2. Status Detalhe Campos FY24'!$H$7:$H$740,'1. Status Resumo FY24'!$P74,'2. Status Detalhe Campos FY24'!$C$7:$C$740,'1. Status Resumo FY24'!$H$46,'2. Status Detalhe Campos FY24'!$D$7:$D$740,"2. Campo",'2. Status Detalhe Campos FY24'!$U$7:$U$740,"*Plano anterior*")</f>
        <v>0</v>
      </c>
      <c r="U75" s="446">
        <f>COUNTIFS('2. Status Detalhe Campos FY24'!$G$7:$G$740,'1. Status Resumo FY24'!$P74,'2. Status Detalhe Campos FY24'!$C$7:$C$740,'1. Status Resumo FY24'!$G$46,'2. Status Detalhe Campos FY24'!$D$7:$D$740,"2. Campo",'2. Status Detalhe Campos FY24'!$U$7:$U$740,"*Plano anterior*")
+COUNTIFS('2. Status Detalhe Campos FY24'!$G$7:$G$740,'1. Status Resumo FY24'!$P74,'2. Status Detalhe Campos FY24'!$C$7:$C$740,'1. Status Resumo FY24'!$H$46,'2. Status Detalhe Campos FY24'!$D$7:$D$740,"2. Campo",'2. Status Detalhe Campos FY24'!$U$7:$U$740,"*Plano anterior*")</f>
        <v>0</v>
      </c>
      <c r="V75" s="446">
        <f t="shared" si="6"/>
        <v>0</v>
      </c>
      <c r="X75" s="532"/>
      <c r="Y75" s="533"/>
      <c r="Z75" s="533"/>
      <c r="AA75" s="533"/>
      <c r="AB75" s="533"/>
      <c r="AC75" s="533"/>
      <c r="AD75" s="533"/>
      <c r="AE75" s="533"/>
      <c r="AF75" s="534"/>
      <c r="AG75" s="163"/>
      <c r="AH75" s="116"/>
    </row>
    <row r="76" spans="1:34">
      <c r="A76" s="116"/>
      <c r="B76" s="121"/>
      <c r="P76" s="379" t="s">
        <v>2356</v>
      </c>
      <c r="Q76" s="380"/>
      <c r="R76" s="380"/>
      <c r="S76" s="380"/>
      <c r="T76" s="448">
        <f>COUNTIFS('2. Status Detalhe Campos FY24'!$H$7:$H$740,'1. Status Resumo FY24'!$P75,'2. Status Detalhe Campos FY24'!$C$7:$C$740,'1. Status Resumo FY24'!$G$46,'2. Status Detalhe Campos FY24'!$D$7:$D$740,"2. Campo",'2. Status Detalhe Campos FY24'!$U$7:$U$740,"*Novo Plano*")
+COUNTIFS('2. Status Detalhe Campos FY24'!$H$7:$H$740,'1. Status Resumo FY24'!$P75,'2. Status Detalhe Campos FY24'!$C$7:$C$740,'1. Status Resumo FY24'!$H$46,'2. Status Detalhe Campos FY24'!$D$7:$D$740,"2. Campo",'2. Status Detalhe Campos FY24'!$U$7:$U$740,"*Novo Plano*")</f>
        <v>0</v>
      </c>
      <c r="U76" s="448">
        <f>COUNTIFS('2. Status Detalhe Campos FY24'!$G$7:$G$740,'1. Status Resumo FY24'!$P74,'2. Status Detalhe Campos FY24'!$C$7:$C$740,'1. Status Resumo FY24'!$G$46,'2. Status Detalhe Campos FY24'!$D$7:$D$740,"2. Campo",'2. Status Detalhe Campos FY24'!$U$7:$U$740,"*Novo Plano*")
+COUNTIFS('2. Status Detalhe Campos FY24'!$G$7:$G$740,'1. Status Resumo FY24'!$P74,'2. Status Detalhe Campos FY24'!$C$7:$C$740,'1. Status Resumo FY24'!$H$46,'2. Status Detalhe Campos FY24'!$D$7:$D$740,"2. Campo",'2. Status Detalhe Campos FY24'!$U$7:$U$740,"*Novo Plano*")</f>
        <v>0</v>
      </c>
      <c r="V76" s="448">
        <f t="shared" si="6"/>
        <v>0</v>
      </c>
      <c r="X76" s="532"/>
      <c r="Y76" s="533"/>
      <c r="Z76" s="533"/>
      <c r="AA76" s="533"/>
      <c r="AB76" s="533"/>
      <c r="AC76" s="533"/>
      <c r="AD76" s="533"/>
      <c r="AE76" s="533"/>
      <c r="AF76" s="534"/>
      <c r="AG76" s="163"/>
      <c r="AH76" s="116"/>
    </row>
    <row r="77" spans="1:34">
      <c r="A77" s="116"/>
      <c r="B77" s="121"/>
      <c r="P77" s="127" t="s">
        <v>2326</v>
      </c>
      <c r="T77" s="127">
        <f>+SUM(T50,T53,T56,T62,T65,T68,T71,T74,T59)</f>
        <v>208</v>
      </c>
      <c r="U77" s="127">
        <f>+SUM(U50,U53,U56,U62,U65,U68,U71,U74,U59)</f>
        <v>208</v>
      </c>
      <c r="V77" s="127">
        <f>+U77-T77</f>
        <v>0</v>
      </c>
      <c r="X77" s="532"/>
      <c r="Y77" s="533"/>
      <c r="Z77" s="533"/>
      <c r="AA77" s="533"/>
      <c r="AB77" s="533"/>
      <c r="AC77" s="533"/>
      <c r="AD77" s="533"/>
      <c r="AE77" s="533"/>
      <c r="AF77" s="534"/>
      <c r="AG77" s="163"/>
      <c r="AH77" s="116"/>
    </row>
    <row r="78" spans="1:34">
      <c r="A78" s="116"/>
      <c r="B78" s="121"/>
      <c r="P78" s="381" t="s">
        <v>2357</v>
      </c>
      <c r="T78" s="449">
        <f>+SUM(T51,T54,T57,T60,T63,T66,T69,T72,T75)</f>
        <v>208</v>
      </c>
      <c r="U78" s="449">
        <f>+SUM(U51,U54,U57,U60,U63,U66,U69,U72,U75)</f>
        <v>208</v>
      </c>
      <c r="V78" s="449">
        <f>+U78-T78</f>
        <v>0</v>
      </c>
      <c r="X78" s="532"/>
      <c r="Y78" s="533"/>
      <c r="Z78" s="533"/>
      <c r="AA78" s="533"/>
      <c r="AB78" s="533"/>
      <c r="AC78" s="533"/>
      <c r="AD78" s="533"/>
      <c r="AE78" s="533"/>
      <c r="AF78" s="534"/>
      <c r="AG78" s="163"/>
      <c r="AH78" s="116"/>
    </row>
    <row r="79" spans="1:34">
      <c r="A79" s="116"/>
      <c r="B79" s="121"/>
      <c r="P79" s="382" t="s">
        <v>2356</v>
      </c>
      <c r="Q79" s="130"/>
      <c r="R79" s="130"/>
      <c r="S79" s="130"/>
      <c r="T79" s="450">
        <f>+SUM(T52,T55,T58,T61,T64,T67,T70,T73,T76)</f>
        <v>0</v>
      </c>
      <c r="U79" s="450">
        <f>+SUM(U52,U55,U58,U61,U64,U67,U70,U73,U76)</f>
        <v>0</v>
      </c>
      <c r="V79" s="450">
        <f>+U79-T79</f>
        <v>0</v>
      </c>
      <c r="X79" s="532"/>
      <c r="Y79" s="533"/>
      <c r="Z79" s="533"/>
      <c r="AA79" s="533"/>
      <c r="AB79" s="533"/>
      <c r="AC79" s="533"/>
      <c r="AD79" s="533"/>
      <c r="AE79" s="533"/>
      <c r="AF79" s="534"/>
      <c r="AG79" s="163"/>
      <c r="AH79" s="116"/>
    </row>
    <row r="80" spans="1:34">
      <c r="A80" s="116"/>
      <c r="B80" s="121"/>
      <c r="T80" s="127"/>
      <c r="U80" s="127"/>
      <c r="X80" s="532"/>
      <c r="Y80" s="533"/>
      <c r="Z80" s="533"/>
      <c r="AA80" s="533"/>
      <c r="AB80" s="533"/>
      <c r="AC80" s="533"/>
      <c r="AD80" s="533"/>
      <c r="AE80" s="533"/>
      <c r="AF80" s="534"/>
      <c r="AG80" s="163"/>
      <c r="AH80" s="116"/>
    </row>
    <row r="81" spans="1:34">
      <c r="A81" s="116"/>
      <c r="B81" s="121"/>
      <c r="G81" s="129" t="s">
        <v>617</v>
      </c>
      <c r="H81" s="130"/>
      <c r="I81" s="130"/>
      <c r="J81" s="130"/>
      <c r="K81" s="130"/>
      <c r="L81" s="130"/>
      <c r="M81" s="130"/>
      <c r="P81" s="129" t="s">
        <v>618</v>
      </c>
      <c r="Q81" s="130"/>
      <c r="R81" s="130"/>
      <c r="S81" s="130"/>
      <c r="T81" s="130"/>
      <c r="U81" s="130"/>
      <c r="V81" s="130"/>
      <c r="X81" s="532"/>
      <c r="Y81" s="533"/>
      <c r="Z81" s="533"/>
      <c r="AA81" s="533"/>
      <c r="AB81" s="533"/>
      <c r="AC81" s="533"/>
      <c r="AD81" s="533"/>
      <c r="AE81" s="533"/>
      <c r="AF81" s="534"/>
      <c r="AG81" s="163"/>
      <c r="AH81" s="116"/>
    </row>
    <row r="82" spans="1:34">
      <c r="A82" s="116"/>
      <c r="B82" s="121"/>
      <c r="F82" s="159" t="s">
        <v>619</v>
      </c>
      <c r="G82" s="25" t="s">
        <v>620</v>
      </c>
      <c r="L82" s="161" t="s">
        <v>621</v>
      </c>
      <c r="O82" s="159" t="s">
        <v>619</v>
      </c>
      <c r="P82" s="25" t="s">
        <v>622</v>
      </c>
      <c r="T82" s="161" t="s">
        <v>621</v>
      </c>
      <c r="X82" s="532"/>
      <c r="Y82" s="533"/>
      <c r="Z82" s="533"/>
      <c r="AA82" s="533"/>
      <c r="AB82" s="533"/>
      <c r="AC82" s="533"/>
      <c r="AD82" s="533"/>
      <c r="AE82" s="533"/>
      <c r="AF82" s="534"/>
      <c r="AG82" s="163"/>
      <c r="AH82" s="116"/>
    </row>
    <row r="83" spans="1:34">
      <c r="A83" s="116"/>
      <c r="B83" s="121"/>
      <c r="F83" s="159" t="s">
        <v>619</v>
      </c>
      <c r="G83" s="25" t="s">
        <v>623</v>
      </c>
      <c r="L83" s="161" t="s">
        <v>621</v>
      </c>
      <c r="O83" s="159" t="s">
        <v>619</v>
      </c>
      <c r="P83" s="25" t="s">
        <v>624</v>
      </c>
      <c r="T83" s="161" t="s">
        <v>621</v>
      </c>
      <c r="X83" s="532"/>
      <c r="Y83" s="533"/>
      <c r="Z83" s="533"/>
      <c r="AA83" s="533"/>
      <c r="AB83" s="533"/>
      <c r="AC83" s="533"/>
      <c r="AD83" s="533"/>
      <c r="AE83" s="533"/>
      <c r="AF83" s="534"/>
      <c r="AG83" s="163"/>
      <c r="AH83" s="116"/>
    </row>
    <row r="84" spans="1:34">
      <c r="A84" s="116"/>
      <c r="B84" s="121"/>
      <c r="F84" s="159" t="s">
        <v>619</v>
      </c>
      <c r="G84" s="25" t="s">
        <v>625</v>
      </c>
      <c r="L84" s="161" t="s">
        <v>621</v>
      </c>
      <c r="O84" s="159" t="s">
        <v>619</v>
      </c>
      <c r="P84" s="25" t="s">
        <v>626</v>
      </c>
      <c r="T84" s="164" t="s">
        <v>627</v>
      </c>
      <c r="X84" s="532"/>
      <c r="Y84" s="533"/>
      <c r="Z84" s="533"/>
      <c r="AA84" s="533"/>
      <c r="AB84" s="533"/>
      <c r="AC84" s="533"/>
      <c r="AD84" s="533"/>
      <c r="AE84" s="533"/>
      <c r="AF84" s="534"/>
      <c r="AG84" s="163"/>
      <c r="AH84" s="116"/>
    </row>
    <row r="85" spans="1:34">
      <c r="A85" s="116"/>
      <c r="B85" s="121"/>
      <c r="F85" s="159" t="s">
        <v>619</v>
      </c>
      <c r="G85" s="25" t="s">
        <v>628</v>
      </c>
      <c r="L85" s="161" t="s">
        <v>621</v>
      </c>
      <c r="O85" s="159"/>
      <c r="T85" s="164"/>
      <c r="X85" s="532"/>
      <c r="Y85" s="533"/>
      <c r="Z85" s="533"/>
      <c r="AA85" s="533"/>
      <c r="AB85" s="533"/>
      <c r="AC85" s="533"/>
      <c r="AD85" s="533"/>
      <c r="AE85" s="533"/>
      <c r="AF85" s="534"/>
      <c r="AG85" s="163"/>
      <c r="AH85" s="116"/>
    </row>
    <row r="86" spans="1:34">
      <c r="A86" s="116"/>
      <c r="B86" s="121"/>
      <c r="F86" s="159" t="s">
        <v>619</v>
      </c>
      <c r="G86" s="25" t="s">
        <v>629</v>
      </c>
      <c r="L86" s="161" t="s">
        <v>621</v>
      </c>
      <c r="O86" s="159"/>
      <c r="T86" s="164"/>
      <c r="X86" s="532"/>
      <c r="Y86" s="533"/>
      <c r="Z86" s="533"/>
      <c r="AA86" s="533"/>
      <c r="AB86" s="533"/>
      <c r="AC86" s="533"/>
      <c r="AD86" s="533"/>
      <c r="AE86" s="533"/>
      <c r="AF86" s="534"/>
      <c r="AG86" s="163"/>
      <c r="AH86" s="116"/>
    </row>
    <row r="87" spans="1:34">
      <c r="A87" s="116"/>
      <c r="B87" s="121"/>
      <c r="F87" s="159" t="s">
        <v>619</v>
      </c>
      <c r="G87" s="25" t="s">
        <v>630</v>
      </c>
      <c r="L87" s="485" t="s">
        <v>2429</v>
      </c>
      <c r="O87" s="159"/>
      <c r="T87" s="161"/>
      <c r="X87" s="532"/>
      <c r="Y87" s="533"/>
      <c r="Z87" s="533"/>
      <c r="AA87" s="533"/>
      <c r="AB87" s="533"/>
      <c r="AC87" s="533"/>
      <c r="AD87" s="533"/>
      <c r="AE87" s="533"/>
      <c r="AF87" s="534"/>
      <c r="AG87" s="163"/>
      <c r="AH87" s="116"/>
    </row>
    <row r="88" spans="1:34">
      <c r="A88" s="116"/>
      <c r="B88" s="121"/>
      <c r="O88" s="159"/>
      <c r="X88" s="535"/>
      <c r="Y88" s="536"/>
      <c r="Z88" s="536"/>
      <c r="AA88" s="536"/>
      <c r="AB88" s="536"/>
      <c r="AC88" s="536"/>
      <c r="AD88" s="536"/>
      <c r="AE88" s="536"/>
      <c r="AF88" s="537"/>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4"/>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99999999999999" customHeight="1">
      <c r="A95" s="116"/>
      <c r="B95" s="121"/>
      <c r="P95" s="374" t="s">
        <v>611</v>
      </c>
      <c r="Q95" s="374"/>
      <c r="R95" s="374"/>
      <c r="S95" s="374"/>
      <c r="T95" s="374">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4">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16</v>
      </c>
      <c r="V95" s="374">
        <f t="shared" ref="V95:V121" si="7">U95-T95</f>
        <v>0</v>
      </c>
      <c r="W95" s="156"/>
      <c r="X95" s="541" t="s">
        <v>2453</v>
      </c>
      <c r="Y95" s="542"/>
      <c r="Z95" s="542"/>
      <c r="AA95" s="542"/>
      <c r="AB95" s="542"/>
      <c r="AC95" s="542"/>
      <c r="AD95" s="542"/>
      <c r="AE95" s="542"/>
      <c r="AF95" s="543"/>
      <c r="AG95" s="157" t="s">
        <v>631</v>
      </c>
      <c r="AH95" s="116"/>
    </row>
    <row r="96" spans="1:34" ht="17.899999999999999" customHeight="1">
      <c r="A96" s="116"/>
      <c r="B96" s="121"/>
      <c r="P96" s="375" t="s">
        <v>2366</v>
      </c>
      <c r="Q96" s="376"/>
      <c r="R96" s="376"/>
      <c r="S96" s="376"/>
      <c r="T96" s="446">
        <f>COUNTIFS('2. Status Detalhe Campos FY24'!$H$7:$H$740,'1. Status Resumo FY24'!$P95,'2. Status Detalhe Campos FY24'!$C$7:$C$740,'1. Status Resumo FY24'!$G$91,'2. Status Detalhe Campos FY24'!$D$7:$D$740,"2. Campo",'2. Status Detalhe Campos FY24'!$U$7:$U$740,"*Plano anterior*")
+COUNTIFS('2. Status Detalhe Campos FY24'!$H$7:$H$740,'1. Status Resumo FY24'!$P95,'2. Status Detalhe Campos FY24'!$C$7:$C$740,'1. Status Resumo FY24'!$H$91,'2. Status Detalhe Campos FY24'!$D$7:$D$740,"2. Campo",'2. Status Detalhe Campos FY24'!$U$7:$U$740,"*Plano anterior*")</f>
        <v>16</v>
      </c>
      <c r="U96" s="446">
        <f>COUNTIFS('2. Status Detalhe Campos FY24'!$G$7:$G$740,'1. Status Resumo FY24'!$P95,'2. Status Detalhe Campos FY24'!$C$7:$C$740,'1. Status Resumo FY24'!$G$91,'2. Status Detalhe Campos FY24'!$D$7:$D$740,"2. Campo",'2. Status Detalhe Campos FY24'!$U$7:$U$740,"*Plano anterior*")
+COUNTIFS('2. Status Detalhe Campos FY24'!$G$7:$G$740,'1. Status Resumo FY24'!$P95,'2. Status Detalhe Campos FY24'!$C$7:$C$740,'1. Status Resumo FY24'!$H$91,'2. Status Detalhe Campos FY24'!$D$7:$D$740,"2. Campo",'2. Status Detalhe Campos FY24'!$U$7:$U$740,"*Plano anterior*")</f>
        <v>16</v>
      </c>
      <c r="V96" s="446">
        <f t="shared" si="7"/>
        <v>0</v>
      </c>
      <c r="W96" s="156"/>
      <c r="X96" s="544"/>
      <c r="Y96" s="545"/>
      <c r="Z96" s="545"/>
      <c r="AA96" s="545"/>
      <c r="AB96" s="545"/>
      <c r="AC96" s="545"/>
      <c r="AD96" s="545"/>
      <c r="AE96" s="545"/>
      <c r="AF96" s="546"/>
      <c r="AG96" s="157"/>
      <c r="AH96" s="116"/>
    </row>
    <row r="97" spans="1:34" ht="17.25" customHeight="1">
      <c r="A97" s="116"/>
      <c r="B97" s="121"/>
      <c r="P97" s="375" t="s">
        <v>2356</v>
      </c>
      <c r="Q97" s="376"/>
      <c r="R97" s="376"/>
      <c r="S97" s="376"/>
      <c r="T97" s="446">
        <f>COUNTIFS('2. Status Detalhe Campos FY24'!$H$7:$H$740,'1. Status Resumo FY24'!$P95,'2. Status Detalhe Campos FY24'!$C$7:$C$740,'1. Status Resumo FY24'!$G$91,'2. Status Detalhe Campos FY24'!$D$7:$D$740,"2. Campo",'2. Status Detalhe Campos FY24'!$U$7:$U$740,"*Novo Plano*")
+COUNTIFS('2. Status Detalhe Campos FY24'!$H$7:$H$740,'1. Status Resumo FY24'!$P95,'2. Status Detalhe Campos FY24'!$C$7:$C$740,'1. Status Resumo FY24'!$H$91,'2. Status Detalhe Campos FY24'!$D$7:$D$740,"2. Campo",'2. Status Detalhe Campos FY24'!$U$7:$U$740,"*Novo Plano*")</f>
        <v>0</v>
      </c>
      <c r="U97" s="446">
        <f>COUNTIFS('2. Status Detalhe Campos FY24'!$G$7:$G$740,'1. Status Resumo FY24'!$P95,'2. Status Detalhe Campos FY24'!$C$7:$C$740,'1. Status Resumo FY24'!$G$91,'2. Status Detalhe Campos FY24'!$D$7:$D$740,"2. Campo",'2. Status Detalhe Campos FY24'!$U$7:$U$740,"*Novo Plano*")
+COUNTIFS('2. Status Detalhe Campos FY24'!$G$7:$G$740,'1. Status Resumo FY24'!$P95,'2. Status Detalhe Campos FY24'!$C$7:$C$740,'1. Status Resumo FY24'!$H$91,'2. Status Detalhe Campos FY24'!$D$7:$D$740,"2. Campo",'2. Status Detalhe Campos FY24'!$U$7:$U$740,"*Novo Plano*")</f>
        <v>0</v>
      </c>
      <c r="V97" s="446">
        <f t="shared" si="7"/>
        <v>0</v>
      </c>
      <c r="W97" s="156"/>
      <c r="X97" s="544"/>
      <c r="Y97" s="545"/>
      <c r="Z97" s="545"/>
      <c r="AA97" s="545"/>
      <c r="AB97" s="545"/>
      <c r="AC97" s="545"/>
      <c r="AD97" s="545"/>
      <c r="AE97" s="545"/>
      <c r="AF97" s="546"/>
      <c r="AG97" s="157"/>
      <c r="AH97" s="116"/>
    </row>
    <row r="98" spans="1:34">
      <c r="A98" s="116"/>
      <c r="B98" s="121"/>
      <c r="P98" s="373" t="s">
        <v>612</v>
      </c>
      <c r="Q98" s="373"/>
      <c r="R98" s="373"/>
      <c r="S98" s="373"/>
      <c r="T98" s="373">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225</v>
      </c>
      <c r="U98" s="373">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3">
        <f t="shared" si="7"/>
        <v>0</v>
      </c>
      <c r="W98" s="156"/>
      <c r="X98" s="544"/>
      <c r="Y98" s="545"/>
      <c r="Z98" s="545"/>
      <c r="AA98" s="545"/>
      <c r="AB98" s="545"/>
      <c r="AC98" s="545"/>
      <c r="AD98" s="545"/>
      <c r="AE98" s="545"/>
      <c r="AF98" s="546"/>
      <c r="AG98" s="157"/>
      <c r="AH98" s="116"/>
    </row>
    <row r="99" spans="1:34">
      <c r="A99" s="116"/>
      <c r="B99" s="121"/>
      <c r="P99" s="375" t="s">
        <v>2366</v>
      </c>
      <c r="Q99" s="376"/>
      <c r="R99" s="376"/>
      <c r="S99" s="376"/>
      <c r="T99" s="446">
        <f>COUNTIFS('2. Status Detalhe Campos FY24'!$H$7:$H$740,'1. Status Resumo FY24'!$P98,'2. Status Detalhe Campos FY24'!$C$7:$C$740,'1. Status Resumo FY24'!$G$91,'2. Status Detalhe Campos FY24'!$D$7:$D$740,"2. Campo",'2. Status Detalhe Campos FY24'!$U$7:$U$740,"*Plano anterior*")
+COUNTIFS('2. Status Detalhe Campos FY24'!$H$7:$H$740,'1. Status Resumo FY24'!$P98,'2. Status Detalhe Campos FY24'!$C$7:$C$740,'1. Status Resumo FY24'!$H$91,'2. Status Detalhe Campos FY24'!$D$7:$D$740,"2. Campo",'2. Status Detalhe Campos FY24'!$U$7:$U$740,"*Plano anterior*")</f>
        <v>200</v>
      </c>
      <c r="U99" s="446">
        <f>COUNTIFS('2. Status Detalhe Campos FY24'!$G$7:$G$740,'1. Status Resumo FY24'!$P98,'2. Status Detalhe Campos FY24'!$C$7:$C$740,'1. Status Resumo FY24'!$G$91,'2. Status Detalhe Campos FY24'!$D$7:$D$740,"2. Campo",'2. Status Detalhe Campos FY24'!$U$7:$U$740,"*Plano anterior*")
+COUNTIFS('2. Status Detalhe Campos FY24'!$G$7:$G$740,'1. Status Resumo FY24'!$P98,'2. Status Detalhe Campos FY24'!$C$7:$C$740,'1. Status Resumo FY24'!$H$91,'2. Status Detalhe Campos FY24'!$D$7:$D$740,"2. Campo",'2. Status Detalhe Campos FY24'!$U$7:$U$740,"*Plano anterior*")</f>
        <v>200</v>
      </c>
      <c r="V99" s="446">
        <f t="shared" si="7"/>
        <v>0</v>
      </c>
      <c r="W99" s="156"/>
      <c r="X99" s="544"/>
      <c r="Y99" s="545"/>
      <c r="Z99" s="545"/>
      <c r="AA99" s="545"/>
      <c r="AB99" s="545"/>
      <c r="AC99" s="545"/>
      <c r="AD99" s="545"/>
      <c r="AE99" s="545"/>
      <c r="AF99" s="546"/>
      <c r="AG99" s="157"/>
      <c r="AH99" s="116"/>
    </row>
    <row r="100" spans="1:34">
      <c r="A100" s="116"/>
      <c r="B100" s="121"/>
      <c r="P100" s="375" t="s">
        <v>2356</v>
      </c>
      <c r="Q100" s="378"/>
      <c r="R100" s="378"/>
      <c r="S100" s="378"/>
      <c r="T100" s="447">
        <f>COUNTIFS('2. Status Detalhe Campos FY24'!$H$7:$H$740,'1. Status Resumo FY24'!$P98,'2. Status Detalhe Campos FY24'!$C$7:$C$740,'1. Status Resumo FY24'!$G$91,'2. Status Detalhe Campos FY24'!$D$7:$D$740,"2. Campo",'2. Status Detalhe Campos FY24'!$U$7:$U$740,"*Novo Plano*")
+COUNTIFS('2. Status Detalhe Campos FY24'!$H$7:$H$740,'1. Status Resumo FY24'!$P98,'2. Status Detalhe Campos FY24'!$C$7:$C$740,'1. Status Resumo FY24'!$H$91,'2. Status Detalhe Campos FY24'!$D$7:$D$740,"2. Campo",'2. Status Detalhe Campos FY24'!$U$7:$U$740,"*Novo Plano*")</f>
        <v>25</v>
      </c>
      <c r="U100" s="447">
        <f>COUNTIFS('2. Status Detalhe Campos FY24'!$G$7:$G$740,'1. Status Resumo FY24'!$P98,'2. Status Detalhe Campos FY24'!$C$7:$C$740,'1. Status Resumo FY24'!$G$91,'2. Status Detalhe Campos FY24'!$D$7:$D$740,"2. Campo",'2. Status Detalhe Campos FY24'!$U$7:$U$740,"*Novo Plano*")
+COUNTIFS('2. Status Detalhe Campos FY24'!$G$7:$G$740,'1. Status Resumo FY24'!$P98,'2. Status Detalhe Campos FY24'!$C$7:$C$740,'1. Status Resumo FY24'!$H$91,'2. Status Detalhe Campos FY24'!$D$7:$D$740,"2. Campo",'2. Status Detalhe Campos FY24'!$U$7:$U$740,"*Novo Plano*")</f>
        <v>25</v>
      </c>
      <c r="V100" s="447">
        <f t="shared" si="7"/>
        <v>0</v>
      </c>
      <c r="W100" s="156"/>
      <c r="X100" s="544"/>
      <c r="Y100" s="545"/>
      <c r="Z100" s="545"/>
      <c r="AA100" s="545"/>
      <c r="AB100" s="545"/>
      <c r="AC100" s="545"/>
      <c r="AD100" s="545"/>
      <c r="AE100" s="545"/>
      <c r="AF100" s="546"/>
      <c r="AG100" s="157"/>
      <c r="AH100" s="116"/>
    </row>
    <row r="101" spans="1:34">
      <c r="A101" s="116"/>
      <c r="B101" s="121"/>
      <c r="P101" s="373" t="s">
        <v>1840</v>
      </c>
      <c r="Q101" s="373"/>
      <c r="R101" s="373"/>
      <c r="S101" s="373"/>
      <c r="T101" s="373">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1</v>
      </c>
      <c r="U101" s="373">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3">
        <f t="shared" si="7"/>
        <v>0</v>
      </c>
      <c r="W101" s="156"/>
      <c r="X101" s="544"/>
      <c r="Y101" s="545"/>
      <c r="Z101" s="545"/>
      <c r="AA101" s="545"/>
      <c r="AB101" s="545"/>
      <c r="AC101" s="545"/>
      <c r="AD101" s="545"/>
      <c r="AE101" s="545"/>
      <c r="AF101" s="546"/>
      <c r="AG101" s="157"/>
      <c r="AH101" s="116"/>
    </row>
    <row r="102" spans="1:34">
      <c r="A102" s="116"/>
      <c r="B102" s="121"/>
      <c r="P102" s="375" t="s">
        <v>2366</v>
      </c>
      <c r="Q102" s="376"/>
      <c r="R102" s="376"/>
      <c r="S102" s="376"/>
      <c r="T102" s="446">
        <f>COUNTIFS('2. Status Detalhe Campos FY24'!$H$7:$H$740,'1. Status Resumo FY24'!$P101,'2. Status Detalhe Campos FY24'!$C$7:$C$740,'1. Status Resumo FY24'!$G$91,'2. Status Detalhe Campos FY24'!$D$7:$D$740,"2. Campo",'2. Status Detalhe Campos FY24'!$U$7:$U$740,"*Plano anterior*")
+COUNTIFS('2. Status Detalhe Campos FY24'!$H$7:$H$740,'1. Status Resumo FY24'!$P101,'2. Status Detalhe Campos FY24'!$C$7:$C$740,'1. Status Resumo FY24'!$H$91,'2. Status Detalhe Campos FY24'!$D$7:$D$740,"2. Campo",'2. Status Detalhe Campos FY24'!$U$7:$U$740,"*Plano anterior*")</f>
        <v>1</v>
      </c>
      <c r="U102" s="446">
        <f>COUNTIFS('2. Status Detalhe Campos FY24'!$G$7:$G$740,'1. Status Resumo FY24'!$P101,'2. Status Detalhe Campos FY24'!$C$7:$C$740,'1. Status Resumo FY24'!$G$91,'2. Status Detalhe Campos FY24'!$D$7:$D$740,"2. Campo",'2. Status Detalhe Campos FY24'!$U$7:$U$740,"*Plano anterior*")
+COUNTIFS('2. Status Detalhe Campos FY24'!$G$7:$G$740,'1. Status Resumo FY24'!$P101,'2. Status Detalhe Campos FY24'!$C$7:$C$740,'1. Status Resumo FY24'!$H$91,'2. Status Detalhe Campos FY24'!$D$7:$D$740,"2. Campo",'2. Status Detalhe Campos FY24'!$U$7:$U$740,"*Plano anterior*")</f>
        <v>1</v>
      </c>
      <c r="V102" s="446">
        <f t="shared" si="7"/>
        <v>0</v>
      </c>
      <c r="W102" s="156"/>
      <c r="X102" s="544"/>
      <c r="Y102" s="545"/>
      <c r="Z102" s="545"/>
      <c r="AA102" s="545"/>
      <c r="AB102" s="545"/>
      <c r="AC102" s="545"/>
      <c r="AD102" s="545"/>
      <c r="AE102" s="545"/>
      <c r="AF102" s="546"/>
      <c r="AG102" s="157"/>
      <c r="AH102" s="116"/>
    </row>
    <row r="103" spans="1:34">
      <c r="A103" s="116"/>
      <c r="B103" s="121"/>
      <c r="P103" s="375" t="s">
        <v>2356</v>
      </c>
      <c r="Q103" s="378"/>
      <c r="R103" s="378"/>
      <c r="S103" s="378"/>
      <c r="T103" s="447">
        <f>COUNTIFS('2. Status Detalhe Campos FY24'!$H$7:$H$740,'1. Status Resumo FY24'!$P101,'2. Status Detalhe Campos FY24'!$C$7:$C$740,'1. Status Resumo FY24'!$G$91,'2. Status Detalhe Campos FY24'!$D$7:$D$740,"2. Campo",'2. Status Detalhe Campos FY24'!$U$7:$U$740,"*Novo Plano*")
+COUNTIFS('2. Status Detalhe Campos FY24'!$H$7:$H$740,'1. Status Resumo FY24'!$P101,'2. Status Detalhe Campos FY24'!$C$7:$C$740,'1. Status Resumo FY24'!$H$91,'2. Status Detalhe Campos FY24'!$D$7:$D$740,"2. Campo",'2. Status Detalhe Campos FY24'!$U$7:$U$740,"*Novo Plano*")</f>
        <v>0</v>
      </c>
      <c r="U103" s="447">
        <f>COUNTIFS('2. Status Detalhe Campos FY24'!$G$7:$G$740,'1. Status Resumo FY24'!$P101,'2. Status Detalhe Campos FY24'!$C$7:$C$740,'1. Status Resumo FY24'!$G$91,'2. Status Detalhe Campos FY24'!$D$7:$D$740,"2. Campo",'2. Status Detalhe Campos FY24'!$U$7:$U$740,"*Novo Plano*")
+COUNTIFS('2. Status Detalhe Campos FY24'!$G$7:$G$740,'1. Status Resumo FY24'!$P101,'2. Status Detalhe Campos FY24'!$C$7:$C$740,'1. Status Resumo FY24'!$H$91,'2. Status Detalhe Campos FY24'!$D$7:$D$740,"2. Campo",'2. Status Detalhe Campos FY24'!$U$7:$U$740,"*Novo Plano*")</f>
        <v>0</v>
      </c>
      <c r="V103" s="447">
        <f t="shared" si="7"/>
        <v>0</v>
      </c>
      <c r="W103" s="156"/>
      <c r="X103" s="544"/>
      <c r="Y103" s="545"/>
      <c r="Z103" s="545"/>
      <c r="AA103" s="545"/>
      <c r="AB103" s="545"/>
      <c r="AC103" s="545"/>
      <c r="AD103" s="545"/>
      <c r="AE103" s="545"/>
      <c r="AF103" s="546"/>
      <c r="AG103" s="157"/>
      <c r="AH103" s="116"/>
    </row>
    <row r="104" spans="1:34" ht="18.75" customHeight="1">
      <c r="A104" s="116"/>
      <c r="B104" s="121"/>
      <c r="D104" s="427"/>
      <c r="E104" s="427"/>
      <c r="P104" s="373" t="s">
        <v>2319</v>
      </c>
      <c r="Q104" s="373"/>
      <c r="R104" s="373"/>
      <c r="S104" s="373"/>
      <c r="T104" s="373">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3">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3">
        <f t="shared" si="7"/>
        <v>0</v>
      </c>
      <c r="W104" s="156"/>
      <c r="X104" s="544"/>
      <c r="Y104" s="545"/>
      <c r="Z104" s="545"/>
      <c r="AA104" s="545"/>
      <c r="AB104" s="545"/>
      <c r="AC104" s="545"/>
      <c r="AD104" s="545"/>
      <c r="AE104" s="545"/>
      <c r="AF104" s="546"/>
      <c r="AG104" s="157"/>
      <c r="AH104" s="116"/>
    </row>
    <row r="105" spans="1:34" ht="18.75" customHeight="1">
      <c r="A105" s="116"/>
      <c r="B105" s="121"/>
      <c r="D105" s="427"/>
      <c r="E105" s="427"/>
      <c r="P105" s="375" t="s">
        <v>2366</v>
      </c>
      <c r="Q105" s="376"/>
      <c r="R105" s="376"/>
      <c r="S105" s="376"/>
      <c r="T105" s="446">
        <f>COUNTIFS('2. Status Detalhe Campos FY24'!$H$7:$H$740,'1. Status Resumo FY24'!$P104,'2. Status Detalhe Campos FY24'!$C$7:$C$740,'1. Status Resumo FY24'!$G$91,'2. Status Detalhe Campos FY24'!$D$7:$D$740,"2. Campo",'2. Status Detalhe Campos FY24'!$U$7:$U$740,"*Plano anterior*")
+COUNTIFS('2. Status Detalhe Campos FY24'!$H$7:$H$740,'1. Status Resumo FY24'!$P104,'2. Status Detalhe Campos FY24'!$C$7:$C$740,'1. Status Resumo FY24'!$H$91,'2. Status Detalhe Campos FY24'!$D$7:$D$740,"2. Campo",'2. Status Detalhe Campos FY24'!$U$7:$U$740,"*Plano anterior*")</f>
        <v>0</v>
      </c>
      <c r="U105" s="446">
        <f>COUNTIFS('2. Status Detalhe Campos FY24'!$G$7:$G$740,'1. Status Resumo FY24'!$P104,'2. Status Detalhe Campos FY24'!$C$7:$C$740,'1. Status Resumo FY24'!$G$91,'2. Status Detalhe Campos FY24'!$D$7:$D$740,"2. Campo",'2. Status Detalhe Campos FY24'!$U$7:$U$740,"*Plano anterior*")
+COUNTIFS('2. Status Detalhe Campos FY24'!$G$7:$G$740,'1. Status Resumo FY24'!$P104,'2. Status Detalhe Campos FY24'!$C$7:$C$740,'1. Status Resumo FY24'!$H$91,'2. Status Detalhe Campos FY24'!$D$7:$D$740,"2. Campo",'2. Status Detalhe Campos FY24'!$U$7:$U$740,"*Plano anterior*")</f>
        <v>0</v>
      </c>
      <c r="V105" s="446">
        <f t="shared" si="7"/>
        <v>0</v>
      </c>
      <c r="W105" s="156"/>
      <c r="X105" s="544"/>
      <c r="Y105" s="545"/>
      <c r="Z105" s="545"/>
      <c r="AA105" s="545"/>
      <c r="AB105" s="545"/>
      <c r="AC105" s="545"/>
      <c r="AD105" s="545"/>
      <c r="AE105" s="545"/>
      <c r="AF105" s="546"/>
      <c r="AG105" s="157"/>
      <c r="AH105" s="116"/>
    </row>
    <row r="106" spans="1:34" ht="18.75" customHeight="1">
      <c r="A106" s="116"/>
      <c r="B106" s="121"/>
      <c r="D106" s="427"/>
      <c r="E106" s="427"/>
      <c r="P106" s="375" t="s">
        <v>2356</v>
      </c>
      <c r="Q106" s="378"/>
      <c r="R106" s="378"/>
      <c r="S106" s="378"/>
      <c r="T106" s="447">
        <f>COUNTIFS('2. Status Detalhe Campos FY24'!$H$7:$H$740,'1. Status Resumo FY24'!$P104,'2. Status Detalhe Campos FY24'!$C$7:$C$740,'1. Status Resumo FY24'!$G$91,'2. Status Detalhe Campos FY24'!$D$7:$D$740,"2. Campo",'2. Status Detalhe Campos FY24'!$U$7:$U$740,"*Novo Plano*")
+COUNTIFS('2. Status Detalhe Campos FY24'!$H$7:$H$740,'1. Status Resumo FY24'!$P104,'2. Status Detalhe Campos FY24'!$C$7:$C$740,'1. Status Resumo FY24'!$H$91,'2. Status Detalhe Campos FY24'!$D$7:$D$740,"2. Campo",'2. Status Detalhe Campos FY24'!$U$7:$U$740,"*Novo Plano*")</f>
        <v>0</v>
      </c>
      <c r="U106" s="447">
        <f>COUNTIFS('2. Status Detalhe Campos FY24'!$G$7:$G$740,'1. Status Resumo FY24'!$P104,'2. Status Detalhe Campos FY24'!$C$7:$C$740,'1. Status Resumo FY24'!$G$91,'2. Status Detalhe Campos FY24'!$D$7:$D$740,"2. Campo",'2. Status Detalhe Campos FY24'!$U$7:$U$740,"*Novo Plano*")
+COUNTIFS('2. Status Detalhe Campos FY24'!$G$7:$G$740,'1. Status Resumo FY24'!$P104,'2. Status Detalhe Campos FY24'!$C$7:$C$740,'1. Status Resumo FY24'!$H$91,'2. Status Detalhe Campos FY24'!$D$7:$D$740,"2. Campo",'2. Status Detalhe Campos FY24'!$U$7:$U$740,"*Novo Plano*")</f>
        <v>0</v>
      </c>
      <c r="V106" s="447">
        <f t="shared" si="7"/>
        <v>0</v>
      </c>
      <c r="W106" s="156"/>
      <c r="X106" s="544"/>
      <c r="Y106" s="545"/>
      <c r="Z106" s="545"/>
      <c r="AA106" s="545"/>
      <c r="AB106" s="545"/>
      <c r="AC106" s="545"/>
      <c r="AD106" s="545"/>
      <c r="AE106" s="545"/>
      <c r="AF106" s="546"/>
      <c r="AG106" s="157"/>
      <c r="AH106" s="116"/>
    </row>
    <row r="107" spans="1:34" ht="17.899999999999999" customHeight="1">
      <c r="A107" s="116"/>
      <c r="B107" s="121"/>
      <c r="D107" s="528" t="str">
        <f>+"#"&amp;$U$122</f>
        <v>#302</v>
      </c>
      <c r="P107" s="373" t="s">
        <v>613</v>
      </c>
      <c r="Q107" s="373"/>
      <c r="R107" s="373"/>
      <c r="S107" s="373"/>
      <c r="T107" s="373">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3">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3">
        <f t="shared" si="7"/>
        <v>0</v>
      </c>
      <c r="W107" s="156"/>
      <c r="X107" s="544"/>
      <c r="Y107" s="545"/>
      <c r="Z107" s="545"/>
      <c r="AA107" s="545"/>
      <c r="AB107" s="545"/>
      <c r="AC107" s="545"/>
      <c r="AD107" s="545"/>
      <c r="AE107" s="545"/>
      <c r="AF107" s="546"/>
      <c r="AG107" s="157"/>
      <c r="AH107" s="116"/>
    </row>
    <row r="108" spans="1:34" ht="17.899999999999999" customHeight="1">
      <c r="A108" s="116"/>
      <c r="B108" s="121"/>
      <c r="D108" s="528"/>
      <c r="P108" s="375" t="s">
        <v>2366</v>
      </c>
      <c r="Q108" s="376"/>
      <c r="R108" s="376"/>
      <c r="S108" s="376"/>
      <c r="T108" s="446">
        <f>COUNTIFS('2. Status Detalhe Campos FY24'!$H$7:$H$740,'1. Status Resumo FY24'!$P107,'2. Status Detalhe Campos FY24'!$C$7:$C$740,'1. Status Resumo FY24'!$G$91,'2. Status Detalhe Campos FY24'!$D$7:$D$740,"2. Campo",'2. Status Detalhe Campos FY24'!$U$7:$U$740,"*Plano anterior*")
+COUNTIFS('2. Status Detalhe Campos FY24'!$H$7:$H$740,'1. Status Resumo FY24'!$P107,'2. Status Detalhe Campos FY24'!$C$7:$C$740,'1. Status Resumo FY24'!$H$91,'2. Status Detalhe Campos FY24'!$D$7:$D$740,"2. Campo",'2. Status Detalhe Campos FY24'!$U$7:$U$740,"*Plano anterior*")</f>
        <v>0</v>
      </c>
      <c r="U108" s="446">
        <f>COUNTIFS('2. Status Detalhe Campos FY24'!$G$7:$G$740,'1. Status Resumo FY24'!$P107,'2. Status Detalhe Campos FY24'!$C$7:$C$740,'1. Status Resumo FY24'!$G$91,'2. Status Detalhe Campos FY24'!$D$7:$D$740,"2. Campo",'2. Status Detalhe Campos FY24'!$U$7:$U$740,"*Plano anterior*")
+COUNTIFS('2. Status Detalhe Campos FY24'!$G$7:$G$740,'1. Status Resumo FY24'!$P107,'2. Status Detalhe Campos FY24'!$C$7:$C$740,'1. Status Resumo FY24'!$H$91,'2. Status Detalhe Campos FY24'!$D$7:$D$740,"2. Campo",'2. Status Detalhe Campos FY24'!$U$7:$U$740,"*Plano anterior*")</f>
        <v>0</v>
      </c>
      <c r="V108" s="446">
        <f t="shared" si="7"/>
        <v>0</v>
      </c>
      <c r="W108" s="156"/>
      <c r="X108" s="544"/>
      <c r="Y108" s="545"/>
      <c r="Z108" s="545"/>
      <c r="AA108" s="545"/>
      <c r="AB108" s="545"/>
      <c r="AC108" s="545"/>
      <c r="AD108" s="545"/>
      <c r="AE108" s="545"/>
      <c r="AF108" s="546"/>
      <c r="AG108" s="157"/>
      <c r="AH108" s="116"/>
    </row>
    <row r="109" spans="1:34" ht="17.899999999999999" customHeight="1">
      <c r="A109" s="116"/>
      <c r="B109" s="121"/>
      <c r="D109" s="528"/>
      <c r="P109" s="375" t="s">
        <v>2356</v>
      </c>
      <c r="Q109" s="378"/>
      <c r="R109" s="378"/>
      <c r="S109" s="378"/>
      <c r="T109" s="447">
        <f>COUNTIFS('2. Status Detalhe Campos FY24'!$H$7:$H$740,'1. Status Resumo FY24'!$P107,'2. Status Detalhe Campos FY24'!$C$7:$C$740,'1. Status Resumo FY24'!$G$91,'2. Status Detalhe Campos FY24'!$D$7:$D$740,"2. Campo",'2. Status Detalhe Campos FY24'!$U$7:$U$740,"*Novo Plano*")
+COUNTIFS('2. Status Detalhe Campos FY24'!$H$7:$H$740,'1. Status Resumo FY24'!$P107,'2. Status Detalhe Campos FY24'!$C$7:$C$740,'1. Status Resumo FY24'!$H$91,'2. Status Detalhe Campos FY24'!$D$7:$D$740,"2. Campo",'2. Status Detalhe Campos FY24'!$U$7:$U$740,"*Novo Plano*")</f>
        <v>0</v>
      </c>
      <c r="U109" s="447">
        <f>COUNTIFS('2. Status Detalhe Campos FY24'!$G$7:$G$740,'1. Status Resumo FY24'!$P107,'2. Status Detalhe Campos FY24'!$C$7:$C$740,'1. Status Resumo FY24'!$G$91,'2. Status Detalhe Campos FY24'!$D$7:$D$740,"2. Campo",'2. Status Detalhe Campos FY24'!$U$7:$U$740,"*Novo Plano*")
+COUNTIFS('2. Status Detalhe Campos FY24'!$G$7:$G$740,'1. Status Resumo FY24'!$P107,'2. Status Detalhe Campos FY24'!$C$7:$C$740,'1. Status Resumo FY24'!$H$91,'2. Status Detalhe Campos FY24'!$D$7:$D$740,"2. Campo",'2. Status Detalhe Campos FY24'!$U$7:$U$740,"*Novo Plano*")</f>
        <v>0</v>
      </c>
      <c r="V109" s="447">
        <f t="shared" si="7"/>
        <v>0</v>
      </c>
      <c r="W109" s="156"/>
      <c r="X109" s="544"/>
      <c r="Y109" s="545"/>
      <c r="Z109" s="545"/>
      <c r="AA109" s="545"/>
      <c r="AB109" s="545"/>
      <c r="AC109" s="545"/>
      <c r="AD109" s="545"/>
      <c r="AE109" s="545"/>
      <c r="AF109" s="546"/>
      <c r="AG109" s="157"/>
      <c r="AH109" s="116"/>
    </row>
    <row r="110" spans="1:34" ht="17.899999999999999" customHeight="1">
      <c r="A110" s="116"/>
      <c r="B110" s="121"/>
      <c r="D110" s="427"/>
      <c r="P110" s="373" t="s">
        <v>614</v>
      </c>
      <c r="Q110" s="373"/>
      <c r="R110" s="373"/>
      <c r="S110" s="373"/>
      <c r="T110" s="373">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3">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3">
        <f t="shared" si="7"/>
        <v>0</v>
      </c>
      <c r="W110" s="156"/>
      <c r="X110" s="544"/>
      <c r="Y110" s="545"/>
      <c r="Z110" s="545"/>
      <c r="AA110" s="545"/>
      <c r="AB110" s="545"/>
      <c r="AC110" s="545"/>
      <c r="AD110" s="545"/>
      <c r="AE110" s="545"/>
      <c r="AF110" s="546"/>
      <c r="AG110" s="157"/>
      <c r="AH110" s="116"/>
    </row>
    <row r="111" spans="1:34" ht="17.899999999999999" customHeight="1">
      <c r="A111" s="116"/>
      <c r="B111" s="121"/>
      <c r="D111" s="371"/>
      <c r="E111" s="371"/>
      <c r="P111" s="375" t="s">
        <v>2366</v>
      </c>
      <c r="Q111" s="376"/>
      <c r="R111" s="376"/>
      <c r="S111" s="376"/>
      <c r="T111" s="446">
        <f>COUNTIFS('2. Status Detalhe Campos FY24'!$H$7:$H$740,'1. Status Resumo FY24'!$P110,'2. Status Detalhe Campos FY24'!$C$7:$C$740,'1. Status Resumo FY24'!$G$91,'2. Status Detalhe Campos FY24'!$D$7:$D$740,"2. Campo",'2. Status Detalhe Campos FY24'!$U$7:$U$740,"*Plano anterior*")
+COUNTIFS('2. Status Detalhe Campos FY24'!$H$7:$H$740,'1. Status Resumo FY24'!$P110,'2. Status Detalhe Campos FY24'!$C$7:$C$740,'1. Status Resumo FY24'!$H$91,'2. Status Detalhe Campos FY24'!$D$7:$D$740,"2. Campo",'2. Status Detalhe Campos FY24'!$U$7:$U$740,"*Plano anterior*")</f>
        <v>0</v>
      </c>
      <c r="U111" s="446">
        <f>COUNTIFS('2. Status Detalhe Campos FY24'!$G$7:$G$740,'1. Status Resumo FY24'!$P110,'2. Status Detalhe Campos FY24'!$C$7:$C$740,'1. Status Resumo FY24'!$G$91,'2. Status Detalhe Campos FY24'!$D$7:$D$740,"2. Campo",'2. Status Detalhe Campos FY24'!$U$7:$U$740,"*Plano anterior*")
+COUNTIFS('2. Status Detalhe Campos FY24'!$G$7:$G$740,'1. Status Resumo FY24'!$P110,'2. Status Detalhe Campos FY24'!$C$7:$C$740,'1. Status Resumo FY24'!$H$91,'2. Status Detalhe Campos FY24'!$D$7:$D$740,"2. Campo",'2. Status Detalhe Campos FY24'!$U$7:$U$740,"*Plano anterior*")</f>
        <v>0</v>
      </c>
      <c r="V111" s="446">
        <f t="shared" si="7"/>
        <v>0</v>
      </c>
      <c r="W111" s="156"/>
      <c r="X111" s="544"/>
      <c r="Y111" s="545"/>
      <c r="Z111" s="545"/>
      <c r="AA111" s="545"/>
      <c r="AB111" s="545"/>
      <c r="AC111" s="545"/>
      <c r="AD111" s="545"/>
      <c r="AE111" s="545"/>
      <c r="AF111" s="546"/>
      <c r="AG111" s="157"/>
      <c r="AH111" s="116"/>
    </row>
    <row r="112" spans="1:34" ht="17.899999999999999" customHeight="1">
      <c r="A112" s="116"/>
      <c r="B112" s="121"/>
      <c r="D112" s="371"/>
      <c r="E112" s="371"/>
      <c r="P112" s="375" t="s">
        <v>2356</v>
      </c>
      <c r="Q112" s="378"/>
      <c r="R112" s="378"/>
      <c r="S112" s="378"/>
      <c r="T112" s="447">
        <f>COUNTIFS('2. Status Detalhe Campos FY24'!$H$7:$H$740,'1. Status Resumo FY24'!$P110,'2. Status Detalhe Campos FY24'!$C$7:$C$740,'1. Status Resumo FY24'!$G$91,'2. Status Detalhe Campos FY24'!$D$7:$D$740,"2. Campo",'2. Status Detalhe Campos FY24'!$U$7:$U$740,"*Novo Plano*")
+COUNTIFS('2. Status Detalhe Campos FY24'!$H$7:$H$740,'1. Status Resumo FY24'!$P110,'2. Status Detalhe Campos FY24'!$C$7:$C$740,'1. Status Resumo FY24'!$H$91,'2. Status Detalhe Campos FY24'!$D$7:$D$740,"2. Campo",'2. Status Detalhe Campos FY24'!$U$7:$U$740,"*Novo Plano*")</f>
        <v>0</v>
      </c>
      <c r="U112" s="447">
        <f>COUNTIFS('2. Status Detalhe Campos FY24'!$G$7:$G$740,'1. Status Resumo FY24'!$P110,'2. Status Detalhe Campos FY24'!$C$7:$C$740,'1. Status Resumo FY24'!$G$91,'2. Status Detalhe Campos FY24'!$D$7:$D$740,"2. Campo",'2. Status Detalhe Campos FY24'!$U$7:$U$740,"*Novo Plano*")
+COUNTIFS('2. Status Detalhe Campos FY24'!$G$7:$G$740,'1. Status Resumo FY24'!$P110,'2. Status Detalhe Campos FY24'!$C$7:$C$740,'1. Status Resumo FY24'!$H$91,'2. Status Detalhe Campos FY24'!$D$7:$D$740,"2. Campo",'2. Status Detalhe Campos FY24'!$U$7:$U$740,"*Novo Plano*")</f>
        <v>0</v>
      </c>
      <c r="V112" s="447">
        <f t="shared" si="7"/>
        <v>0</v>
      </c>
      <c r="W112" s="156"/>
      <c r="X112" s="544"/>
      <c r="Y112" s="545"/>
      <c r="Z112" s="545"/>
      <c r="AA112" s="545"/>
      <c r="AB112" s="545"/>
      <c r="AC112" s="545"/>
      <c r="AD112" s="545"/>
      <c r="AE112" s="545"/>
      <c r="AF112" s="546"/>
      <c r="AG112" s="157"/>
      <c r="AH112" s="116"/>
    </row>
    <row r="113" spans="1:34" ht="17.899999999999999" customHeight="1">
      <c r="A113" s="116"/>
      <c r="B113" s="121"/>
      <c r="P113" s="373" t="s">
        <v>615</v>
      </c>
      <c r="Q113" s="373"/>
      <c r="R113" s="373" t="s">
        <v>616</v>
      </c>
      <c r="S113" s="373"/>
      <c r="T113" s="373">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3">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3">
        <f t="shared" si="7"/>
        <v>0</v>
      </c>
      <c r="W113" s="156"/>
      <c r="X113" s="544"/>
      <c r="Y113" s="545"/>
      <c r="Z113" s="545"/>
      <c r="AA113" s="545"/>
      <c r="AB113" s="545"/>
      <c r="AC113" s="545"/>
      <c r="AD113" s="545"/>
      <c r="AE113" s="545"/>
      <c r="AF113" s="546"/>
      <c r="AG113" s="157"/>
      <c r="AH113" s="116"/>
    </row>
    <row r="114" spans="1:34" ht="17.899999999999999" customHeight="1">
      <c r="A114" s="116"/>
      <c r="B114" s="121"/>
      <c r="P114" s="375" t="s">
        <v>2366</v>
      </c>
      <c r="Q114" s="376"/>
      <c r="R114" s="376"/>
      <c r="S114" s="376"/>
      <c r="T114" s="446">
        <f>COUNTIFS('2. Status Detalhe Campos FY24'!$H$7:$H$740,'1. Status Resumo FY24'!$P113,'2. Status Detalhe Campos FY24'!$C$7:$C$740,'1. Status Resumo FY24'!$G$91,'2. Status Detalhe Campos FY24'!$D$7:$D$740,"2. Campo",'2. Status Detalhe Campos FY24'!$U$7:$U$740,"*Plano anterior*")
+COUNTIFS('2. Status Detalhe Campos FY24'!$H$7:$H$740,'1. Status Resumo FY24'!$P113,'2. Status Detalhe Campos FY24'!$C$7:$C$740,'1. Status Resumo FY24'!$H$91,'2. Status Detalhe Campos FY24'!$D$7:$D$740,"2. Campo",'2. Status Detalhe Campos FY24'!$U$7:$U$740,"*Plano anterior*")</f>
        <v>0</v>
      </c>
      <c r="U114" s="446">
        <f>COUNTIFS('2. Status Detalhe Campos FY24'!$G$7:$G$740,'1. Status Resumo FY24'!$P113,'2. Status Detalhe Campos FY24'!$C$7:$C$740,'1. Status Resumo FY24'!$G$91,'2. Status Detalhe Campos FY24'!$D$7:$D$740,"2. Campo",'2. Status Detalhe Campos FY24'!$U$7:$U$740,"*Plano anterior*")
+COUNTIFS('2. Status Detalhe Campos FY24'!$G$7:$G$740,'1. Status Resumo FY24'!$P113,'2. Status Detalhe Campos FY24'!$C$7:$C$740,'1. Status Resumo FY24'!$H$91,'2. Status Detalhe Campos FY24'!$D$7:$D$740,"2. Campo",'2. Status Detalhe Campos FY24'!$U$7:$U$740,"*Plano anterior*")</f>
        <v>0</v>
      </c>
      <c r="V114" s="446">
        <f t="shared" si="7"/>
        <v>0</v>
      </c>
      <c r="W114" s="156"/>
      <c r="X114" s="544"/>
      <c r="Y114" s="545"/>
      <c r="Z114" s="545"/>
      <c r="AA114" s="545"/>
      <c r="AB114" s="545"/>
      <c r="AC114" s="545"/>
      <c r="AD114" s="545"/>
      <c r="AE114" s="545"/>
      <c r="AF114" s="546"/>
      <c r="AG114" s="157"/>
      <c r="AH114" s="116"/>
    </row>
    <row r="115" spans="1:34" ht="17.899999999999999" customHeight="1">
      <c r="A115" s="116"/>
      <c r="B115" s="121"/>
      <c r="P115" s="375" t="s">
        <v>2356</v>
      </c>
      <c r="Q115" s="378"/>
      <c r="R115" s="378"/>
      <c r="S115" s="378"/>
      <c r="T115" s="447">
        <f>COUNTIFS('2. Status Detalhe Campos FY24'!$H$7:$H$740,'1. Status Resumo FY24'!$P113,'2. Status Detalhe Campos FY24'!$C$7:$C$740,'1. Status Resumo FY24'!$G$91,'2. Status Detalhe Campos FY24'!$D$7:$D$740,"2. Campo",'2. Status Detalhe Campos FY24'!$U$7:$U$740,"*Novo Plano*")
+COUNTIFS('2. Status Detalhe Campos FY24'!$H$7:$H$740,'1. Status Resumo FY24'!$P113,'2. Status Detalhe Campos FY24'!$C$7:$C$740,'1. Status Resumo FY24'!$H$91,'2. Status Detalhe Campos FY24'!$D$7:$D$740,"2. Campo",'2. Status Detalhe Campos FY24'!$U$7:$U$740,"*Novo Plano*")</f>
        <v>0</v>
      </c>
      <c r="U115" s="447">
        <f>COUNTIFS('2. Status Detalhe Campos FY24'!$G$7:$G$740,'1. Status Resumo FY24'!$P113,'2. Status Detalhe Campos FY24'!$C$7:$C$740,'1. Status Resumo FY24'!$G$91,'2. Status Detalhe Campos FY24'!$D$7:$D$740,"2. Campo",'2. Status Detalhe Campos FY24'!$U$7:$U$740,"*Novo Plano*")
+COUNTIFS('2. Status Detalhe Campos FY24'!$G$7:$G$740,'1. Status Resumo FY24'!$P113,'2. Status Detalhe Campos FY24'!$C$7:$C$740,'1. Status Resumo FY24'!$H$91,'2. Status Detalhe Campos FY24'!$D$7:$D$740,"2. Campo",'2. Status Detalhe Campos FY24'!$U$7:$U$740,"*Novo Plano*")</f>
        <v>0</v>
      </c>
      <c r="V115" s="447">
        <f t="shared" si="7"/>
        <v>0</v>
      </c>
      <c r="W115" s="156"/>
      <c r="X115" s="544"/>
      <c r="Y115" s="545"/>
      <c r="Z115" s="545"/>
      <c r="AA115" s="545"/>
      <c r="AB115" s="545"/>
      <c r="AC115" s="545"/>
      <c r="AD115" s="545"/>
      <c r="AE115" s="545"/>
      <c r="AF115" s="546"/>
      <c r="AG115" s="157"/>
      <c r="AH115" s="116"/>
    </row>
    <row r="116" spans="1:34">
      <c r="A116" s="116"/>
      <c r="B116" s="121"/>
      <c r="P116" s="373" t="s">
        <v>2320</v>
      </c>
      <c r="Q116" s="373"/>
      <c r="R116" s="373"/>
      <c r="S116" s="373"/>
      <c r="T116" s="373">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60</v>
      </c>
      <c r="U116" s="373">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60</v>
      </c>
      <c r="V116" s="373">
        <f t="shared" si="7"/>
        <v>0</v>
      </c>
      <c r="X116" s="544"/>
      <c r="Y116" s="545"/>
      <c r="Z116" s="545"/>
      <c r="AA116" s="545"/>
      <c r="AB116" s="545"/>
      <c r="AC116" s="545"/>
      <c r="AD116" s="545"/>
      <c r="AE116" s="545"/>
      <c r="AF116" s="546"/>
      <c r="AG116" s="157"/>
      <c r="AH116" s="116"/>
    </row>
    <row r="117" spans="1:34">
      <c r="A117" s="116"/>
      <c r="B117" s="121"/>
      <c r="P117" s="375" t="s">
        <v>2366</v>
      </c>
      <c r="Q117" s="376"/>
      <c r="R117" s="376"/>
      <c r="S117" s="376"/>
      <c r="T117" s="446">
        <f>COUNTIFS('2. Status Detalhe Campos FY24'!$H$7:$H$740,'1. Status Resumo FY24'!$P116,'2. Status Detalhe Campos FY24'!$C$7:$C$740,'1. Status Resumo FY24'!$G$91,'2. Status Detalhe Campos FY24'!$D$7:$D$740,"2. Campo",'2. Status Detalhe Campos FY24'!$U$7:$U$740,"*Plano anterior*")
+COUNTIFS('2. Status Detalhe Campos FY24'!$H$7:$H$740,'1. Status Resumo FY24'!$P116,'2. Status Detalhe Campos FY24'!$C$7:$C$740,'1. Status Resumo FY24'!$H$91,'2. Status Detalhe Campos FY24'!$D$7:$D$740,"2. Campo",'2. Status Detalhe Campos FY24'!$U$7:$U$740,"*Plano anterior*")</f>
        <v>60</v>
      </c>
      <c r="U117" s="446">
        <f>COUNTIFS('2. Status Detalhe Campos FY24'!$G$7:$G$740,'1. Status Resumo FY24'!$P116,'2. Status Detalhe Campos FY24'!$C$7:$C$740,'1. Status Resumo FY24'!$G$91,'2. Status Detalhe Campos FY24'!$D$7:$D$740,"2. Campo",'2. Status Detalhe Campos FY24'!$U$7:$U$740,"*Plano anterior*")
+COUNTIFS('2. Status Detalhe Campos FY24'!$G$7:$G$740,'1. Status Resumo FY24'!$P116,'2. Status Detalhe Campos FY24'!$C$7:$C$740,'1. Status Resumo FY24'!$H$91,'2. Status Detalhe Campos FY24'!$D$7:$D$740,"2. Campo",'2. Status Detalhe Campos FY24'!$U$7:$U$740,"*Plano anterior*")</f>
        <v>60</v>
      </c>
      <c r="V117" s="446">
        <f t="shared" si="7"/>
        <v>0</v>
      </c>
      <c r="X117" s="544"/>
      <c r="Y117" s="545"/>
      <c r="Z117" s="545"/>
      <c r="AA117" s="545"/>
      <c r="AB117" s="545"/>
      <c r="AC117" s="545"/>
      <c r="AD117" s="545"/>
      <c r="AE117" s="545"/>
      <c r="AF117" s="546"/>
      <c r="AG117" s="157"/>
      <c r="AH117" s="116"/>
    </row>
    <row r="118" spans="1:34">
      <c r="A118" s="116"/>
      <c r="B118" s="121"/>
      <c r="P118" s="375" t="s">
        <v>2356</v>
      </c>
      <c r="Q118" s="378"/>
      <c r="R118" s="378"/>
      <c r="S118" s="378"/>
      <c r="T118" s="447">
        <f>COUNTIFS('2. Status Detalhe Campos FY24'!$H$7:$H$740,'1. Status Resumo FY24'!$P116,'2. Status Detalhe Campos FY24'!$C$7:$C$740,'1. Status Resumo FY24'!$G$91,'2. Status Detalhe Campos FY24'!$D$7:$D$740,"2. Campo",'2. Status Detalhe Campos FY24'!$U$7:$U$740,"*Novo Plano*")
+COUNTIFS('2. Status Detalhe Campos FY24'!$H$7:$H$740,'1. Status Resumo FY24'!$P116,'2. Status Detalhe Campos FY24'!$C$7:$C$740,'1. Status Resumo FY24'!$H$91,'2. Status Detalhe Campos FY24'!$D$7:$D$740,"2. Campo",'2. Status Detalhe Campos FY24'!$U$7:$U$740,"*Novo Plano*")</f>
        <v>0</v>
      </c>
      <c r="U118" s="447">
        <f>COUNTIFS('2. Status Detalhe Campos FY24'!$G$7:$G$740,'1. Status Resumo FY24'!$P116,'2. Status Detalhe Campos FY24'!$C$7:$C$740,'1. Status Resumo FY24'!$G$91,'2. Status Detalhe Campos FY24'!$D$7:$D$740,"2. Campo",'2. Status Detalhe Campos FY24'!$U$7:$U$740,"*Novo Plano*")
+COUNTIFS('2. Status Detalhe Campos FY24'!$G$7:$G$740,'1. Status Resumo FY24'!$P116,'2. Status Detalhe Campos FY24'!$C$7:$C$740,'1. Status Resumo FY24'!$H$91,'2. Status Detalhe Campos FY24'!$D$7:$D$740,"2. Campo",'2. Status Detalhe Campos FY24'!$U$7:$U$740,"*Novo Plano*")</f>
        <v>0</v>
      </c>
      <c r="V118" s="447">
        <f t="shared" si="7"/>
        <v>0</v>
      </c>
      <c r="X118" s="544"/>
      <c r="Y118" s="545"/>
      <c r="Z118" s="545"/>
      <c r="AA118" s="545"/>
      <c r="AB118" s="545"/>
      <c r="AC118" s="545"/>
      <c r="AD118" s="545"/>
      <c r="AE118" s="545"/>
      <c r="AF118" s="546"/>
      <c r="AG118" s="157"/>
      <c r="AH118" s="116"/>
    </row>
    <row r="119" spans="1:34">
      <c r="A119" s="116"/>
      <c r="B119" s="121"/>
      <c r="P119" s="373" t="s">
        <v>28</v>
      </c>
      <c r="Q119" s="373"/>
      <c r="R119" s="373"/>
      <c r="S119" s="373"/>
      <c r="T119" s="373">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3">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3">
        <f t="shared" si="7"/>
        <v>0</v>
      </c>
      <c r="X119" s="544"/>
      <c r="Y119" s="545"/>
      <c r="Z119" s="545"/>
      <c r="AA119" s="545"/>
      <c r="AB119" s="545"/>
      <c r="AC119" s="545"/>
      <c r="AD119" s="545"/>
      <c r="AE119" s="545"/>
      <c r="AF119" s="546"/>
      <c r="AG119" s="157"/>
      <c r="AH119" s="116"/>
    </row>
    <row r="120" spans="1:34">
      <c r="A120" s="116"/>
      <c r="B120" s="121"/>
      <c r="P120" s="375" t="s">
        <v>2366</v>
      </c>
      <c r="Q120" s="376"/>
      <c r="R120" s="376"/>
      <c r="S120" s="376"/>
      <c r="T120" s="446">
        <f>COUNTIFS('2. Status Detalhe Campos FY24'!$H$7:$H$740,'1. Status Resumo FY24'!$P119,'2. Status Detalhe Campos FY24'!$C$7:$C$740,'1. Status Resumo FY24'!$G$91,'2. Status Detalhe Campos FY24'!$D$7:$D$740,"2. Campo",'2. Status Detalhe Campos FY24'!$U$7:$U$740,"*Plano anterior*")
+COUNTIFS('2. Status Detalhe Campos FY24'!$H$7:$H$740,'1. Status Resumo FY24'!$P119,'2. Status Detalhe Campos FY24'!$C$7:$C$740,'1. Status Resumo FY24'!$H$91,'2. Status Detalhe Campos FY24'!$D$7:$D$740,"2. Campo",'2. Status Detalhe Campos FY24'!$U$7:$U$740,"*Plano anterior*")</f>
        <v>0</v>
      </c>
      <c r="U120" s="446">
        <f>COUNTIFS('2. Status Detalhe Campos FY24'!$G$7:$G$740,'1. Status Resumo FY24'!$P119,'2. Status Detalhe Campos FY24'!$C$7:$C$740,'1. Status Resumo FY24'!$G$91,'2. Status Detalhe Campos FY24'!$D$7:$D$740,"2. Campo",'2. Status Detalhe Campos FY24'!$U$7:$U$740,"*Plano anterior*")
+COUNTIFS('2. Status Detalhe Campos FY24'!$G$7:$G$740,'1. Status Resumo FY24'!$P119,'2. Status Detalhe Campos FY24'!$C$7:$C$740,'1. Status Resumo FY24'!$H$91,'2. Status Detalhe Campos FY24'!$D$7:$D$740,"2. Campo",'2. Status Detalhe Campos FY24'!$U$7:$U$740,"*Plano anterior*")</f>
        <v>0</v>
      </c>
      <c r="V120" s="446">
        <f t="shared" si="7"/>
        <v>0</v>
      </c>
      <c r="X120" s="544"/>
      <c r="Y120" s="545"/>
      <c r="Z120" s="545"/>
      <c r="AA120" s="545"/>
      <c r="AB120" s="545"/>
      <c r="AC120" s="545"/>
      <c r="AD120" s="545"/>
      <c r="AE120" s="545"/>
      <c r="AF120" s="546"/>
      <c r="AG120" s="157"/>
      <c r="AH120" s="116"/>
    </row>
    <row r="121" spans="1:34">
      <c r="A121" s="116"/>
      <c r="B121" s="121"/>
      <c r="P121" s="379" t="s">
        <v>2356</v>
      </c>
      <c r="Q121" s="380"/>
      <c r="R121" s="380"/>
      <c r="S121" s="380"/>
      <c r="T121" s="448">
        <f>COUNTIFS('2. Status Detalhe Campos FY24'!$H$7:$H$740,'1. Status Resumo FY24'!$P119,'2. Status Detalhe Campos FY24'!$C$7:$C$740,'1. Status Resumo FY24'!$G$91,'2. Status Detalhe Campos FY24'!$D$7:$D$740,"2. Campo",'2. Status Detalhe Campos FY24'!$U$7:$U$740,"*Novo Plano*")
+COUNTIFS('2. Status Detalhe Campos FY24'!$H$7:$H$740,'1. Status Resumo FY24'!$P119,'2. Status Detalhe Campos FY24'!$C$7:$C$740,'1. Status Resumo FY24'!$H$91,'2. Status Detalhe Campos FY24'!$D$7:$D$740,"2. Campo",'2. Status Detalhe Campos FY24'!$U$7:$U$740,"*Novo Plano*")</f>
        <v>0</v>
      </c>
      <c r="U121" s="448">
        <f>COUNTIFS('2. Status Detalhe Campos FY24'!$G$7:$G$740,'1. Status Resumo FY24'!$P119,'2. Status Detalhe Campos FY24'!$C$7:$C$740,'1. Status Resumo FY24'!$G$91,'2. Status Detalhe Campos FY24'!$D$7:$D$740,"2. Campo",'2. Status Detalhe Campos FY24'!$U$7:$U$740,"*Novo Plano*")
+COUNTIFS('2. Status Detalhe Campos FY24'!$G$7:$G$740,'1. Status Resumo FY24'!$P119,'2. Status Detalhe Campos FY24'!$C$7:$C$740,'1. Status Resumo FY24'!$H$91,'2. Status Detalhe Campos FY24'!$D$7:$D$740,"2. Campo",'2. Status Detalhe Campos FY24'!$U$7:$U$740,"*Novo Plano*")</f>
        <v>0</v>
      </c>
      <c r="V121" s="448">
        <f t="shared" si="7"/>
        <v>0</v>
      </c>
      <c r="X121" s="544"/>
      <c r="Y121" s="545"/>
      <c r="Z121" s="545"/>
      <c r="AA121" s="545"/>
      <c r="AB121" s="545"/>
      <c r="AC121" s="545"/>
      <c r="AD121" s="545"/>
      <c r="AE121" s="545"/>
      <c r="AF121" s="546"/>
      <c r="AG121" s="157"/>
      <c r="AH121" s="116"/>
    </row>
    <row r="122" spans="1:34">
      <c r="A122" s="116"/>
      <c r="B122" s="121"/>
      <c r="P122" s="127" t="s">
        <v>2326</v>
      </c>
      <c r="T122" s="127">
        <f>+SUM(T95,T98,T101,T107,T110,T113,T116,T119,T104)</f>
        <v>302</v>
      </c>
      <c r="U122" s="127">
        <f>+SUM(U95,U98,U101,U107,U110,U113,U116,U119,U104)</f>
        <v>302</v>
      </c>
      <c r="V122" s="127">
        <f>+U122-T122</f>
        <v>0</v>
      </c>
      <c r="X122" s="544"/>
      <c r="Y122" s="545"/>
      <c r="Z122" s="545"/>
      <c r="AA122" s="545"/>
      <c r="AB122" s="545"/>
      <c r="AC122" s="545"/>
      <c r="AD122" s="545"/>
      <c r="AE122" s="545"/>
      <c r="AF122" s="546"/>
      <c r="AG122" s="157"/>
      <c r="AH122" s="116"/>
    </row>
    <row r="123" spans="1:34">
      <c r="A123" s="116"/>
      <c r="B123" s="121"/>
      <c r="P123" s="381" t="s">
        <v>2366</v>
      </c>
      <c r="T123" s="449">
        <f>+SUM(T96,T99,T102,T105,T108,T111,T114,T117,T120)</f>
        <v>277</v>
      </c>
      <c r="U123" s="449">
        <f>+SUM(U96,U99,U102,U105,U108,U111,U114,U117,U120)</f>
        <v>277</v>
      </c>
      <c r="V123" s="449">
        <f>+U123-T123</f>
        <v>0</v>
      </c>
      <c r="X123" s="544"/>
      <c r="Y123" s="545"/>
      <c r="Z123" s="545"/>
      <c r="AA123" s="545"/>
      <c r="AB123" s="545"/>
      <c r="AC123" s="545"/>
      <c r="AD123" s="545"/>
      <c r="AE123" s="545"/>
      <c r="AF123" s="546"/>
      <c r="AG123" s="157"/>
      <c r="AH123" s="116"/>
    </row>
    <row r="124" spans="1:34">
      <c r="A124" s="116"/>
      <c r="B124" s="121"/>
      <c r="P124" s="382" t="s">
        <v>2356</v>
      </c>
      <c r="Q124" s="130"/>
      <c r="R124" s="130"/>
      <c r="S124" s="130"/>
      <c r="T124" s="450">
        <f>+SUM(T97,T100,T103,T106,T109,T112,T115,T118,T121)</f>
        <v>25</v>
      </c>
      <c r="U124" s="450">
        <f>+SUM(U97,U100,U103,U106,U109,U112,U115,U118,U121)</f>
        <v>25</v>
      </c>
      <c r="V124" s="450">
        <f>+U124-T124</f>
        <v>0</v>
      </c>
      <c r="X124" s="544"/>
      <c r="Y124" s="545"/>
      <c r="Z124" s="545"/>
      <c r="AA124" s="545"/>
      <c r="AB124" s="545"/>
      <c r="AC124" s="545"/>
      <c r="AD124" s="545"/>
      <c r="AE124" s="545"/>
      <c r="AF124" s="546"/>
      <c r="AG124" s="157"/>
      <c r="AH124" s="116"/>
    </row>
    <row r="125" spans="1:34">
      <c r="A125" s="116"/>
      <c r="B125" s="121"/>
      <c r="X125" s="544"/>
      <c r="Y125" s="545"/>
      <c r="Z125" s="545"/>
      <c r="AA125" s="545"/>
      <c r="AB125" s="545"/>
      <c r="AC125" s="545"/>
      <c r="AD125" s="545"/>
      <c r="AE125" s="545"/>
      <c r="AF125" s="546"/>
      <c r="AG125" s="157"/>
      <c r="AH125" s="116"/>
    </row>
    <row r="126" spans="1:34">
      <c r="A126" s="116"/>
      <c r="B126" s="121"/>
      <c r="P126" s="129" t="s">
        <v>632</v>
      </c>
      <c r="Q126" s="130"/>
      <c r="R126" s="130"/>
      <c r="S126" s="130"/>
      <c r="T126" s="130"/>
      <c r="U126" s="130"/>
      <c r="V126" s="130"/>
      <c r="X126" s="544"/>
      <c r="Y126" s="545"/>
      <c r="Z126" s="545"/>
      <c r="AA126" s="545"/>
      <c r="AB126" s="545"/>
      <c r="AC126" s="545"/>
      <c r="AD126" s="545"/>
      <c r="AE126" s="545"/>
      <c r="AF126" s="546"/>
      <c r="AG126" s="157"/>
      <c r="AH126" s="116"/>
    </row>
    <row r="127" spans="1:34">
      <c r="A127" s="116"/>
      <c r="B127" s="121"/>
      <c r="O127" s="159" t="s">
        <v>619</v>
      </c>
      <c r="P127" s="25" t="s">
        <v>216</v>
      </c>
      <c r="T127" s="161" t="s">
        <v>621</v>
      </c>
      <c r="X127" s="544"/>
      <c r="Y127" s="545"/>
      <c r="Z127" s="545"/>
      <c r="AA127" s="545"/>
      <c r="AB127" s="545"/>
      <c r="AC127" s="545"/>
      <c r="AD127" s="545"/>
      <c r="AE127" s="545"/>
      <c r="AF127" s="546"/>
      <c r="AG127" s="157"/>
      <c r="AH127" s="116"/>
    </row>
    <row r="128" spans="1:34">
      <c r="A128" s="116"/>
      <c r="B128" s="121"/>
      <c r="O128" s="159" t="s">
        <v>619</v>
      </c>
      <c r="P128" s="25" t="s">
        <v>215</v>
      </c>
      <c r="T128" s="161" t="s">
        <v>621</v>
      </c>
      <c r="X128" s="544"/>
      <c r="Y128" s="545"/>
      <c r="Z128" s="545"/>
      <c r="AA128" s="545"/>
      <c r="AB128" s="545"/>
      <c r="AC128" s="545"/>
      <c r="AD128" s="545"/>
      <c r="AE128" s="545"/>
      <c r="AF128" s="546"/>
      <c r="AG128" s="157"/>
      <c r="AH128" s="116"/>
    </row>
    <row r="129" spans="1:34">
      <c r="A129" s="116"/>
      <c r="B129" s="121"/>
      <c r="O129" s="159" t="s">
        <v>619</v>
      </c>
      <c r="P129" s="25" t="s">
        <v>213</v>
      </c>
      <c r="T129" s="161" t="s">
        <v>621</v>
      </c>
      <c r="X129" s="544"/>
      <c r="Y129" s="545"/>
      <c r="Z129" s="545"/>
      <c r="AA129" s="545"/>
      <c r="AB129" s="545"/>
      <c r="AC129" s="545"/>
      <c r="AD129" s="545"/>
      <c r="AE129" s="545"/>
      <c r="AF129" s="546"/>
      <c r="AG129" s="157"/>
      <c r="AH129" s="116"/>
    </row>
    <row r="130" spans="1:34">
      <c r="A130" s="116"/>
      <c r="B130" s="121"/>
      <c r="O130" s="159" t="s">
        <v>619</v>
      </c>
      <c r="P130" s="25" t="s">
        <v>212</v>
      </c>
      <c r="T130" s="161" t="s">
        <v>621</v>
      </c>
      <c r="X130" s="544"/>
      <c r="Y130" s="545"/>
      <c r="Z130" s="545"/>
      <c r="AA130" s="545"/>
      <c r="AB130" s="545"/>
      <c r="AC130" s="545"/>
      <c r="AD130" s="545"/>
      <c r="AE130" s="545"/>
      <c r="AF130" s="546"/>
      <c r="AG130" s="157"/>
      <c r="AH130" s="116"/>
    </row>
    <row r="131" spans="1:34">
      <c r="A131" s="116"/>
      <c r="B131" s="121"/>
      <c r="O131" s="159" t="s">
        <v>619</v>
      </c>
      <c r="P131" s="25" t="s">
        <v>217</v>
      </c>
      <c r="T131" s="161" t="s">
        <v>621</v>
      </c>
      <c r="X131" s="544"/>
      <c r="Y131" s="545"/>
      <c r="Z131" s="545"/>
      <c r="AA131" s="545"/>
      <c r="AB131" s="545"/>
      <c r="AC131" s="545"/>
      <c r="AD131" s="545"/>
      <c r="AE131" s="545"/>
      <c r="AF131" s="546"/>
      <c r="AG131" s="157"/>
      <c r="AH131" s="116"/>
    </row>
    <row r="132" spans="1:34">
      <c r="A132" s="116"/>
      <c r="B132" s="121"/>
      <c r="O132" s="159" t="s">
        <v>619</v>
      </c>
      <c r="P132" s="25" t="s">
        <v>218</v>
      </c>
      <c r="T132" s="161" t="s">
        <v>621</v>
      </c>
      <c r="X132" s="544"/>
      <c r="Y132" s="545"/>
      <c r="Z132" s="545"/>
      <c r="AA132" s="545"/>
      <c r="AB132" s="545"/>
      <c r="AC132" s="545"/>
      <c r="AD132" s="545"/>
      <c r="AE132" s="545"/>
      <c r="AF132" s="546"/>
      <c r="AG132" s="157"/>
      <c r="AH132" s="116"/>
    </row>
    <row r="133" spans="1:34">
      <c r="A133" s="116"/>
      <c r="B133" s="121"/>
      <c r="O133" s="159" t="s">
        <v>619</v>
      </c>
      <c r="P133" s="25" t="s">
        <v>219</v>
      </c>
      <c r="T133" s="161" t="s">
        <v>621</v>
      </c>
      <c r="X133" s="544"/>
      <c r="Y133" s="545"/>
      <c r="Z133" s="545"/>
      <c r="AA133" s="545"/>
      <c r="AB133" s="545"/>
      <c r="AC133" s="545"/>
      <c r="AD133" s="545"/>
      <c r="AE133" s="545"/>
      <c r="AF133" s="546"/>
      <c r="AG133" s="157"/>
      <c r="AH133" s="116"/>
    </row>
    <row r="134" spans="1:34">
      <c r="A134" s="116"/>
      <c r="B134" s="121"/>
      <c r="O134" s="159" t="s">
        <v>619</v>
      </c>
      <c r="P134" s="25" t="s">
        <v>214</v>
      </c>
      <c r="T134" s="161" t="s">
        <v>621</v>
      </c>
      <c r="X134" s="544"/>
      <c r="Y134" s="545"/>
      <c r="Z134" s="545"/>
      <c r="AA134" s="545"/>
      <c r="AB134" s="545"/>
      <c r="AC134" s="545"/>
      <c r="AD134" s="545"/>
      <c r="AE134" s="545"/>
      <c r="AF134" s="546"/>
      <c r="AG134" s="157"/>
      <c r="AH134" s="116"/>
    </row>
    <row r="135" spans="1:34">
      <c r="A135" s="116"/>
      <c r="B135" s="121"/>
      <c r="O135" s="159" t="s">
        <v>619</v>
      </c>
      <c r="P135" s="25" t="s">
        <v>182</v>
      </c>
      <c r="T135" s="485" t="s">
        <v>2428</v>
      </c>
      <c r="X135" s="544"/>
      <c r="Y135" s="545"/>
      <c r="Z135" s="545"/>
      <c r="AA135" s="545"/>
      <c r="AB135" s="545"/>
      <c r="AC135" s="545"/>
      <c r="AD135" s="545"/>
      <c r="AE135" s="545"/>
      <c r="AF135" s="546"/>
      <c r="AG135" s="157"/>
      <c r="AH135" s="116"/>
    </row>
    <row r="136" spans="1:34">
      <c r="A136" s="116"/>
      <c r="B136" s="121"/>
      <c r="O136" s="159" t="s">
        <v>619</v>
      </c>
      <c r="P136" s="171" t="s">
        <v>2318</v>
      </c>
      <c r="T136" s="161" t="s">
        <v>621</v>
      </c>
      <c r="X136" s="544"/>
      <c r="Y136" s="545"/>
      <c r="Z136" s="545"/>
      <c r="AA136" s="545"/>
      <c r="AB136" s="545"/>
      <c r="AC136" s="545"/>
      <c r="AD136" s="545"/>
      <c r="AE136" s="545"/>
      <c r="AF136" s="546"/>
      <c r="AG136" s="157"/>
      <c r="AH136" s="116"/>
    </row>
    <row r="137" spans="1:34">
      <c r="A137" s="116"/>
      <c r="B137" s="121"/>
      <c r="O137" s="159" t="s">
        <v>619</v>
      </c>
      <c r="P137" s="171" t="s">
        <v>2317</v>
      </c>
      <c r="T137" s="161" t="s">
        <v>621</v>
      </c>
      <c r="X137" s="544"/>
      <c r="Y137" s="545"/>
      <c r="Z137" s="545"/>
      <c r="AA137" s="545"/>
      <c r="AB137" s="545"/>
      <c r="AC137" s="545"/>
      <c r="AD137" s="545"/>
      <c r="AE137" s="545"/>
      <c r="AF137" s="546"/>
      <c r="AG137" s="157"/>
      <c r="AH137" s="116"/>
    </row>
    <row r="138" spans="1:34">
      <c r="A138" s="116"/>
      <c r="B138" s="121"/>
      <c r="P138" s="158"/>
      <c r="X138" s="544"/>
      <c r="Y138" s="545"/>
      <c r="Z138" s="545"/>
      <c r="AA138" s="545"/>
      <c r="AB138" s="545"/>
      <c r="AC138" s="545"/>
      <c r="AD138" s="545"/>
      <c r="AE138" s="545"/>
      <c r="AF138" s="546"/>
      <c r="AG138" s="157"/>
      <c r="AH138" s="116"/>
    </row>
    <row r="139" spans="1:34">
      <c r="A139" s="116"/>
      <c r="B139" s="121"/>
      <c r="O139" s="159" t="s">
        <v>619</v>
      </c>
      <c r="P139" s="129" t="s">
        <v>633</v>
      </c>
      <c r="Q139" s="130"/>
      <c r="R139" s="130"/>
      <c r="S139" s="130"/>
      <c r="T139" s="130"/>
      <c r="U139" s="130"/>
      <c r="V139" s="130"/>
      <c r="X139" s="544"/>
      <c r="Y139" s="545"/>
      <c r="Z139" s="545"/>
      <c r="AA139" s="545"/>
      <c r="AB139" s="545"/>
      <c r="AC139" s="545"/>
      <c r="AD139" s="545"/>
      <c r="AE139" s="545"/>
      <c r="AF139" s="546"/>
      <c r="AG139" s="157"/>
      <c r="AH139" s="116"/>
    </row>
    <row r="140" spans="1:34">
      <c r="A140" s="116"/>
      <c r="B140" s="121"/>
      <c r="O140" s="159" t="s">
        <v>619</v>
      </c>
      <c r="P140" s="25" t="s">
        <v>634</v>
      </c>
      <c r="T140" s="161" t="s">
        <v>621</v>
      </c>
      <c r="X140" s="544"/>
      <c r="Y140" s="545"/>
      <c r="Z140" s="545"/>
      <c r="AA140" s="545"/>
      <c r="AB140" s="545"/>
      <c r="AC140" s="545"/>
      <c r="AD140" s="545"/>
      <c r="AE140" s="545"/>
      <c r="AF140" s="546"/>
      <c r="AG140" s="157"/>
      <c r="AH140" s="116"/>
    </row>
    <row r="141" spans="1:34">
      <c r="A141" s="116"/>
      <c r="B141" s="121"/>
      <c r="O141" s="159" t="s">
        <v>619</v>
      </c>
      <c r="P141" s="25" t="s">
        <v>311</v>
      </c>
      <c r="T141" s="161" t="s">
        <v>635</v>
      </c>
      <c r="X141" s="544"/>
      <c r="Y141" s="545"/>
      <c r="Z141" s="545"/>
      <c r="AA141" s="545"/>
      <c r="AB141" s="545"/>
      <c r="AC141" s="545"/>
      <c r="AD141" s="545"/>
      <c r="AE141" s="545"/>
      <c r="AF141" s="546"/>
      <c r="AG141" s="157"/>
      <c r="AH141" s="116"/>
    </row>
    <row r="142" spans="1:34">
      <c r="A142" s="116"/>
      <c r="B142" s="121"/>
      <c r="O142" s="159" t="s">
        <v>619</v>
      </c>
      <c r="P142" s="25" t="s">
        <v>325</v>
      </c>
      <c r="T142" s="161" t="s">
        <v>621</v>
      </c>
      <c r="X142" s="544"/>
      <c r="Y142" s="545"/>
      <c r="Z142" s="545"/>
      <c r="AA142" s="545"/>
      <c r="AB142" s="545"/>
      <c r="AC142" s="545"/>
      <c r="AD142" s="545"/>
      <c r="AE142" s="545"/>
      <c r="AF142" s="546"/>
      <c r="AG142" s="157"/>
      <c r="AH142" s="116"/>
    </row>
    <row r="143" spans="1:34">
      <c r="A143" s="116"/>
      <c r="B143" s="121"/>
      <c r="O143" s="159" t="s">
        <v>619</v>
      </c>
      <c r="P143" s="25" t="s">
        <v>333</v>
      </c>
      <c r="T143" s="486" t="s">
        <v>1841</v>
      </c>
      <c r="X143" s="544"/>
      <c r="Y143" s="545"/>
      <c r="Z143" s="545"/>
      <c r="AA143" s="545"/>
      <c r="AB143" s="545"/>
      <c r="AC143" s="545"/>
      <c r="AD143" s="545"/>
      <c r="AE143" s="545"/>
      <c r="AF143" s="546"/>
      <c r="AG143" s="157"/>
      <c r="AH143" s="116"/>
    </row>
    <row r="144" spans="1:34">
      <c r="A144" s="116"/>
      <c r="B144" s="121"/>
      <c r="O144" s="159"/>
      <c r="T144" s="160"/>
      <c r="X144" s="547"/>
      <c r="Y144" s="548"/>
      <c r="Z144" s="548"/>
      <c r="AA144" s="548"/>
      <c r="AB144" s="548"/>
      <c r="AC144" s="548"/>
      <c r="AD144" s="548"/>
      <c r="AE144" s="548"/>
      <c r="AF144" s="549"/>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39" t="s">
        <v>2454</v>
      </c>
      <c r="Y151" s="540"/>
      <c r="Z151" s="540"/>
      <c r="AA151" s="540"/>
      <c r="AB151" s="540"/>
      <c r="AC151" s="540"/>
      <c r="AD151" s="540"/>
      <c r="AE151" s="540"/>
      <c r="AF151" s="540"/>
      <c r="AG151" s="162"/>
      <c r="AH151" s="116"/>
    </row>
    <row r="152" spans="1:34">
      <c r="A152" s="116"/>
      <c r="B152" s="121"/>
      <c r="C152" s="430" t="s">
        <v>2373</v>
      </c>
      <c r="D152" s="429"/>
      <c r="E152" s="429"/>
      <c r="P152" s="375" t="s">
        <v>2366</v>
      </c>
      <c r="Q152" s="376"/>
      <c r="R152" s="376"/>
      <c r="S152" s="376"/>
      <c r="T152" s="446">
        <f>COUNTIFS(Table4[Status Anterior],'1. Status Resumo FY24'!$P151,Table4[Sub-âmbito],'1. Status Resumo FY24'!$G$147,Table4[Tipo de teste],"2. Campo",'2. Status Detalhe Campos FY24'!$U$7:$U$740,"*Plano anterior*")</f>
        <v>4</v>
      </c>
      <c r="U152" s="446">
        <f>COUNTIFS(Table4[Status Atual],'1. Status Resumo FY24'!$P151,Table4[Sub-âmbito],'1. Status Resumo FY24'!$G$147,Table4[Tipo de teste],"2. Campo",'2. Status Detalhe Campos FY24'!$U$7:$U$740,"*Plano anterior*")</f>
        <v>4</v>
      </c>
      <c r="V152" s="446">
        <f t="shared" si="8"/>
        <v>0</v>
      </c>
      <c r="X152" s="539"/>
      <c r="Y152" s="540"/>
      <c r="Z152" s="540"/>
      <c r="AA152" s="540"/>
      <c r="AB152" s="540"/>
      <c r="AC152" s="540"/>
      <c r="AD152" s="540"/>
      <c r="AE152" s="540"/>
      <c r="AF152" s="540"/>
      <c r="AG152" s="162"/>
      <c r="AH152" s="116"/>
    </row>
    <row r="153" spans="1:34">
      <c r="A153" s="116"/>
      <c r="B153" s="121"/>
      <c r="C153" s="428"/>
      <c r="P153" s="375" t="s">
        <v>2361</v>
      </c>
      <c r="Q153" s="376"/>
      <c r="R153" s="376"/>
      <c r="S153" s="376"/>
      <c r="T153" s="446">
        <f>COUNTIFS(Table4[Status Anterior],'1. Status Resumo FY24'!$P151,Table4[Sub-âmbito],'1. Status Resumo FY24'!$G$147,Table4[Tipo de teste],"2. Campo",'2. Status Detalhe Campos FY24'!$U$7:$U$740,"*Novo Plano*",'2. Status Detalhe Campos FY24'!$T$7:$T$740,"*Âmbito ESTR e (ou) LF*")</f>
        <v>0</v>
      </c>
      <c r="U153" s="446">
        <f>COUNTIFS(Table4[Status Atual],'1. Status Resumo FY24'!$P151,Table4[Sub-âmbito],'1. Status Resumo FY24'!$G$147,Table4[Tipo de teste],"2. Campo",'2. Status Detalhe Campos FY24'!$U$7:$U$740,"*Novo Plano*",'2. Status Detalhe Campos FY24'!$U$7:$U$740,"*Novo Plano*",'2. Status Detalhe Campos FY24'!$T$7:$T$740,"*Âmbito ESTR e (ou) LF*")</f>
        <v>0</v>
      </c>
      <c r="V153" s="446">
        <f t="shared" si="8"/>
        <v>0</v>
      </c>
      <c r="X153" s="539"/>
      <c r="Y153" s="540"/>
      <c r="Z153" s="540"/>
      <c r="AA153" s="540"/>
      <c r="AB153" s="540"/>
      <c r="AC153" s="540"/>
      <c r="AD153" s="540"/>
      <c r="AE153" s="540"/>
      <c r="AF153" s="540"/>
      <c r="AG153" s="162"/>
      <c r="AH153" s="116"/>
    </row>
    <row r="154" spans="1:34">
      <c r="A154" s="116"/>
      <c r="B154" s="121"/>
      <c r="P154" s="377" t="s">
        <v>2362</v>
      </c>
      <c r="Q154" s="378"/>
      <c r="R154" s="378"/>
      <c r="S154" s="378"/>
      <c r="T154" s="447">
        <f>COUNTIFS(Table4[Status Anterior],'1. Status Resumo FY24'!$P151,Table4[Sub-âmbito],'1. Status Resumo FY24'!$G$147,Table4[Tipo de teste],"2. Campo",'2. Status Detalhe Campos FY24'!$U$7:$U$740,"*Novo Plano*",'2. Status Detalhe Campos FY24'!$T$7:$T$740,"*Outros*")</f>
        <v>0</v>
      </c>
      <c r="U154" s="447">
        <f>COUNTIFS(Table4[Status Atual],'1. Status Resumo FY24'!$P151,Table4[Sub-âmbito],'1. Status Resumo FY24'!$G$147,Table4[Tipo de teste],"2. Campo",'2. Status Detalhe Campos FY24'!$U$7:$U$740,"*Novo Plano*",'2. Status Detalhe Campos FY24'!$U$7:$U$740,"*Novo Plano*",'2. Status Detalhe Campos FY24'!$T$7:$T$740,"*Outros*")</f>
        <v>0</v>
      </c>
      <c r="V154" s="447">
        <f t="shared" si="8"/>
        <v>0</v>
      </c>
      <c r="X154" s="539"/>
      <c r="Y154" s="540"/>
      <c r="Z154" s="540"/>
      <c r="AA154" s="540"/>
      <c r="AB154" s="540"/>
      <c r="AC154" s="540"/>
      <c r="AD154" s="540"/>
      <c r="AE154" s="540"/>
      <c r="AF154" s="540"/>
      <c r="AG154" s="162"/>
      <c r="AH154" s="116"/>
    </row>
    <row r="155" spans="1:34">
      <c r="A155" s="116"/>
      <c r="B155" s="121"/>
      <c r="P155" s="25" t="s">
        <v>612</v>
      </c>
      <c r="T155" s="25">
        <f>COUNTIFS(Table4[Status Anterior],'1. Status Resumo FY24'!$P155,Table4[Sub-âmbito],'1. Status Resumo FY24'!$G$147,Table4[Tipo de teste],"2. Campo")</f>
        <v>114</v>
      </c>
      <c r="U155" s="25">
        <f>COUNTIFS(Table4[Status Atual],'1. Status Resumo FY24'!$P155,Table4[Sub-âmbito],'1. Status Resumo FY24'!$G$147,Table4[Tipo de teste],"2. Campo")</f>
        <v>114</v>
      </c>
      <c r="V155" s="25">
        <f t="shared" si="8"/>
        <v>0</v>
      </c>
      <c r="X155" s="540"/>
      <c r="Y155" s="540"/>
      <c r="Z155" s="540"/>
      <c r="AA155" s="540"/>
      <c r="AB155" s="540"/>
      <c r="AC155" s="540"/>
      <c r="AD155" s="540"/>
      <c r="AE155" s="540"/>
      <c r="AF155" s="540"/>
      <c r="AG155" s="162"/>
      <c r="AH155" s="116"/>
    </row>
    <row r="156" spans="1:34">
      <c r="A156" s="116"/>
      <c r="B156" s="121"/>
      <c r="P156" s="375" t="s">
        <v>2366</v>
      </c>
      <c r="Q156" s="376"/>
      <c r="R156" s="376"/>
      <c r="S156" s="376"/>
      <c r="T156" s="446">
        <f>COUNTIFS(Table4[Status Anterior],'1. Status Resumo FY24'!$P155,Table4[Sub-âmbito],'1. Status Resumo FY24'!$G$147,Table4[Tipo de teste],"2. Campo",'2. Status Detalhe Campos FY24'!$U$7:$U$740,"*Plano anterior*")</f>
        <v>114</v>
      </c>
      <c r="U156" s="446">
        <f>COUNTIFS(Table4[Status Atual],'1. Status Resumo FY24'!$P155,Table4[Sub-âmbito],'1. Status Resumo FY24'!$G$147,Table4[Tipo de teste],"2. Campo",'2. Status Detalhe Campos FY24'!$U$7:$U$740,"*Plano anterior*")</f>
        <v>114</v>
      </c>
      <c r="V156" s="446">
        <f t="shared" si="8"/>
        <v>0</v>
      </c>
      <c r="X156" s="540"/>
      <c r="Y156" s="540"/>
      <c r="Z156" s="540"/>
      <c r="AA156" s="540"/>
      <c r="AB156" s="540"/>
      <c r="AC156" s="540"/>
      <c r="AD156" s="540"/>
      <c r="AE156" s="540"/>
      <c r="AF156" s="540"/>
      <c r="AG156" s="162"/>
      <c r="AH156" s="116"/>
    </row>
    <row r="157" spans="1:34">
      <c r="A157" s="116"/>
      <c r="B157" s="121"/>
      <c r="P157" s="375" t="s">
        <v>2361</v>
      </c>
      <c r="Q157" s="376"/>
      <c r="R157" s="376"/>
      <c r="S157" s="376"/>
      <c r="T157" s="446">
        <f>COUNTIFS(Table4[Status Anterior],'1. Status Resumo FY24'!$P155,Table4[Sub-âmbito],'1. Status Resumo FY24'!$G$147,Table4[Tipo de teste],"2. Campo",'2. Status Detalhe Campos FY24'!$U$7:$U$740,"*Novo Plano*",'2. Status Detalhe Campos FY24'!$T$7:$T$740,"*Âmbito ESTR e (ou) LF*")</f>
        <v>0</v>
      </c>
      <c r="U157" s="446">
        <f>COUNTIFS(Table4[Status Atual],'1. Status Resumo FY24'!$P155,Table4[Sub-âmbito],'1. Status Resumo FY24'!$G$147,Table4[Tipo de teste],"2. Campo",'2. Status Detalhe Campos FY24'!$U$7:$U$740,"*Novo Plano*",'2. Status Detalhe Campos FY24'!$U$7:$U$740,"*Novo Plano*",'2. Status Detalhe Campos FY24'!$T$7:$T$740,"*Âmbito ESTR e (ou) LF*")</f>
        <v>0</v>
      </c>
      <c r="V157" s="446">
        <f t="shared" si="8"/>
        <v>0</v>
      </c>
      <c r="X157" s="540"/>
      <c r="Y157" s="540"/>
      <c r="Z157" s="540"/>
      <c r="AA157" s="540"/>
      <c r="AB157" s="540"/>
      <c r="AC157" s="540"/>
      <c r="AD157" s="540"/>
      <c r="AE157" s="540"/>
      <c r="AF157" s="540"/>
      <c r="AG157" s="162"/>
      <c r="AH157" s="116"/>
    </row>
    <row r="158" spans="1:34">
      <c r="A158" s="116"/>
      <c r="B158" s="121"/>
      <c r="P158" s="377" t="s">
        <v>2362</v>
      </c>
      <c r="Q158" s="378"/>
      <c r="R158" s="378"/>
      <c r="S158" s="378"/>
      <c r="T158" s="447">
        <f>COUNTIFS(Table4[Status Anterior],'1. Status Resumo FY24'!$P155,Table4[Sub-âmbito],'1. Status Resumo FY24'!$G$147,Table4[Tipo de teste],"2. Campo",'2. Status Detalhe Campos FY24'!$U$7:$U$740,"*Novo Plano*",'2. Status Detalhe Campos FY24'!$T$7:$T$740,"*Outros*")</f>
        <v>0</v>
      </c>
      <c r="U158" s="447">
        <f>COUNTIFS(Table4[Status Atual],'1. Status Resumo FY24'!$P155,Table4[Sub-âmbito],'1. Status Resumo FY24'!$G$147,Table4[Tipo de teste],"2. Campo",'2. Status Detalhe Campos FY24'!$U$7:$U$740,"*Novo Plano*",'2. Status Detalhe Campos FY24'!$U$7:$U$740,"*Novo Plano*",'2. Status Detalhe Campos FY24'!$T$7:$T$740,"*Outros*")</f>
        <v>0</v>
      </c>
      <c r="V158" s="447">
        <f t="shared" si="8"/>
        <v>0</v>
      </c>
      <c r="X158" s="540"/>
      <c r="Y158" s="540"/>
      <c r="Z158" s="540"/>
      <c r="AA158" s="540"/>
      <c r="AB158" s="540"/>
      <c r="AC158" s="540"/>
      <c r="AD158" s="540"/>
      <c r="AE158" s="540"/>
      <c r="AF158" s="540"/>
      <c r="AG158" s="162"/>
      <c r="AH158" s="116"/>
    </row>
    <row r="159" spans="1:34" ht="17.899999999999999" customHeight="1">
      <c r="A159" s="116"/>
      <c r="B159" s="121"/>
      <c r="P159" s="25" t="s">
        <v>1840</v>
      </c>
      <c r="T159" s="25">
        <f>COUNTIFS(Table4[Status Anterior],'1. Status Resumo FY24'!$P159,Table4[Sub-âmbito],'1. Status Resumo FY24'!$G$147,Table4[Tipo de teste],"2. Campo")</f>
        <v>50</v>
      </c>
      <c r="U159" s="25">
        <f>COUNTIFS(Table4[Status Atual],'1. Status Resumo FY24'!$P159,Table4[Sub-âmbito],'1. Status Resumo FY24'!$G$147,Table4[Tipo de teste],"2. Campo")</f>
        <v>50</v>
      </c>
      <c r="V159" s="25">
        <f t="shared" si="8"/>
        <v>0</v>
      </c>
      <c r="X159" s="540"/>
      <c r="Y159" s="540"/>
      <c r="Z159" s="540"/>
      <c r="AA159" s="540"/>
      <c r="AB159" s="540"/>
      <c r="AC159" s="540"/>
      <c r="AD159" s="540"/>
      <c r="AE159" s="540"/>
      <c r="AF159" s="540"/>
      <c r="AG159" s="162"/>
      <c r="AH159" s="116"/>
    </row>
    <row r="160" spans="1:34" ht="17.899999999999999" customHeight="1">
      <c r="A160" s="116"/>
      <c r="B160" s="121"/>
      <c r="E160" s="527" t="str">
        <f>+"#"&amp;SUM($U$189:$U$190)</f>
        <v>#71</v>
      </c>
      <c r="P160" s="375" t="s">
        <v>2366</v>
      </c>
      <c r="Q160" s="376"/>
      <c r="R160" s="376"/>
      <c r="S160" s="376"/>
      <c r="T160" s="446">
        <f>COUNTIFS(Table4[Status Anterior],'1. Status Resumo FY24'!$P159,Table4[Sub-âmbito],'1. Status Resumo FY24'!$G$147,Table4[Tipo de teste],"2. Campo",'2. Status Detalhe Campos FY24'!$U$7:$U$740,"*Plano anterior*")</f>
        <v>1</v>
      </c>
      <c r="U160" s="446">
        <f>COUNTIFS(Table4[Status Atual],'1. Status Resumo FY24'!$P159,Table4[Sub-âmbito],'1. Status Resumo FY24'!$G$147,Table4[Tipo de teste],"2. Campo",'2. Status Detalhe Campos FY24'!$U$7:$U$740,"*Plano anterior*")</f>
        <v>1</v>
      </c>
      <c r="V160" s="446">
        <f t="shared" si="8"/>
        <v>0</v>
      </c>
      <c r="X160" s="540"/>
      <c r="Y160" s="540"/>
      <c r="Z160" s="540"/>
      <c r="AA160" s="540"/>
      <c r="AB160" s="540"/>
      <c r="AC160" s="540"/>
      <c r="AD160" s="540"/>
      <c r="AE160" s="540"/>
      <c r="AF160" s="540"/>
      <c r="AG160" s="162"/>
      <c r="AH160" s="116"/>
    </row>
    <row r="161" spans="1:34" ht="17.899999999999999" customHeight="1">
      <c r="A161" s="116"/>
      <c r="B161" s="121"/>
      <c r="E161" s="527"/>
      <c r="P161" s="375" t="s">
        <v>2361</v>
      </c>
      <c r="Q161" s="376"/>
      <c r="R161" s="376"/>
      <c r="S161" s="376"/>
      <c r="T161" s="446">
        <f>COUNTIFS(Table4[Status Anterior],'1. Status Resumo FY24'!$P159,Table4[Sub-âmbito],'1. Status Resumo FY24'!$G$147,Table4[Tipo de teste],"2. Campo",'2. Status Detalhe Campos FY24'!$U$7:$U$740,"*Novo Plano*",'2. Status Detalhe Campos FY24'!$T$7:$T$740,"*Âmbito ESTR e (ou) LF*")</f>
        <v>12</v>
      </c>
      <c r="U161" s="446">
        <f>COUNTIFS(Table4[Status Atual],'1. Status Resumo FY24'!$P159,Table4[Sub-âmbito],'1. Status Resumo FY24'!$G$147,Table4[Tipo de teste],"2. Campo",'2. Status Detalhe Campos FY24'!$U$7:$U$740,"*Novo Plano*",'2. Status Detalhe Campos FY24'!$U$7:$U$740,"*Novo Plano*",'2. Status Detalhe Campos FY24'!$T$7:$T$740,"*Âmbito ESTR e (ou) LF*")</f>
        <v>12</v>
      </c>
      <c r="V161" s="446">
        <f t="shared" si="8"/>
        <v>0</v>
      </c>
      <c r="X161" s="540"/>
      <c r="Y161" s="540"/>
      <c r="Z161" s="540"/>
      <c r="AA161" s="540"/>
      <c r="AB161" s="540"/>
      <c r="AC161" s="540"/>
      <c r="AD161" s="540"/>
      <c r="AE161" s="540"/>
      <c r="AF161" s="540"/>
      <c r="AG161" s="162"/>
      <c r="AH161" s="116"/>
    </row>
    <row r="162" spans="1:34" ht="17.899999999999999" customHeight="1">
      <c r="A162" s="116"/>
      <c r="B162" s="121"/>
      <c r="E162" s="527"/>
      <c r="P162" s="377" t="s">
        <v>2362</v>
      </c>
      <c r="Q162" s="378"/>
      <c r="R162" s="378"/>
      <c r="S162" s="378"/>
      <c r="T162" s="447">
        <f>COUNTIFS(Table4[Status Anterior],'1. Status Resumo FY24'!$P159,Table4[Sub-âmbito],'1. Status Resumo FY24'!$G$147,Table4[Tipo de teste],"2. Campo",'2. Status Detalhe Campos FY24'!$U$7:$U$740,"*Novo Plano*",'2. Status Detalhe Campos FY24'!$T$7:$T$740,"*Outros*")</f>
        <v>37</v>
      </c>
      <c r="U162" s="447">
        <f>COUNTIFS(Table4[Status Atual],'1. Status Resumo FY24'!$P159,Table4[Sub-âmbito],'1. Status Resumo FY24'!$G$147,Table4[Tipo de teste],"2. Campo",'2. Status Detalhe Campos FY24'!$U$7:$U$740,"*Novo Plano*",'2. Status Detalhe Campos FY24'!$U$7:$U$740,"*Novo Plano*",'2. Status Detalhe Campos FY24'!$T$7:$T$740,"*Outros*")</f>
        <v>37</v>
      </c>
      <c r="V162" s="447">
        <f t="shared" si="8"/>
        <v>0</v>
      </c>
      <c r="X162" s="540"/>
      <c r="Y162" s="540"/>
      <c r="Z162" s="540"/>
      <c r="AA162" s="540"/>
      <c r="AB162" s="540"/>
      <c r="AC162" s="540"/>
      <c r="AD162" s="540"/>
      <c r="AE162" s="540"/>
      <c r="AF162" s="540"/>
      <c r="AG162" s="162"/>
      <c r="AH162" s="116"/>
    </row>
    <row r="163" spans="1:34" ht="17.899999999999999" customHeight="1">
      <c r="A163" s="116"/>
      <c r="B163" s="121"/>
      <c r="D163" s="427"/>
      <c r="E163" s="427"/>
      <c r="P163" s="25" t="s">
        <v>2319</v>
      </c>
      <c r="T163" s="25">
        <f>COUNTIFS(Table4[Status Anterior],'1. Status Resumo FY24'!$P163,Table4[Sub-âmbito],'1. Status Resumo FY24'!$G$147,Table4[Tipo de teste],"2. Campo")</f>
        <v>1</v>
      </c>
      <c r="U163" s="25">
        <f>COUNTIFS(Table4[Status Atual],'1. Status Resumo FY24'!$P163,Table4[Sub-âmbito],'1. Status Resumo FY24'!$G$147,Table4[Tipo de teste],"2. Campo")</f>
        <v>1</v>
      </c>
      <c r="V163" s="25">
        <f t="shared" si="8"/>
        <v>0</v>
      </c>
      <c r="X163" s="540"/>
      <c r="Y163" s="540"/>
      <c r="Z163" s="540"/>
      <c r="AA163" s="540"/>
      <c r="AB163" s="540"/>
      <c r="AC163" s="540"/>
      <c r="AD163" s="540"/>
      <c r="AE163" s="540"/>
      <c r="AF163" s="540"/>
      <c r="AG163" s="162"/>
      <c r="AH163" s="116"/>
    </row>
    <row r="164" spans="1:34" ht="17.899999999999999" customHeight="1">
      <c r="A164" s="116"/>
      <c r="B164" s="121"/>
      <c r="D164" s="427"/>
      <c r="E164" s="427"/>
      <c r="P164" s="375" t="s">
        <v>2366</v>
      </c>
      <c r="Q164" s="376"/>
      <c r="R164" s="376"/>
      <c r="S164" s="376"/>
      <c r="T164" s="446">
        <f>COUNTIFS(Table4[Status Anterior],'1. Status Resumo FY24'!$P163,Table4[Sub-âmbito],'1. Status Resumo FY24'!$G$147,Table4[Tipo de teste],"2. Campo",'2. Status Detalhe Campos FY24'!$U$7:$U$740,"*Plano anterior*")</f>
        <v>1</v>
      </c>
      <c r="U164" s="446">
        <f>COUNTIFS(Table4[Status Atual],'1. Status Resumo FY24'!$P163,Table4[Sub-âmbito],'1. Status Resumo FY24'!$G$147,Table4[Tipo de teste],"2. Campo",'2. Status Detalhe Campos FY24'!$U$7:$U$740,"*Plano anterior*")</f>
        <v>1</v>
      </c>
      <c r="V164" s="446">
        <f t="shared" si="8"/>
        <v>0</v>
      </c>
      <c r="X164" s="540"/>
      <c r="Y164" s="540"/>
      <c r="Z164" s="540"/>
      <c r="AA164" s="540"/>
      <c r="AB164" s="540"/>
      <c r="AC164" s="540"/>
      <c r="AD164" s="540"/>
      <c r="AE164" s="540"/>
      <c r="AF164" s="540"/>
      <c r="AG164" s="162"/>
      <c r="AH164" s="116"/>
    </row>
    <row r="165" spans="1:34" ht="17.899999999999999" customHeight="1">
      <c r="A165" s="116"/>
      <c r="B165" s="121"/>
      <c r="D165" s="427"/>
      <c r="E165" s="427"/>
      <c r="P165" s="375" t="s">
        <v>2361</v>
      </c>
      <c r="Q165" s="376"/>
      <c r="R165" s="376"/>
      <c r="S165" s="376"/>
      <c r="T165" s="446">
        <f>COUNTIFS(Table4[Status Anterior],'1. Status Resumo FY24'!$P163,Table4[Sub-âmbito],'1. Status Resumo FY24'!$G$147,Table4[Tipo de teste],"2. Campo",'2. Status Detalhe Campos FY24'!$U$7:$U$740,"*Novo Plano*",'2. Status Detalhe Campos FY24'!$T$7:$T$740,"*Âmbito ESTR e (ou) LF*")</f>
        <v>0</v>
      </c>
      <c r="U165" s="446">
        <f>COUNTIFS(Table4[Status Atual],'1. Status Resumo FY24'!$P163,Table4[Sub-âmbito],'1. Status Resumo FY24'!$G$147,Table4[Tipo de teste],"2. Campo",'2. Status Detalhe Campos FY24'!$U$7:$U$740,"*Novo Plano*",'2. Status Detalhe Campos FY24'!$U$7:$U$740,"*Novo Plano*",'2. Status Detalhe Campos FY24'!$T$7:$T$740,"*Âmbito ESTR e (ou) LF*")</f>
        <v>0</v>
      </c>
      <c r="V165" s="446">
        <f t="shared" si="8"/>
        <v>0</v>
      </c>
      <c r="X165" s="540"/>
      <c r="Y165" s="540"/>
      <c r="Z165" s="540"/>
      <c r="AA165" s="540"/>
      <c r="AB165" s="540"/>
      <c r="AC165" s="540"/>
      <c r="AD165" s="540"/>
      <c r="AE165" s="540"/>
      <c r="AF165" s="540"/>
      <c r="AG165" s="162"/>
      <c r="AH165" s="116"/>
    </row>
    <row r="166" spans="1:34" ht="17.899999999999999" customHeight="1">
      <c r="A166" s="116"/>
      <c r="B166" s="121"/>
      <c r="D166" s="427"/>
      <c r="E166" s="427"/>
      <c r="P166" s="377" t="s">
        <v>2362</v>
      </c>
      <c r="Q166" s="378"/>
      <c r="R166" s="378"/>
      <c r="S166" s="378"/>
      <c r="T166" s="447">
        <f>COUNTIFS(Table4[Status Anterior],'1. Status Resumo FY24'!$P163,Table4[Sub-âmbito],'1. Status Resumo FY24'!$G$147,Table4[Tipo de teste],"2. Campo",'2. Status Detalhe Campos FY24'!$U$7:$U$740,"*Novo Plano*",'2. Status Detalhe Campos FY24'!$T$7:$T$740,"*Outros*")</f>
        <v>0</v>
      </c>
      <c r="U166" s="447">
        <f>COUNTIFS(Table4[Status Atual],'1. Status Resumo FY24'!$P163,Table4[Sub-âmbito],'1. Status Resumo FY24'!$G$147,Table4[Tipo de teste],"2. Campo",'2. Status Detalhe Campos FY24'!$U$7:$U$740,"*Novo Plano*",'2. Status Detalhe Campos FY24'!$U$7:$U$740,"*Novo Plano*",'2. Status Detalhe Campos FY24'!$T$7:$T$740,"*Outros*")</f>
        <v>0</v>
      </c>
      <c r="V166" s="447">
        <f t="shared" si="8"/>
        <v>0</v>
      </c>
      <c r="X166" s="540"/>
      <c r="Y166" s="540"/>
      <c r="Z166" s="540"/>
      <c r="AA166" s="540"/>
      <c r="AB166" s="540"/>
      <c r="AC166" s="540"/>
      <c r="AD166" s="540"/>
      <c r="AE166" s="540"/>
      <c r="AF166" s="540"/>
      <c r="AG166" s="162"/>
      <c r="AH166" s="116"/>
    </row>
    <row r="167" spans="1:34" ht="17.25" customHeight="1">
      <c r="A167" s="116"/>
      <c r="B167" s="121"/>
      <c r="D167" s="427"/>
      <c r="E167" s="427"/>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0"/>
      <c r="Y167" s="540"/>
      <c r="Z167" s="540"/>
      <c r="AA167" s="540"/>
      <c r="AB167" s="540"/>
      <c r="AC167" s="540"/>
      <c r="AD167" s="540"/>
      <c r="AE167" s="540"/>
      <c r="AF167" s="540"/>
      <c r="AG167" s="162"/>
      <c r="AH167" s="116"/>
    </row>
    <row r="168" spans="1:34" ht="17.25" customHeight="1">
      <c r="A168" s="116"/>
      <c r="B168" s="121"/>
      <c r="D168" s="427"/>
      <c r="E168" s="427"/>
      <c r="P168" s="375" t="s">
        <v>2366</v>
      </c>
      <c r="Q168" s="376"/>
      <c r="R168" s="376"/>
      <c r="S168" s="376"/>
      <c r="T168" s="446">
        <f>COUNTIFS(Table4[Status Anterior],'1. Status Resumo FY24'!$P167,Table4[Sub-âmbito],'1. Status Resumo FY24'!$G$147,Table4[Tipo de teste],"2. Campo",'2. Status Detalhe Campos FY24'!$U$7:$U$740,"*Plano anterior*")</f>
        <v>0</v>
      </c>
      <c r="U168" s="446">
        <f>COUNTIFS(Table4[Status Atual],'1. Status Resumo FY24'!$P167,Table4[Sub-âmbito],'1. Status Resumo FY24'!$G$147,Table4[Tipo de teste],"2. Campo",'2. Status Detalhe Campos FY24'!$U$7:$U$740,"*Plano anterior*")</f>
        <v>0</v>
      </c>
      <c r="V168" s="446">
        <f t="shared" si="8"/>
        <v>0</v>
      </c>
      <c r="X168" s="540"/>
      <c r="Y168" s="540"/>
      <c r="Z168" s="540"/>
      <c r="AA168" s="540"/>
      <c r="AB168" s="540"/>
      <c r="AC168" s="540"/>
      <c r="AD168" s="540"/>
      <c r="AE168" s="540"/>
      <c r="AF168" s="540"/>
      <c r="AG168" s="162"/>
      <c r="AH168" s="116"/>
    </row>
    <row r="169" spans="1:34" ht="17.25" customHeight="1">
      <c r="A169" s="116"/>
      <c r="B169" s="121"/>
      <c r="D169" s="427"/>
      <c r="E169" s="427"/>
      <c r="P169" s="375" t="s">
        <v>2361</v>
      </c>
      <c r="Q169" s="376"/>
      <c r="R169" s="376"/>
      <c r="S169" s="376"/>
      <c r="T169" s="446">
        <f>COUNTIFS(Table4[Status Anterior],'1. Status Resumo FY24'!$P167,Table4[Sub-âmbito],'1. Status Resumo FY24'!$G$147,Table4[Tipo de teste],"2. Campo",'2. Status Detalhe Campos FY24'!$U$7:$U$740,"*Novo Plano*",'2. Status Detalhe Campos FY24'!$T$7:$T$740,"*Âmbito ESTR e (ou) LF*")</f>
        <v>0</v>
      </c>
      <c r="U169" s="446">
        <f>COUNTIFS(Table4[Status Atual],'1. Status Resumo FY24'!$P167,Table4[Sub-âmbito],'1. Status Resumo FY24'!$G$147,Table4[Tipo de teste],"2. Campo",'2. Status Detalhe Campos FY24'!$U$7:$U$740,"*Novo Plano*",'2. Status Detalhe Campos FY24'!$U$7:$U$740,"*Novo Plano*",'2. Status Detalhe Campos FY24'!$T$7:$T$740,"*Âmbito ESTR e (ou) LF*")</f>
        <v>0</v>
      </c>
      <c r="V169" s="446">
        <f t="shared" si="8"/>
        <v>0</v>
      </c>
      <c r="X169" s="540"/>
      <c r="Y169" s="540"/>
      <c r="Z169" s="540"/>
      <c r="AA169" s="540"/>
      <c r="AB169" s="540"/>
      <c r="AC169" s="540"/>
      <c r="AD169" s="540"/>
      <c r="AE169" s="540"/>
      <c r="AF169" s="540"/>
      <c r="AG169" s="162"/>
      <c r="AH169" s="116"/>
    </row>
    <row r="170" spans="1:34" ht="17.25" customHeight="1">
      <c r="A170" s="116"/>
      <c r="B170" s="121"/>
      <c r="D170" s="427"/>
      <c r="E170" s="427"/>
      <c r="P170" s="377" t="s">
        <v>2362</v>
      </c>
      <c r="Q170" s="378"/>
      <c r="R170" s="378"/>
      <c r="S170" s="378"/>
      <c r="T170" s="447">
        <f>COUNTIFS(Table4[Status Anterior],'1. Status Resumo FY24'!$P167,Table4[Sub-âmbito],'1. Status Resumo FY24'!$G$147,Table4[Tipo de teste],"2. Campo",'2. Status Detalhe Campos FY24'!$U$7:$U$740,"*Novo Plano*",'2. Status Detalhe Campos FY24'!$T$7:$T$740,"*Outros*")</f>
        <v>0</v>
      </c>
      <c r="U170" s="447">
        <f>COUNTIFS(Table4[Status Atual],'1. Status Resumo FY24'!$P167,Table4[Sub-âmbito],'1. Status Resumo FY24'!$G$147,Table4[Tipo de teste],"2. Campo",'2. Status Detalhe Campos FY24'!$U$7:$U$740,"*Novo Plano*",'2. Status Detalhe Campos FY24'!$U$7:$U$740,"*Novo Plano*",'2. Status Detalhe Campos FY24'!$T$7:$T$740,"*Outros*")</f>
        <v>0</v>
      </c>
      <c r="V170" s="447">
        <f t="shared" si="8"/>
        <v>0</v>
      </c>
      <c r="X170" s="540"/>
      <c r="Y170" s="540"/>
      <c r="Z170" s="540"/>
      <c r="AA170" s="540"/>
      <c r="AB170" s="540"/>
      <c r="AC170" s="540"/>
      <c r="AD170" s="540"/>
      <c r="AE170" s="540"/>
      <c r="AF170" s="540"/>
      <c r="AG170" s="162"/>
      <c r="AH170" s="116"/>
    </row>
    <row r="171" spans="1:34" ht="18.75" customHeight="1">
      <c r="A171" s="116"/>
      <c r="B171" s="121"/>
      <c r="D171" s="427"/>
      <c r="E171" s="427"/>
      <c r="P171" s="25" t="s">
        <v>614</v>
      </c>
      <c r="T171" s="25">
        <f>COUNTIFS(Table4[Status Anterior],'1. Status Resumo FY24'!$P171,Table4[Sub-âmbito],'1. Status Resumo FY24'!$G$147,Table4[Tipo de teste],"2. Campo")</f>
        <v>1</v>
      </c>
      <c r="U171" s="25">
        <f>COUNTIFS(Table4[Status Atual],'1. Status Resumo FY24'!$P171,Table4[Sub-âmbito],'1. Status Resumo FY24'!$G$147,Table4[Tipo de teste],"2. Campo")</f>
        <v>1</v>
      </c>
      <c r="V171" s="25">
        <f t="shared" si="8"/>
        <v>0</v>
      </c>
      <c r="X171" s="540"/>
      <c r="Y171" s="540"/>
      <c r="Z171" s="540"/>
      <c r="AA171" s="540"/>
      <c r="AB171" s="540"/>
      <c r="AC171" s="540"/>
      <c r="AD171" s="540"/>
      <c r="AE171" s="540"/>
      <c r="AF171" s="540"/>
      <c r="AG171" s="162"/>
      <c r="AH171" s="116"/>
    </row>
    <row r="172" spans="1:34" ht="18.75" customHeight="1">
      <c r="A172" s="116"/>
      <c r="B172" s="121"/>
      <c r="C172" s="430" t="s">
        <v>2374</v>
      </c>
      <c r="D172" s="427"/>
      <c r="E172" s="427"/>
      <c r="P172" s="375" t="s">
        <v>2366</v>
      </c>
      <c r="Q172" s="376"/>
      <c r="R172" s="376"/>
      <c r="S172" s="376"/>
      <c r="T172" s="446">
        <f>COUNTIFS(Table4[Status Anterior],'1. Status Resumo FY24'!$P171,Table4[Sub-âmbito],'1. Status Resumo FY24'!$G$147,Table4[Tipo de teste],"2. Campo",'2. Status Detalhe Campos FY24'!$U$7:$U$740,"*Plano anterior*")</f>
        <v>0</v>
      </c>
      <c r="U172" s="446">
        <f>COUNTIFS(Table4[Status Atual],'1. Status Resumo FY24'!$P171,Table4[Sub-âmbito],'1. Status Resumo FY24'!$G$147,Table4[Tipo de teste],"2. Campo",'2. Status Detalhe Campos FY24'!$U$7:$U$740,"*Plano anterior*")</f>
        <v>0</v>
      </c>
      <c r="V172" s="446">
        <f t="shared" si="8"/>
        <v>0</v>
      </c>
      <c r="X172" s="540"/>
      <c r="Y172" s="540"/>
      <c r="Z172" s="540"/>
      <c r="AA172" s="540"/>
      <c r="AB172" s="540"/>
      <c r="AC172" s="540"/>
      <c r="AD172" s="540"/>
      <c r="AE172" s="540"/>
      <c r="AF172" s="540"/>
      <c r="AG172" s="162"/>
      <c r="AH172" s="116"/>
    </row>
    <row r="173" spans="1:34" ht="18.75" customHeight="1">
      <c r="A173" s="116"/>
      <c r="B173" s="121"/>
      <c r="D173" s="427"/>
      <c r="E173" s="427"/>
      <c r="P173" s="375" t="s">
        <v>2361</v>
      </c>
      <c r="Q173" s="376"/>
      <c r="R173" s="376"/>
      <c r="S173" s="376"/>
      <c r="T173" s="446">
        <f>COUNTIFS(Table4[Status Anterior],'1. Status Resumo FY24'!$P171,Table4[Sub-âmbito],'1. Status Resumo FY24'!$G$147,Table4[Tipo de teste],"2. Campo",'2. Status Detalhe Campos FY24'!$U$7:$U$740,"*Novo Plano*",'2. Status Detalhe Campos FY24'!$T$7:$T$740,"*Âmbito ESTR e (ou) LF*")</f>
        <v>0</v>
      </c>
      <c r="U173" s="446">
        <f>COUNTIFS(Table4[Status Atual],'1. Status Resumo FY24'!$P171,Table4[Sub-âmbito],'1. Status Resumo FY24'!$G$147,Table4[Tipo de teste],"2. Campo",'2. Status Detalhe Campos FY24'!$U$7:$U$740,"*Novo Plano*",'2. Status Detalhe Campos FY24'!$U$7:$U$740,"*Novo Plano*",'2. Status Detalhe Campos FY24'!$T$7:$T$740,"*Âmbito ESTR e (ou) LF*")</f>
        <v>0</v>
      </c>
      <c r="V173" s="446">
        <f t="shared" si="8"/>
        <v>0</v>
      </c>
      <c r="X173" s="540"/>
      <c r="Y173" s="540"/>
      <c r="Z173" s="540"/>
      <c r="AA173" s="540"/>
      <c r="AB173" s="540"/>
      <c r="AC173" s="540"/>
      <c r="AD173" s="540"/>
      <c r="AE173" s="540"/>
      <c r="AF173" s="540"/>
      <c r="AG173" s="162"/>
      <c r="AH173" s="116"/>
    </row>
    <row r="174" spans="1:34" ht="18.75" customHeight="1">
      <c r="A174" s="116"/>
      <c r="B174" s="121"/>
      <c r="D174" s="427"/>
      <c r="E174" s="427"/>
      <c r="P174" s="377" t="s">
        <v>2362</v>
      </c>
      <c r="Q174" s="378"/>
      <c r="R174" s="378"/>
      <c r="S174" s="378"/>
      <c r="T174" s="447">
        <f>COUNTIFS(Table4[Status Anterior],'1. Status Resumo FY24'!$P171,Table4[Sub-âmbito],'1. Status Resumo FY24'!$G$147,Table4[Tipo de teste],"2. Campo",'2. Status Detalhe Campos FY24'!$U$7:$U$740,"*Novo Plano*",'2. Status Detalhe Campos FY24'!$T$7:$T$740,"*Outros*")</f>
        <v>1</v>
      </c>
      <c r="U174" s="447">
        <f>COUNTIFS(Table4[Status Atual],'1. Status Resumo FY24'!$P171,Table4[Sub-âmbito],'1. Status Resumo FY24'!$G$147,Table4[Tipo de teste],"2. Campo",'2. Status Detalhe Campos FY24'!$U$7:$U$740,"*Novo Plano*",'2. Status Detalhe Campos FY24'!$U$7:$U$740,"*Novo Plano*",'2. Status Detalhe Campos FY24'!$T$7:$T$740,"*Outros*")</f>
        <v>1</v>
      </c>
      <c r="V174" s="447">
        <f t="shared" si="8"/>
        <v>0</v>
      </c>
      <c r="X174" s="540"/>
      <c r="Y174" s="540"/>
      <c r="Z174" s="540"/>
      <c r="AA174" s="540"/>
      <c r="AB174" s="540"/>
      <c r="AC174" s="540"/>
      <c r="AD174" s="540"/>
      <c r="AE174" s="540"/>
      <c r="AF174" s="540"/>
      <c r="AG174" s="162"/>
      <c r="AH174" s="116"/>
    </row>
    <row r="175" spans="1:34" ht="18.75" customHeight="1">
      <c r="A175" s="116"/>
      <c r="B175" s="121"/>
      <c r="D175" s="427"/>
      <c r="E175" s="427"/>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0"/>
      <c r="Y175" s="540"/>
      <c r="Z175" s="540"/>
      <c r="AA175" s="540"/>
      <c r="AB175" s="540"/>
      <c r="AC175" s="540"/>
      <c r="AD175" s="540"/>
      <c r="AE175" s="540"/>
      <c r="AF175" s="540"/>
      <c r="AG175" s="162"/>
      <c r="AH175" s="116"/>
    </row>
    <row r="176" spans="1:34" ht="18.75" customHeight="1">
      <c r="A176" s="116"/>
      <c r="B176" s="121"/>
      <c r="D176" s="427"/>
      <c r="E176" s="427"/>
      <c r="P176" s="375" t="s">
        <v>2366</v>
      </c>
      <c r="Q176" s="376"/>
      <c r="R176" s="376"/>
      <c r="S176" s="376"/>
      <c r="T176" s="446">
        <f>COUNTIFS(Table4[Status Anterior],'1. Status Resumo FY24'!$P175,Table4[Sub-âmbito],'1. Status Resumo FY24'!$G$147,Table4[Tipo de teste],"2. Campo",'2. Status Detalhe Campos FY24'!$U$7:$U$740,"*Plano anterior*")</f>
        <v>0</v>
      </c>
      <c r="U176" s="446">
        <f>COUNTIFS(Table4[Status Atual],'1. Status Resumo FY24'!$P175,Table4[Sub-âmbito],'1. Status Resumo FY24'!$G$147,Table4[Tipo de teste],"2. Campo",'2. Status Detalhe Campos FY24'!$U$7:$U$740,"*Plano anterior*")</f>
        <v>0</v>
      </c>
      <c r="V176" s="446">
        <f t="shared" si="8"/>
        <v>0</v>
      </c>
      <c r="X176" s="540"/>
      <c r="Y176" s="540"/>
      <c r="Z176" s="540"/>
      <c r="AA176" s="540"/>
      <c r="AB176" s="540"/>
      <c r="AC176" s="540"/>
      <c r="AD176" s="540"/>
      <c r="AE176" s="540"/>
      <c r="AF176" s="540"/>
      <c r="AG176" s="162"/>
      <c r="AH176" s="116"/>
    </row>
    <row r="177" spans="1:34" ht="18.75" customHeight="1">
      <c r="A177" s="116"/>
      <c r="B177" s="121"/>
      <c r="D177" s="427"/>
      <c r="E177" s="427"/>
      <c r="P177" s="375" t="s">
        <v>2361</v>
      </c>
      <c r="Q177" s="376"/>
      <c r="R177" s="376"/>
      <c r="S177" s="376"/>
      <c r="T177" s="446">
        <f>COUNTIFS(Table4[Status Anterior],'1. Status Resumo FY24'!$P175,Table4[Sub-âmbito],'1. Status Resumo FY24'!$G$147,Table4[Tipo de teste],"2. Campo",'2. Status Detalhe Campos FY24'!$U$7:$U$740,"*Novo Plano*",'2. Status Detalhe Campos FY24'!$T$7:$T$740,"*Âmbito ESTR e (ou) LF*")</f>
        <v>0</v>
      </c>
      <c r="U177" s="446">
        <f>COUNTIFS(Table4[Status Atual],'1. Status Resumo FY24'!$P175,Table4[Sub-âmbito],'1. Status Resumo FY24'!$G$147,Table4[Tipo de teste],"2. Campo",'2. Status Detalhe Campos FY24'!$U$7:$U$740,"*Novo Plano*",'2. Status Detalhe Campos FY24'!$U$7:$U$740,"*Novo Plano*",'2. Status Detalhe Campos FY24'!$T$7:$T$740,"*Âmbito ESTR e (ou) LF*")</f>
        <v>0</v>
      </c>
      <c r="V177" s="446">
        <f t="shared" si="8"/>
        <v>0</v>
      </c>
      <c r="X177" s="540"/>
      <c r="Y177" s="540"/>
      <c r="Z177" s="540"/>
      <c r="AA177" s="540"/>
      <c r="AB177" s="540"/>
      <c r="AC177" s="540"/>
      <c r="AD177" s="540"/>
      <c r="AE177" s="540"/>
      <c r="AF177" s="540"/>
      <c r="AG177" s="162"/>
      <c r="AH177" s="116"/>
    </row>
    <row r="178" spans="1:34" ht="17.899999999999999" customHeight="1">
      <c r="A178" s="116"/>
      <c r="B178" s="121"/>
      <c r="D178" s="427"/>
      <c r="E178" s="427"/>
      <c r="P178" s="377" t="s">
        <v>2362</v>
      </c>
      <c r="Q178" s="378"/>
      <c r="R178" s="378"/>
      <c r="S178" s="378"/>
      <c r="T178" s="447">
        <f>COUNTIFS(Table4[Status Anterior],'1. Status Resumo FY24'!$P175,Table4[Sub-âmbito],'1. Status Resumo FY24'!$G$147,Table4[Tipo de teste],"2. Campo",'2. Status Detalhe Campos FY24'!$U$7:$U$740,"*Novo Plano*",'2. Status Detalhe Campos FY24'!$T$7:$T$740,"*Outros*")</f>
        <v>0</v>
      </c>
      <c r="U178" s="447">
        <f>COUNTIFS(Table4[Status Atual],'1. Status Resumo FY24'!$P175,Table4[Sub-âmbito],'1. Status Resumo FY24'!$G$147,Table4[Tipo de teste],"2. Campo",'2. Status Detalhe Campos FY24'!$U$7:$U$740,"*Novo Plano*",'2. Status Detalhe Campos FY24'!$U$7:$U$740,"*Novo Plano*",'2. Status Detalhe Campos FY24'!$T$7:$T$740,"*Outros*")</f>
        <v>0</v>
      </c>
      <c r="V178" s="447">
        <f t="shared" si="8"/>
        <v>0</v>
      </c>
      <c r="X178" s="540"/>
      <c r="Y178" s="540"/>
      <c r="Z178" s="540"/>
      <c r="AA178" s="540"/>
      <c r="AB178" s="540"/>
      <c r="AC178" s="540"/>
      <c r="AD178" s="540"/>
      <c r="AE178" s="540"/>
      <c r="AF178" s="540"/>
      <c r="AG178" s="162"/>
      <c r="AH178" s="116"/>
    </row>
    <row r="179" spans="1:34" ht="17.899999999999999" customHeight="1">
      <c r="A179" s="116"/>
      <c r="B179" s="121"/>
      <c r="D179" s="427"/>
      <c r="E179" s="427"/>
      <c r="P179" s="25" t="s">
        <v>2320</v>
      </c>
      <c r="T179" s="25">
        <f>COUNTIFS(Table4[Status Anterior],'1. Status Resumo FY24'!$P179,Table4[Sub-âmbito],'1. Status Resumo FY24'!$G$147,Table4[Tipo de teste],"2. Campo")</f>
        <v>35</v>
      </c>
      <c r="U179" s="25">
        <f>COUNTIFS(Table4[Status Atual],'1. Status Resumo FY24'!$P179,Table4[Sub-âmbito],'1. Status Resumo FY24'!$G$147,Table4[Tipo de teste],"2. Campo")</f>
        <v>35</v>
      </c>
      <c r="V179" s="25">
        <f t="shared" si="8"/>
        <v>0</v>
      </c>
      <c r="X179" s="540"/>
      <c r="Y179" s="540"/>
      <c r="Z179" s="540"/>
      <c r="AA179" s="540"/>
      <c r="AB179" s="540"/>
      <c r="AC179" s="540"/>
      <c r="AD179" s="540"/>
      <c r="AE179" s="540"/>
      <c r="AF179" s="540"/>
      <c r="AG179" s="162"/>
      <c r="AH179" s="116"/>
    </row>
    <row r="180" spans="1:34" ht="17.899999999999999" customHeight="1">
      <c r="A180" s="116"/>
      <c r="B180" s="121"/>
      <c r="D180" s="371"/>
      <c r="E180" s="527" t="str">
        <f>+"#"&amp;$U$188</f>
        <v>#134</v>
      </c>
      <c r="P180" s="375" t="s">
        <v>2366</v>
      </c>
      <c r="Q180" s="376"/>
      <c r="R180" s="376"/>
      <c r="S180" s="376"/>
      <c r="T180" s="446">
        <f>COUNTIFS(Table4[Status Anterior],'1. Status Resumo FY24'!$P179,Table4[Sub-âmbito],'1. Status Resumo FY24'!$G$147,Table4[Tipo de teste],"2. Campo",'2. Status Detalhe Campos FY24'!$U$7:$U$740,"*Plano anterior*")</f>
        <v>14</v>
      </c>
      <c r="U180" s="446">
        <f>COUNTIFS(Table4[Status Atual],'1. Status Resumo FY24'!$P179,Table4[Sub-âmbito],'1. Status Resumo FY24'!$G$147,Table4[Tipo de teste],"2. Campo",'2. Status Detalhe Campos FY24'!$U$7:$U$740,"*Plano anterior*")</f>
        <v>14</v>
      </c>
      <c r="V180" s="446">
        <f t="shared" si="8"/>
        <v>0</v>
      </c>
      <c r="X180" s="540"/>
      <c r="Y180" s="540"/>
      <c r="Z180" s="540"/>
      <c r="AA180" s="540"/>
      <c r="AB180" s="540"/>
      <c r="AC180" s="540"/>
      <c r="AD180" s="540"/>
      <c r="AE180" s="540"/>
      <c r="AF180" s="540"/>
      <c r="AG180" s="162"/>
      <c r="AH180" s="116"/>
    </row>
    <row r="181" spans="1:34" ht="17.899999999999999" customHeight="1">
      <c r="A181" s="116"/>
      <c r="B181" s="121"/>
      <c r="D181" s="371"/>
      <c r="E181" s="527"/>
      <c r="P181" s="375" t="s">
        <v>2361</v>
      </c>
      <c r="Q181" s="376"/>
      <c r="R181" s="376"/>
      <c r="S181" s="376"/>
      <c r="T181" s="446">
        <f>COUNTIFS(Table4[Status Anterior],'1. Status Resumo FY24'!$P179,Table4[Sub-âmbito],'1. Status Resumo FY24'!$G$147,Table4[Tipo de teste],"2. Campo",'2. Status Detalhe Campos FY24'!$U$7:$U$740,"*Novo Plano*",'2. Status Detalhe Campos FY24'!$T$7:$T$740,"*Âmbito ESTR e (ou) LF*")</f>
        <v>8</v>
      </c>
      <c r="U181" s="446">
        <f>COUNTIFS(Table4[Status Atual],'1. Status Resumo FY24'!$P179,Table4[Sub-âmbito],'1. Status Resumo FY24'!$G$147,Table4[Tipo de teste],"2. Campo",'2. Status Detalhe Campos FY24'!$U$7:$U$740,"*Novo Plano*",'2. Status Detalhe Campos FY24'!$U$7:$U$740,"*Novo Plano*",'2. Status Detalhe Campos FY24'!$T$7:$T$740,"*Âmbito ESTR e (ou) LF*")</f>
        <v>8</v>
      </c>
      <c r="V181" s="446">
        <f t="shared" si="8"/>
        <v>0</v>
      </c>
      <c r="X181" s="540"/>
      <c r="Y181" s="540"/>
      <c r="Z181" s="540"/>
      <c r="AA181" s="540"/>
      <c r="AB181" s="540"/>
      <c r="AC181" s="540"/>
      <c r="AD181" s="540"/>
      <c r="AE181" s="540"/>
      <c r="AF181" s="540"/>
      <c r="AG181" s="162"/>
      <c r="AH181" s="116"/>
    </row>
    <row r="182" spans="1:34" ht="17.899999999999999" customHeight="1">
      <c r="A182" s="116"/>
      <c r="B182" s="121"/>
      <c r="D182" s="371"/>
      <c r="E182" s="527"/>
      <c r="P182" s="377" t="s">
        <v>2362</v>
      </c>
      <c r="Q182" s="378"/>
      <c r="R182" s="378"/>
      <c r="S182" s="378"/>
      <c r="T182" s="447">
        <f>COUNTIFS(Table4[Status Anterior],'1. Status Resumo FY24'!$P179,Table4[Sub-âmbito],'1. Status Resumo FY24'!$G$147,Table4[Tipo de teste],"2. Campo",'2. Status Detalhe Campos FY24'!$U$7:$U$740,"*Novo Plano*",'2. Status Detalhe Campos FY24'!$T$7:$T$740,"*Outros*")</f>
        <v>13</v>
      </c>
      <c r="U182" s="447">
        <f>COUNTIFS(Table4[Status Atual],'1. Status Resumo FY24'!$P179,Table4[Sub-âmbito],'1. Status Resumo FY24'!$G$147,Table4[Tipo de teste],"2. Campo",'2. Status Detalhe Campos FY24'!$U$7:$U$740,"*Novo Plano*",'2. Status Detalhe Campos FY24'!$U$7:$U$740,"*Novo Plano*",'2. Status Detalhe Campos FY24'!$T$7:$T$740,"*Outros*")</f>
        <v>13</v>
      </c>
      <c r="V182" s="447">
        <f t="shared" si="8"/>
        <v>0</v>
      </c>
      <c r="X182" s="540"/>
      <c r="Y182" s="540"/>
      <c r="Z182" s="540"/>
      <c r="AA182" s="540"/>
      <c r="AB182" s="540"/>
      <c r="AC182" s="540"/>
      <c r="AD182" s="540"/>
      <c r="AE182" s="540"/>
      <c r="AF182" s="540"/>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0"/>
      <c r="Y183" s="540"/>
      <c r="Z183" s="540"/>
      <c r="AA183" s="540"/>
      <c r="AB183" s="540"/>
      <c r="AC183" s="540"/>
      <c r="AD183" s="540"/>
      <c r="AE183" s="540"/>
      <c r="AF183" s="540"/>
      <c r="AG183" s="162"/>
      <c r="AH183" s="116"/>
    </row>
    <row r="184" spans="1:34" ht="17.899999999999999" customHeight="1">
      <c r="A184" s="116"/>
      <c r="B184" s="121"/>
      <c r="P184" s="375" t="s">
        <v>2366</v>
      </c>
      <c r="Q184" s="376"/>
      <c r="R184" s="376"/>
      <c r="S184" s="376"/>
      <c r="T184" s="446">
        <f>COUNTIFS(Table4[Status Anterior],'1. Status Resumo FY24'!$P183,Table4[Sub-âmbito],'1. Status Resumo FY24'!$G$147,Table4[Tipo de teste],"2. Campo",'2. Status Detalhe Campos FY24'!$U$7:$U$740,"*Plano anterior*")</f>
        <v>0</v>
      </c>
      <c r="U184" s="446">
        <f>COUNTIFS(Table4[Status Atual],'1. Status Resumo FY24'!$P183,Table4[Sub-âmbito],'1. Status Resumo FY24'!$G$147,Table4[Tipo de teste],"2. Campo",'2. Status Detalhe Campos FY24'!$U$7:$U$740,"*Plano anterior*")</f>
        <v>0</v>
      </c>
      <c r="V184" s="446">
        <f t="shared" si="8"/>
        <v>0</v>
      </c>
      <c r="X184" s="540"/>
      <c r="Y184" s="540"/>
      <c r="Z184" s="540"/>
      <c r="AA184" s="540"/>
      <c r="AB184" s="540"/>
      <c r="AC184" s="540"/>
      <c r="AD184" s="540"/>
      <c r="AE184" s="540"/>
      <c r="AF184" s="540"/>
      <c r="AG184" s="162"/>
      <c r="AH184" s="116"/>
    </row>
    <row r="185" spans="1:34" ht="17.899999999999999" customHeight="1">
      <c r="A185" s="116"/>
      <c r="B185" s="121"/>
      <c r="P185" s="375" t="s">
        <v>2361</v>
      </c>
      <c r="Q185" s="376"/>
      <c r="R185" s="376"/>
      <c r="S185" s="376"/>
      <c r="T185" s="446">
        <f>COUNTIFS(Table4[Status Anterior],'1. Status Resumo FY24'!$P183,Table4[Sub-âmbito],'1. Status Resumo FY24'!$G$147,Table4[Tipo de teste],"2. Campo",'2. Status Detalhe Campos FY24'!$U$7:$U$740,"*Novo Plano*",'2. Status Detalhe Campos FY24'!$T$7:$T$740,"*Âmbito ESTR e (ou) LF*")</f>
        <v>0</v>
      </c>
      <c r="U185" s="446">
        <f>COUNTIFS(Table4[Status Atual],'1. Status Resumo FY24'!$P183,Table4[Sub-âmbito],'1. Status Resumo FY24'!$G$147,Table4[Tipo de teste],"2. Campo",'2. Status Detalhe Campos FY24'!$U$7:$U$740,"*Novo Plano*",'2. Status Detalhe Campos FY24'!$U$7:$U$740,"*Novo Plano*",'2. Status Detalhe Campos FY24'!$T$7:$T$740,"*Âmbito ESTR e (ou) LF*")</f>
        <v>0</v>
      </c>
      <c r="V185" s="446">
        <f t="shared" si="8"/>
        <v>0</v>
      </c>
      <c r="X185" s="540"/>
      <c r="Y185" s="540"/>
      <c r="Z185" s="540"/>
      <c r="AA185" s="540"/>
      <c r="AB185" s="540"/>
      <c r="AC185" s="540"/>
      <c r="AD185" s="540"/>
      <c r="AE185" s="540"/>
      <c r="AF185" s="540"/>
      <c r="AG185" s="162"/>
      <c r="AH185" s="116"/>
    </row>
    <row r="186" spans="1:34" ht="17.899999999999999" customHeight="1">
      <c r="A186" s="116"/>
      <c r="B186" s="121"/>
      <c r="P186" s="379" t="s">
        <v>2362</v>
      </c>
      <c r="Q186" s="380"/>
      <c r="R186" s="380"/>
      <c r="S186" s="380"/>
      <c r="T186" s="448">
        <f>COUNTIFS(Table4[Status Anterior],'1. Status Resumo FY24'!$P183,Table4[Sub-âmbito],'1. Status Resumo FY24'!$G$147,Table4[Tipo de teste],"2. Campo",'2. Status Detalhe Campos FY24'!$U$7:$U$740,"*Novo Plano*",'2. Status Detalhe Campos FY24'!$T$7:$T$740,"*Outros*")</f>
        <v>0</v>
      </c>
      <c r="U186" s="448">
        <f>COUNTIFS(Table4[Status Atual],'1. Status Resumo FY24'!$P183,Table4[Sub-âmbito],'1. Status Resumo FY24'!$G$147,Table4[Tipo de teste],"2. Campo",'2. Status Detalhe Campos FY24'!$U$7:$U$740,"*Novo Plano*",'2. Status Detalhe Campos FY24'!$U$7:$U$740,"*Novo Plano*",'2. Status Detalhe Campos FY24'!$T$7:$T$740,"*Outros*")</f>
        <v>0</v>
      </c>
      <c r="V186" s="448">
        <f t="shared" si="8"/>
        <v>0</v>
      </c>
      <c r="X186" s="540"/>
      <c r="Y186" s="540"/>
      <c r="Z186" s="540"/>
      <c r="AA186" s="540"/>
      <c r="AB186" s="540"/>
      <c r="AC186" s="540"/>
      <c r="AD186" s="540"/>
      <c r="AE186" s="540"/>
      <c r="AF186" s="540"/>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40"/>
      <c r="Y187" s="540"/>
      <c r="Z187" s="540"/>
      <c r="AA187" s="540"/>
      <c r="AB187" s="540"/>
      <c r="AC187" s="540"/>
      <c r="AD187" s="540"/>
      <c r="AE187" s="540"/>
      <c r="AF187" s="540"/>
      <c r="AG187" s="162"/>
      <c r="AH187" s="116"/>
    </row>
    <row r="188" spans="1:34" ht="17.899999999999999" customHeight="1">
      <c r="A188" s="116"/>
      <c r="B188" s="121"/>
      <c r="P188" s="381" t="s">
        <v>2366</v>
      </c>
      <c r="T188" s="449">
        <f t="shared" si="9"/>
        <v>134</v>
      </c>
      <c r="U188" s="449">
        <f t="shared" si="9"/>
        <v>134</v>
      </c>
      <c r="V188" s="449">
        <f>+U188-T188</f>
        <v>0</v>
      </c>
      <c r="X188" s="540"/>
      <c r="Y188" s="540"/>
      <c r="Z188" s="540"/>
      <c r="AA188" s="540"/>
      <c r="AB188" s="540"/>
      <c r="AC188" s="540"/>
      <c r="AD188" s="540"/>
      <c r="AE188" s="540"/>
      <c r="AF188" s="540"/>
      <c r="AG188" s="162"/>
      <c r="AH188" s="116"/>
    </row>
    <row r="189" spans="1:34" ht="17.899999999999999" customHeight="1">
      <c r="A189" s="116"/>
      <c r="B189" s="121"/>
      <c r="P189" s="381" t="s">
        <v>2361</v>
      </c>
      <c r="T189" s="449">
        <f t="shared" si="9"/>
        <v>20</v>
      </c>
      <c r="U189" s="449">
        <f t="shared" si="9"/>
        <v>20</v>
      </c>
      <c r="V189" s="449">
        <f>+U189-T189</f>
        <v>0</v>
      </c>
      <c r="X189" s="540"/>
      <c r="Y189" s="540"/>
      <c r="Z189" s="540"/>
      <c r="AA189" s="540"/>
      <c r="AB189" s="540"/>
      <c r="AC189" s="540"/>
      <c r="AD189" s="540"/>
      <c r="AE189" s="540"/>
      <c r="AF189" s="540"/>
      <c r="AG189" s="162"/>
      <c r="AH189" s="116"/>
    </row>
    <row r="190" spans="1:34" ht="17.899999999999999" customHeight="1">
      <c r="A190" s="116"/>
      <c r="B190" s="121"/>
      <c r="P190" s="382" t="s">
        <v>2362</v>
      </c>
      <c r="Q190" s="130"/>
      <c r="R190" s="130"/>
      <c r="S190" s="130"/>
      <c r="T190" s="450">
        <f t="shared" si="9"/>
        <v>51</v>
      </c>
      <c r="U190" s="450">
        <f t="shared" si="9"/>
        <v>51</v>
      </c>
      <c r="V190" s="450">
        <f>+U190-T190</f>
        <v>0</v>
      </c>
      <c r="X190" s="540"/>
      <c r="Y190" s="540"/>
      <c r="Z190" s="540"/>
      <c r="AA190" s="540"/>
      <c r="AB190" s="540"/>
      <c r="AC190" s="540"/>
      <c r="AD190" s="540"/>
      <c r="AE190" s="540"/>
      <c r="AF190" s="540"/>
      <c r="AG190" s="162"/>
      <c r="AH190" s="116"/>
    </row>
    <row r="191" spans="1:34">
      <c r="A191" s="116"/>
      <c r="B191" s="121"/>
      <c r="T191" s="127"/>
      <c r="U191" s="127"/>
      <c r="X191" s="540"/>
      <c r="Y191" s="540"/>
      <c r="Z191" s="540"/>
      <c r="AA191" s="540"/>
      <c r="AB191" s="540"/>
      <c r="AC191" s="540"/>
      <c r="AD191" s="540"/>
      <c r="AE191" s="540"/>
      <c r="AF191" s="540"/>
      <c r="AG191" s="162"/>
      <c r="AH191" s="116"/>
    </row>
    <row r="192" spans="1:34">
      <c r="A192" s="116"/>
      <c r="B192" s="121"/>
      <c r="P192" s="129" t="s">
        <v>617</v>
      </c>
      <c r="Q192" s="130"/>
      <c r="R192" s="130"/>
      <c r="S192" s="130"/>
      <c r="T192" s="130"/>
      <c r="U192" s="130"/>
      <c r="V192" s="130"/>
      <c r="X192" s="540"/>
      <c r="Y192" s="540"/>
      <c r="Z192" s="540"/>
      <c r="AA192" s="540"/>
      <c r="AB192" s="540"/>
      <c r="AC192" s="540"/>
      <c r="AD192" s="540"/>
      <c r="AE192" s="540"/>
      <c r="AF192" s="540"/>
      <c r="AG192" s="162"/>
      <c r="AH192" s="116"/>
    </row>
    <row r="193" spans="1:34">
      <c r="A193" s="116"/>
      <c r="B193" s="121"/>
      <c r="O193" s="159" t="s">
        <v>619</v>
      </c>
      <c r="P193" s="25" t="s">
        <v>379</v>
      </c>
      <c r="T193" s="200" t="s">
        <v>1841</v>
      </c>
      <c r="X193" s="540"/>
      <c r="Y193" s="540"/>
      <c r="Z193" s="540"/>
      <c r="AA193" s="540"/>
      <c r="AB193" s="540"/>
      <c r="AC193" s="540"/>
      <c r="AD193" s="540"/>
      <c r="AE193" s="540"/>
      <c r="AF193" s="540"/>
      <c r="AG193" s="162"/>
      <c r="AH193" s="116"/>
    </row>
    <row r="194" spans="1:34">
      <c r="A194" s="116"/>
      <c r="B194" s="121"/>
      <c r="O194" s="159" t="s">
        <v>619</v>
      </c>
      <c r="P194" s="25" t="s">
        <v>335</v>
      </c>
      <c r="T194" s="200" t="s">
        <v>1841</v>
      </c>
      <c r="X194" s="540"/>
      <c r="Y194" s="540"/>
      <c r="Z194" s="540"/>
      <c r="AA194" s="540"/>
      <c r="AB194" s="540"/>
      <c r="AC194" s="540"/>
      <c r="AD194" s="540"/>
      <c r="AE194" s="540"/>
      <c r="AF194" s="540"/>
      <c r="AG194" s="162"/>
      <c r="AH194" s="116"/>
    </row>
    <row r="195" spans="1:34">
      <c r="A195" s="116"/>
      <c r="B195" s="121"/>
      <c r="O195" s="159" t="s">
        <v>619</v>
      </c>
      <c r="P195" s="25" t="s">
        <v>368</v>
      </c>
      <c r="T195" s="200" t="s">
        <v>1841</v>
      </c>
      <c r="X195" s="540"/>
      <c r="Y195" s="540"/>
      <c r="Z195" s="540"/>
      <c r="AA195" s="540"/>
      <c r="AB195" s="540"/>
      <c r="AC195" s="540"/>
      <c r="AD195" s="540"/>
      <c r="AE195" s="540"/>
      <c r="AF195" s="540"/>
      <c r="AG195" s="162"/>
      <c r="AH195" s="116"/>
    </row>
    <row r="196" spans="1:34">
      <c r="A196" s="116"/>
      <c r="B196" s="121"/>
      <c r="O196" s="159" t="s">
        <v>619</v>
      </c>
      <c r="P196" s="25" t="s">
        <v>439</v>
      </c>
      <c r="T196" s="161" t="s">
        <v>621</v>
      </c>
      <c r="X196" s="540"/>
      <c r="Y196" s="540"/>
      <c r="Z196" s="540"/>
      <c r="AA196" s="540"/>
      <c r="AB196" s="540"/>
      <c r="AC196" s="540"/>
      <c r="AD196" s="540"/>
      <c r="AE196" s="540"/>
      <c r="AF196" s="540"/>
      <c r="AG196" s="162"/>
      <c r="AH196" s="116"/>
    </row>
    <row r="197" spans="1:34">
      <c r="A197" s="116"/>
      <c r="B197" s="121"/>
      <c r="O197" s="159" t="s">
        <v>619</v>
      </c>
      <c r="P197" s="25" t="s">
        <v>441</v>
      </c>
      <c r="T197" s="200" t="s">
        <v>1841</v>
      </c>
      <c r="X197" s="540"/>
      <c r="Y197" s="540"/>
      <c r="Z197" s="540"/>
      <c r="AA197" s="540"/>
      <c r="AB197" s="540"/>
      <c r="AC197" s="540"/>
      <c r="AD197" s="540"/>
      <c r="AE197" s="540"/>
      <c r="AF197" s="540"/>
      <c r="AG197" s="162"/>
      <c r="AH197" s="116"/>
    </row>
    <row r="198" spans="1:34">
      <c r="A198" s="116"/>
      <c r="B198" s="121"/>
      <c r="O198" s="159" t="s">
        <v>619</v>
      </c>
      <c r="P198" s="25" t="s">
        <v>1860</v>
      </c>
      <c r="T198" s="200" t="s">
        <v>1841</v>
      </c>
      <c r="X198" s="540"/>
      <c r="Y198" s="540"/>
      <c r="Z198" s="540"/>
      <c r="AA198" s="540"/>
      <c r="AB198" s="540"/>
      <c r="AC198" s="540"/>
      <c r="AD198" s="540"/>
      <c r="AE198" s="540"/>
      <c r="AF198" s="540"/>
      <c r="AG198" s="162"/>
      <c r="AH198" s="116"/>
    </row>
    <row r="199" spans="1:34">
      <c r="A199" s="116"/>
      <c r="B199" s="121"/>
      <c r="O199" s="159" t="s">
        <v>619</v>
      </c>
      <c r="P199" s="25" t="s">
        <v>1861</v>
      </c>
      <c r="T199" s="161" t="s">
        <v>621</v>
      </c>
      <c r="X199" s="540"/>
      <c r="Y199" s="540"/>
      <c r="Z199" s="540"/>
      <c r="AA199" s="540"/>
      <c r="AB199" s="540"/>
      <c r="AC199" s="540"/>
      <c r="AD199" s="540"/>
      <c r="AE199" s="540"/>
      <c r="AF199" s="540"/>
      <c r="AG199" s="162"/>
      <c r="AH199" s="116"/>
    </row>
    <row r="200" spans="1:34">
      <c r="A200" s="116"/>
      <c r="B200" s="121"/>
      <c r="O200" s="159" t="s">
        <v>619</v>
      </c>
      <c r="P200" s="25" t="s">
        <v>392</v>
      </c>
      <c r="T200" s="161" t="s">
        <v>621</v>
      </c>
      <c r="X200" s="540"/>
      <c r="Y200" s="540"/>
      <c r="Z200" s="540"/>
      <c r="AA200" s="540"/>
      <c r="AB200" s="540"/>
      <c r="AC200" s="540"/>
      <c r="AD200" s="540"/>
      <c r="AE200" s="540"/>
      <c r="AF200" s="540"/>
      <c r="AG200" s="162"/>
      <c r="AH200" s="116"/>
    </row>
    <row r="201" spans="1:34">
      <c r="A201" s="116"/>
      <c r="B201" s="121"/>
      <c r="X201" s="540"/>
      <c r="Y201" s="540"/>
      <c r="Z201" s="540"/>
      <c r="AA201" s="540"/>
      <c r="AB201" s="540"/>
      <c r="AC201" s="540"/>
      <c r="AD201" s="540"/>
      <c r="AE201" s="540"/>
      <c r="AF201" s="54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72"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tabSelected="1" zoomScale="70" zoomScaleNormal="70" workbookViewId="0">
      <pane xSplit="3" ySplit="6" topLeftCell="D7" activePane="bottomRight" state="frozen"/>
      <selection pane="topRight" activeCell="D136" sqref="D136"/>
      <selection pane="bottomLeft" activeCell="D136" sqref="D136"/>
      <selection pane="bottomRight" activeCell="F753" sqref="F753"/>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2320</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 xml:space="preserve">6. Em implementação </v>
      </c>
      <c r="H43" s="135" t="s">
        <v>2320</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 xml:space="preserve">6. Em implementação </v>
      </c>
      <c r="H44" s="135" t="s">
        <v>2320</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 xml:space="preserve">6. Em implementação </v>
      </c>
      <c r="H45" s="135" t="s">
        <v>2320</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612</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2319</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612</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612</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612</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612</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2320</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customHeight="1">
      <c r="A122" s="29" t="str">
        <f t="shared" si="2"/>
        <v>PROPERTY_ENERGY_CERTIFICATEENERGY_CONSUMPTION_VALUE_YEAR</v>
      </c>
      <c r="B122" s="141" t="s">
        <v>26</v>
      </c>
      <c r="C122" s="137" t="s">
        <v>54</v>
      </c>
      <c r="D122" s="133" t="s">
        <v>40</v>
      </c>
      <c r="E122" s="134" t="s">
        <v>123</v>
      </c>
      <c r="F122" s="476" t="s">
        <v>51</v>
      </c>
      <c r="G122" s="135" t="str">
        <f>VLOOKUP(A122,Plano_V3!$A$26:$G$768,7,0)</f>
        <v xml:space="preserve">6. Em implementação </v>
      </c>
      <c r="H122" s="135" t="s">
        <v>2320</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hidden="1"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2425</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hidden="1"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611</v>
      </c>
      <c r="I124" s="473"/>
      <c r="J124" s="153"/>
      <c r="K124" s="359" t="s">
        <v>2425</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hidden="1"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2425</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hidden="1"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2425</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hidden="1"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2425</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hidden="1"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2425</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hidden="1"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2425</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hidden="1"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2425</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hidden="1"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2425</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hidden="1"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2425</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hidden="1"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2425</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hidden="1"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2425</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hidden="1"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2425</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hidden="1"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2425</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hidden="1"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2425</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hidden="1"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2425</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hidden="1"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2425</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hidden="1"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611</v>
      </c>
      <c r="I140" s="473"/>
      <c r="J140" s="153"/>
      <c r="K140" s="359" t="s">
        <v>2425</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hidden="1"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2425</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hidden="1"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2425</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hidden="1"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2425</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hidden="1"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2425</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hidden="1"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2425</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hidden="1"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2425</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hidden="1"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2425</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hidden="1"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2425</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hidden="1"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2425</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hidden="1"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2425</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hidden="1"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2425</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hidden="1"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2425</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hidden="1"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2425</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hidden="1"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2425</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hidden="1"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2425</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hidden="1"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2425</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hidden="1"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2425</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hidden="1"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2425</v>
      </c>
      <c r="L158" s="153"/>
      <c r="M158" s="152"/>
      <c r="N158" s="152"/>
      <c r="O158" s="152"/>
      <c r="P158" s="202"/>
      <c r="Q158" s="202"/>
      <c r="R158" s="203"/>
      <c r="S158" s="324"/>
      <c r="T158" s="324"/>
      <c r="U158" s="372" t="s">
        <v>2321</v>
      </c>
      <c r="V158" s="324"/>
    </row>
    <row r="159" spans="1:22" ht="16.399999999999999" hidden="1"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2425</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hidden="1"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2425</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hidden="1"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2425</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hidden="1"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2425</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hidden="1"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2425</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hidden="1"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2425</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hidden="1"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2425</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hidden="1"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2425</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hidden="1"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2425</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1840</v>
      </c>
      <c r="I168" s="473"/>
      <c r="J168" s="359" t="s">
        <v>2307</v>
      </c>
      <c r="K168" s="142" t="s">
        <v>2242</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 xml:space="preserve">6. Em implementação </v>
      </c>
      <c r="H170" s="135" t="s">
        <v>2320</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 xml:space="preserve">6. Em implementação </v>
      </c>
      <c r="H171" s="135" t="s">
        <v>2320</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2319</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hidden="1"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2425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1840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1840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1840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1840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1840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1840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1840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1840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1840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1840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1840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1840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1840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1840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1840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1840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1840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1840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1840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1840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1840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1840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1840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1840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1840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1840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1840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1840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1840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1840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1840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1840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1840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1840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1840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1840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1840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1840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1840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1840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1840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1840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1840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1840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1840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1840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1840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1840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1840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611</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2320</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hidden="1"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2320</v>
      </c>
      <c r="I415" s="473"/>
      <c r="J415" s="153"/>
      <c r="K415" s="359"/>
      <c r="L415" s="489"/>
      <c r="M415" s="152"/>
      <c r="N415" s="152"/>
      <c r="O415" s="152"/>
      <c r="P415" s="202"/>
      <c r="Q415" s="202"/>
      <c r="R415" s="202"/>
      <c r="S415" s="324"/>
      <c r="T415" s="324"/>
      <c r="U415" s="372" t="s">
        <v>2321</v>
      </c>
      <c r="V415" s="323"/>
    </row>
    <row r="416" spans="1:22" ht="16.399999999999999" hidden="1"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hidden="1"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2320</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2320</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E1" zoomScale="60" zoomScaleNormal="60" workbookViewId="0">
      <selection activeCell="G9" sqref="G9:G1532"/>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2320</v>
      </c>
      <c r="J291" s="42">
        <f>VLOOKUP(Table1[[#This Row],[Status]],Auxiliar!$B$16:$C$24,2,0)</f>
        <v>7</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166">
        <f>+VLOOKUP(CONCATENATE(Table1[[#This Row],[Tabela]],Table1[[#This Row],[Campo]]),'2. Status Detalhe Campos FY24'!A:J,9,FALSE)</f>
        <v>0</v>
      </c>
    </row>
    <row r="292" spans="2:24" ht="17.899999999999999"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2320</v>
      </c>
      <c r="J292" s="42">
        <f>VLOOKUP(Table1[[#This Row],[Status]],Auxiliar!$B$16:$C$24,2,0)</f>
        <v>7</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0.5</v>
      </c>
      <c r="X292" s="166">
        <f>+VLOOKUP(CONCATENATE(Table1[[#This Row],[Tabela]],Table1[[#This Row],[Campo]]),'2. Status Detalhe Campos FY24'!A:J,9,FALSE)</f>
        <v>0</v>
      </c>
    </row>
    <row r="293" spans="2:24" ht="17.899999999999999"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2320</v>
      </c>
      <c r="J293" s="42">
        <f>VLOOKUP(Table1[[#This Row],[Status]],Auxiliar!$B$16:$C$24,2,0)</f>
        <v>7</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2.5000000000000001E-2</v>
      </c>
      <c r="X293" s="166">
        <f>+VLOOKUP(CONCATENATE(Table1[[#This Row],[Tabela]],Table1[[#This Row],[Campo]]),'2. Status Detalhe Campos FY24'!A:J,9,FALSE)</f>
        <v>0</v>
      </c>
    </row>
    <row r="294" spans="2:24" ht="17.899999999999999" customHeight="1">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6">
        <f>+VLOOKUP(CONCATENATE(Table1[[#This Row],[Tabela]],Table1[[#This Row],[Campo]]),'2. Status Detalhe Campos FY24'!A:J,9,FALSE)</f>
        <v>0</v>
      </c>
    </row>
    <row r="295" spans="2:24" ht="17.899999999999999"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customHeight="1">
      <c r="B1249" s="38" t="s">
        <v>26</v>
      </c>
      <c r="C1249" s="38" t="s">
        <v>26</v>
      </c>
      <c r="D1249" s="336" t="s">
        <v>1270</v>
      </c>
      <c r="E1249" s="339" t="s">
        <v>1252</v>
      </c>
      <c r="F1249" s="338" t="s">
        <v>368</v>
      </c>
      <c r="G1249" s="340" t="s">
        <v>369</v>
      </c>
      <c r="H1249" s="342" t="str">
        <f>Table1[[#This Row],[Tabela]]&amp;Table1[[#This Row],[Campo]]</f>
        <v>lt004_protectiontyp_ep_scr</v>
      </c>
      <c r="I1249" s="2" t="s">
        <v>2320</v>
      </c>
      <c r="J1249" s="44">
        <f>VLOOKUP(Table1[[#This Row],[Status]],Auxiliar!$B$16:$C$24,2,0)</f>
        <v>7</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0.5</v>
      </c>
      <c r="X1249" s="166">
        <f>+VLOOKUP(CONCATENATE(Table1[[#This Row],[Tabela]],Table1[[#This Row],[Campo]]),'2. Status Detalhe Campos FY24'!A:J,9,FALSE)</f>
        <v>0</v>
      </c>
    </row>
    <row r="1250" spans="2:24" ht="17.899999999999999" customHeight="1">
      <c r="B1250" s="38" t="s">
        <v>26</v>
      </c>
      <c r="C1250" s="38" t="s">
        <v>26</v>
      </c>
      <c r="D1250" s="38" t="s">
        <v>1270</v>
      </c>
      <c r="E1250" s="38" t="s">
        <v>1252</v>
      </c>
      <c r="F1250" s="38" t="s">
        <v>368</v>
      </c>
      <c r="G1250" s="38" t="s">
        <v>369</v>
      </c>
      <c r="H1250" s="58" t="str">
        <f>Table1[[#This Row],[Tabela]]&amp;Table1[[#This Row],[Campo]]</f>
        <v>lt004_protectiontyp_ep_scr</v>
      </c>
      <c r="I1250" s="2" t="s">
        <v>2320</v>
      </c>
      <c r="J1250" s="44">
        <f>VLOOKUP(Table1[[#This Row],[Status]],Auxiliar!$B$16:$C$24,2,0)</f>
        <v>7</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0.5</v>
      </c>
      <c r="X1250" s="166">
        <f>+VLOOKUP(CONCATENATE(Table1[[#This Row],[Tabela]],Table1[[#This Row],[Campo]]),'2. Status Detalhe Campos FY24'!A:J,9,FALSE)</f>
        <v>0</v>
      </c>
    </row>
    <row r="1251" spans="2:24" ht="17.899999999999999" customHeight="1">
      <c r="B1251" s="40" t="s">
        <v>26</v>
      </c>
      <c r="C1251" s="40" t="s">
        <v>26</v>
      </c>
      <c r="D1251" s="42" t="s">
        <v>1270</v>
      </c>
      <c r="E1251" s="42" t="s">
        <v>1252</v>
      </c>
      <c r="F1251" s="42" t="s">
        <v>368</v>
      </c>
      <c r="G1251" s="42" t="s">
        <v>369</v>
      </c>
      <c r="H1251" s="56" t="str">
        <f>Table1[[#This Row],[Tabela]]&amp;Table1[[#This Row],[Campo]]</f>
        <v>lt004_protectiontyp_ep_scr</v>
      </c>
      <c r="I1251" s="2" t="s">
        <v>2320</v>
      </c>
      <c r="J1251" s="44">
        <f>VLOOKUP(Table1[[#This Row],[Status]],Auxiliar!$B$16:$C$24,2,0)</f>
        <v>7</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2.5000000000000001E-2</v>
      </c>
      <c r="X1251" s="166">
        <f>+VLOOKUP(CONCATENATE(Table1[[#This Row],[Tabela]],Table1[[#This Row],[Campo]]),'2. Status Detalhe Campos FY24'!A:J,9,FALSE)</f>
        <v>0</v>
      </c>
    </row>
    <row r="1252" spans="2:24" ht="17.899999999999999"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customHeight="1">
      <c r="B1287" s="40" t="s">
        <v>26</v>
      </c>
      <c r="C1287" s="40" t="s">
        <v>26</v>
      </c>
      <c r="D1287" s="36" t="s">
        <v>1270</v>
      </c>
      <c r="E1287" s="41" t="s">
        <v>1252</v>
      </c>
      <c r="F1287" s="39" t="s">
        <v>368</v>
      </c>
      <c r="G1287" s="37" t="s">
        <v>370</v>
      </c>
      <c r="H1287" s="59" t="str">
        <f>Table1[[#This Row],[Tabela]]&amp;Table1[[#This Row],[Campo]]</f>
        <v>lt004_protectionep_scr</v>
      </c>
      <c r="I1287" s="2" t="s">
        <v>2320</v>
      </c>
      <c r="J1287" s="44">
        <f>VLOOKUP(Table1[[#This Row],[Status]],Auxiliar!$B$16:$C$24,2,0)</f>
        <v>7</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0.5</v>
      </c>
      <c r="X1287" s="166">
        <f>+VLOOKUP(CONCATENATE(Table1[[#This Row],[Tabela]],Table1[[#This Row],[Campo]]),'2. Status Detalhe Campos FY24'!A:J,9,FALSE)</f>
        <v>0</v>
      </c>
    </row>
    <row r="1288" spans="2:24" ht="17.899999999999999" customHeight="1">
      <c r="B1288" s="38" t="s">
        <v>26</v>
      </c>
      <c r="C1288" s="38" t="s">
        <v>26</v>
      </c>
      <c r="D1288" s="38" t="s">
        <v>1270</v>
      </c>
      <c r="E1288" s="38" t="s">
        <v>1252</v>
      </c>
      <c r="F1288" s="38" t="s">
        <v>368</v>
      </c>
      <c r="G1288" s="38" t="s">
        <v>370</v>
      </c>
      <c r="H1288" s="58" t="str">
        <f>Table1[[#This Row],[Tabela]]&amp;Table1[[#This Row],[Campo]]</f>
        <v>lt004_protectionep_scr</v>
      </c>
      <c r="I1288" s="2" t="s">
        <v>2320</v>
      </c>
      <c r="J1288" s="44">
        <f>VLOOKUP(Table1[[#This Row],[Status]],Auxiliar!$B$16:$C$24,2,0)</f>
        <v>7</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0.5</v>
      </c>
      <c r="X1288" s="166">
        <f>+VLOOKUP(CONCATENATE(Table1[[#This Row],[Tabela]],Table1[[#This Row],[Campo]]),'2. Status Detalhe Campos FY24'!A:J,9,FALSE)</f>
        <v>0</v>
      </c>
    </row>
    <row r="1289" spans="2:24" ht="35.15" customHeight="1">
      <c r="B1289" s="38" t="s">
        <v>26</v>
      </c>
      <c r="C1289" s="38" t="s">
        <v>26</v>
      </c>
      <c r="D1289" s="38" t="s">
        <v>1270</v>
      </c>
      <c r="E1289" s="38" t="s">
        <v>1252</v>
      </c>
      <c r="F1289" s="38" t="s">
        <v>368</v>
      </c>
      <c r="G1289" s="38" t="s">
        <v>370</v>
      </c>
      <c r="H1289" s="58" t="str">
        <f>Table1[[#This Row],[Tabela]]&amp;Table1[[#This Row],[Campo]]</f>
        <v>lt004_protectionep_scr</v>
      </c>
      <c r="I1289" s="2" t="s">
        <v>2320</v>
      </c>
      <c r="J1289" s="44">
        <f>VLOOKUP(Table1[[#This Row],[Status]],Auxiliar!$B$16:$C$24,2,0)</f>
        <v>7</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2.5000000000000001E-2</v>
      </c>
      <c r="X1289" s="166">
        <f>+VLOOKUP(CONCATENATE(Table1[[#This Row],[Tabela]],Table1[[#This Row],[Campo]]),'2. Status Detalhe Campos FY24'!A:J,9,FALSE)</f>
        <v>0</v>
      </c>
    </row>
    <row r="1290" spans="2:24" ht="17.899999999999999"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customHeight="1">
      <c r="B1482" s="38" t="s">
        <v>26</v>
      </c>
      <c r="C1482" s="38" t="s">
        <v>26</v>
      </c>
      <c r="D1482" s="40"/>
      <c r="E1482" s="46"/>
      <c r="F1482" s="42" t="s">
        <v>368</v>
      </c>
      <c r="G1482" s="360" t="s">
        <v>2248</v>
      </c>
      <c r="H1482" s="58" t="str">
        <f>Table1[[#This Row],[Tabela]]&amp;Table1[[#This Row],[Campo]]</f>
        <v>lt004_protectionEPC_EMSSNS_LBL</v>
      </c>
      <c r="I1482" s="2" t="s">
        <v>2320</v>
      </c>
      <c r="J1482" s="44">
        <f>VLOOKUP(Table1[[#This Row],[Status]],Auxiliar!$B$16:$C$24,2,0)</f>
        <v>7</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customHeight="1">
      <c r="B1484" s="38" t="s">
        <v>26</v>
      </c>
      <c r="C1484" s="38" t="s">
        <v>26</v>
      </c>
      <c r="D1484" s="40"/>
      <c r="E1484" s="46"/>
      <c r="F1484" s="42" t="s">
        <v>368</v>
      </c>
      <c r="G1484" s="360" t="s">
        <v>2250</v>
      </c>
      <c r="H1484" s="58" t="str">
        <f>Table1[[#This Row],[Tabela]]&amp;Table1[[#This Row],[Campo]]</f>
        <v>lt004_protectionTYP_EMSSNS_SCR</v>
      </c>
      <c r="I1484" s="2" t="s">
        <v>2320</v>
      </c>
      <c r="J1484" s="44">
        <f>VLOOKUP(Table1[[#This Row],[Status]],Auxiliar!$B$16:$C$24,2,0)</f>
        <v>7</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customHeight="1">
      <c r="B1485" s="38" t="s">
        <v>26</v>
      </c>
      <c r="C1485" s="38" t="s">
        <v>26</v>
      </c>
      <c r="D1485" s="40"/>
      <c r="E1485" s="46"/>
      <c r="F1485" s="42" t="s">
        <v>368</v>
      </c>
      <c r="G1485" s="360" t="s">
        <v>2251</v>
      </c>
      <c r="H1485" s="58" t="str">
        <f>Table1[[#This Row],[Tabela]]&amp;Table1[[#This Row],[Campo]]</f>
        <v>lt004_protectionEPC_EMSSNS_SCR</v>
      </c>
      <c r="I1485" s="2" t="s">
        <v>2320</v>
      </c>
      <c r="J1485" s="44">
        <f>VLOOKUP(Table1[[#This Row],[Status]],Auxiliar!$B$16:$C$24,2,0)</f>
        <v>7</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15" operator="containsText" id="{8983D8D5-C2D6-4B72-B323-1B9C72824199}">
            <xm:f>NOT(ISERROR(SEARCH(Auxiliar!$B$21,I10)))</xm:f>
            <xm:f>Auxiliar!$B$21</xm:f>
            <x14:dxf>
              <font>
                <b/>
                <i val="0"/>
                <color rgb="FFFFC000"/>
              </font>
              <fill>
                <patternFill>
                  <bgColor theme="9" tint="0.59996337778862885"/>
                </patternFill>
              </fill>
            </x14:dxf>
          </x14:cfRule>
          <x14:cfRule type="cellIs" priority="116" operator="equal" id="{851F9D3C-DE91-4C20-A255-DBA976D47256}">
            <xm:f>Auxiliar!$B$24</xm:f>
            <x14:dxf>
              <font>
                <b/>
                <i val="0"/>
                <color theme="1"/>
              </font>
              <fill>
                <patternFill patternType="darkUp">
                  <bgColor theme="0"/>
                </patternFill>
              </fill>
            </x14:dxf>
          </x14:cfRule>
          <x14:cfRule type="cellIs" priority="117" operator="equal" id="{AEB76678-92B6-4E42-BA0D-898B2AB889D7}">
            <xm:f>Auxiliar!$B$18</xm:f>
            <x14:dxf>
              <font>
                <b/>
                <i val="0"/>
                <color theme="0" tint="-0.499984740745262"/>
              </font>
              <fill>
                <patternFill>
                  <bgColor theme="0" tint="-4.9989318521683403E-2"/>
                </patternFill>
              </fill>
            </x14:dxf>
          </x14:cfRule>
          <x14:cfRule type="containsText" priority="118"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19"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20"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97" operator="containsText" id="{F0FC3167-D078-4732-B252-F6CF35A33118}">
            <xm:f>NOT(ISERROR(SEARCH(Auxiliar!$B$21,I193)))</xm:f>
            <xm:f>Auxiliar!$B$21</xm:f>
            <x14:dxf>
              <font>
                <b/>
                <i val="0"/>
                <color rgb="FFFFC000"/>
              </font>
              <fill>
                <patternFill>
                  <bgColor theme="9" tint="0.59996337778862885"/>
                </patternFill>
              </fill>
            </x14:dxf>
          </x14:cfRule>
          <x14:cfRule type="cellIs" priority="398" operator="equal" id="{0DF84132-7044-4342-A136-5BB25A806900}">
            <xm:f>Auxiliar!$B$24</xm:f>
            <x14:dxf>
              <font>
                <b/>
                <i val="0"/>
                <color theme="1"/>
              </font>
              <fill>
                <patternFill patternType="darkUp">
                  <bgColor theme="0"/>
                </patternFill>
              </fill>
            </x14:dxf>
          </x14:cfRule>
          <x14:cfRule type="cellIs" priority="399" operator="equal" id="{0AA668F3-08F2-48AD-824F-FDAAFE4C3390}">
            <xm:f>Auxiliar!$B$18</xm:f>
            <x14:dxf>
              <font>
                <b/>
                <i val="0"/>
                <color theme="0" tint="-0.499984740745262"/>
              </font>
              <fill>
                <patternFill>
                  <bgColor theme="0" tint="-4.9989318521683403E-2"/>
                </patternFill>
              </fill>
            </x14:dxf>
          </x14:cfRule>
          <x14:cfRule type="containsText" priority="40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401"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402"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21" operator="containsText" id="{680189A3-E553-4E28-88AF-4BE37876E399}">
            <xm:f>NOT(ISERROR(SEARCH(Auxiliar!$B$21,I224)))</xm:f>
            <xm:f>Auxiliar!$B$21</xm:f>
            <x14:dxf>
              <font>
                <b/>
                <i val="0"/>
                <color rgb="FFFFC000"/>
              </font>
              <fill>
                <patternFill>
                  <bgColor theme="9" tint="0.59996337778862885"/>
                </patternFill>
              </fill>
            </x14:dxf>
          </x14:cfRule>
          <x14:cfRule type="cellIs" priority="122" operator="equal" id="{837D1480-3614-407B-A9D1-E2F5BA61EA3D}">
            <xm:f>Auxiliar!$B$24</xm:f>
            <x14:dxf>
              <font>
                <b/>
                <i val="0"/>
                <color theme="1"/>
              </font>
              <fill>
                <patternFill patternType="darkUp">
                  <bgColor theme="0"/>
                </patternFill>
              </fill>
            </x14:dxf>
          </x14:cfRule>
          <x14:cfRule type="cellIs" priority="123" operator="equal" id="{782D49B3-623A-4DF5-8308-75A6F81A19FD}">
            <xm:f>Auxiliar!$B$18</xm:f>
            <x14:dxf>
              <font>
                <b/>
                <i val="0"/>
                <color theme="0" tint="-0.499984740745262"/>
              </font>
              <fill>
                <patternFill>
                  <bgColor theme="0" tint="-4.9989318521683403E-2"/>
                </patternFill>
              </fill>
            </x14:dxf>
          </x14:cfRule>
          <x14:cfRule type="containsText" priority="124"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25"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26" operator="containsText" id="{26A20443-BC57-4315-9725-5F704346CF3C}">
            <xm:f>NOT(ISERROR(SEARCH(Auxiliar!$B$16,I224)))</xm:f>
            <xm:f>Auxiliar!$B$16</xm:f>
            <x14:dxf>
              <font>
                <b/>
                <i val="0"/>
                <color theme="7"/>
              </font>
              <fill>
                <patternFill>
                  <bgColor theme="7" tint="0.79998168889431442"/>
                </patternFill>
              </fill>
            </x14:dxf>
          </x14:cfRule>
          <xm:sqref>I663:I685 I245:I247 I224:I226 I318:I320 I291:I294</xm:sqref>
        </x14:conditionalFormatting>
        <x14:conditionalFormatting xmlns:xm="http://schemas.microsoft.com/office/excel/2006/main">
          <x14:cfRule type="containsText" priority="103" operator="containsText" id="{BA88C474-7CD5-48E4-BBD7-168BDC558FC6}">
            <xm:f>NOT(ISERROR(SEARCH(Auxiliar!$B$21,I393)))</xm:f>
            <xm:f>Auxiliar!$B$21</xm:f>
            <x14:dxf>
              <font>
                <b/>
                <i val="0"/>
                <color rgb="FFFFC000"/>
              </font>
              <fill>
                <patternFill>
                  <bgColor theme="9" tint="0.59996337778862885"/>
                </patternFill>
              </fill>
            </x14:dxf>
          </x14:cfRule>
          <x14:cfRule type="cellIs" priority="104" operator="equal" id="{09D83F8A-0668-4607-A721-73C22171BC18}">
            <xm:f>Auxiliar!$B$24</xm:f>
            <x14:dxf>
              <font>
                <b/>
                <i val="0"/>
                <color theme="1"/>
              </font>
              <fill>
                <patternFill patternType="darkUp">
                  <bgColor theme="0"/>
                </patternFill>
              </fill>
            </x14:dxf>
          </x14:cfRule>
          <x14:cfRule type="cellIs" priority="105" operator="equal" id="{630BCF05-930B-451C-86BD-163F900C7CF1}">
            <xm:f>Auxiliar!$B$18</xm:f>
            <x14:dxf>
              <font>
                <b/>
                <i val="0"/>
                <color theme="0" tint="-0.499984740745262"/>
              </font>
              <fill>
                <patternFill>
                  <bgColor theme="0" tint="-4.9989318521683403E-2"/>
                </patternFill>
              </fill>
            </x14:dxf>
          </x14:cfRule>
          <x14:cfRule type="containsText" priority="106"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107"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108"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61" operator="containsText" id="{F37540B4-F195-417D-8B16-937C79358CD4}">
            <xm:f>NOT(ISERROR(SEARCH(Auxiliar!$B$21,I802)))</xm:f>
            <xm:f>Auxiliar!$B$21</xm:f>
            <x14:dxf>
              <font>
                <b/>
                <i val="0"/>
                <color rgb="FFFFC000"/>
              </font>
              <fill>
                <patternFill>
                  <bgColor theme="9" tint="0.59996337778862885"/>
                </patternFill>
              </fill>
            </x14:dxf>
          </x14:cfRule>
          <x14:cfRule type="cellIs" priority="62" operator="equal" id="{CFAA4FF6-8EEE-4092-88A7-C231D2EF2BB4}">
            <xm:f>Auxiliar!$B$24</xm:f>
            <x14:dxf>
              <font>
                <b/>
                <i val="0"/>
                <color theme="1"/>
              </font>
              <fill>
                <patternFill patternType="darkUp">
                  <bgColor theme="0"/>
                </patternFill>
              </fill>
            </x14:dxf>
          </x14:cfRule>
          <x14:cfRule type="cellIs" priority="63" operator="equal" id="{7A0F1BFC-7107-4EA5-AA94-1C72B2105371}">
            <xm:f>Auxiliar!$B$18</xm:f>
            <x14:dxf>
              <font>
                <b/>
                <i val="0"/>
                <color theme="0" tint="-0.499984740745262"/>
              </font>
              <fill>
                <patternFill>
                  <bgColor theme="0" tint="-4.9989318521683403E-2"/>
                </patternFill>
              </fill>
            </x14:dxf>
          </x14:cfRule>
          <x14:cfRule type="containsText" priority="64"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65"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66"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57" operator="containsText" id="{6DE85724-2EE4-4C5C-BFE4-5CDF139191EE}">
            <xm:f>NOT(ISERROR(SEARCH(Auxiliar!$B$21,I1149)))</xm:f>
            <xm:f>Auxiliar!$B$21</xm:f>
            <x14:dxf>
              <font>
                <b/>
                <i val="0"/>
                <color rgb="FFFFC000"/>
              </font>
              <fill>
                <patternFill>
                  <bgColor theme="9" tint="0.59996337778862885"/>
                </patternFill>
              </fill>
            </x14:dxf>
          </x14:cfRule>
          <x14:cfRule type="cellIs" priority="158" operator="equal" id="{108BBB59-B3A9-4718-AE41-245162C547B8}">
            <xm:f>Auxiliar!$B$24</xm:f>
            <x14:dxf>
              <font>
                <b/>
                <i val="0"/>
                <color theme="1"/>
              </font>
              <fill>
                <patternFill patternType="darkUp">
                  <bgColor theme="0"/>
                </patternFill>
              </fill>
            </x14:dxf>
          </x14:cfRule>
          <x14:cfRule type="cellIs" priority="159" operator="equal" id="{9568F5E2-6C96-435A-A8A4-37A212A788A8}">
            <xm:f>Auxiliar!$B$18</xm:f>
            <x14:dxf>
              <font>
                <b/>
                <i val="0"/>
                <color theme="0" tint="-0.499984740745262"/>
              </font>
              <fill>
                <patternFill>
                  <bgColor theme="0" tint="-4.9989318521683403E-2"/>
                </patternFill>
              </fill>
            </x14:dxf>
          </x14:cfRule>
          <x14:cfRule type="containsText" priority="160"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61"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62"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85" operator="containsText" id="{2B892DA0-DAF7-421F-B66B-0FB6F4150541}">
            <xm:f>NOT(ISERROR(SEARCH(Auxiliar!$B$21,I1305)))</xm:f>
            <xm:f>Auxiliar!$B$21</xm:f>
            <x14:dxf>
              <font>
                <b/>
                <i val="0"/>
                <color rgb="FFFFC000"/>
              </font>
              <fill>
                <patternFill>
                  <bgColor theme="9" tint="0.59996337778862885"/>
                </patternFill>
              </fill>
            </x14:dxf>
          </x14:cfRule>
          <x14:cfRule type="cellIs" priority="86" operator="equal" id="{6F6FE95C-2911-46F9-A476-E59F486686B1}">
            <xm:f>Auxiliar!$B$24</xm:f>
            <x14:dxf>
              <font>
                <b/>
                <i val="0"/>
                <color theme="1"/>
              </font>
              <fill>
                <patternFill patternType="darkUp">
                  <bgColor theme="0"/>
                </patternFill>
              </fill>
            </x14:dxf>
          </x14:cfRule>
          <x14:cfRule type="cellIs" priority="87" operator="equal" id="{33721898-A6FE-4D41-9A0F-2B8F543A091F}">
            <xm:f>Auxiliar!$B$18</xm:f>
            <x14:dxf>
              <font>
                <b/>
                <i val="0"/>
                <color theme="0" tint="-0.499984740745262"/>
              </font>
              <fill>
                <patternFill>
                  <bgColor theme="0" tint="-4.9989318521683403E-2"/>
                </patternFill>
              </fill>
            </x14:dxf>
          </x14:cfRule>
          <x14:cfRule type="containsText" priority="88"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89"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90"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31"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J1473:J1502 I1503:J1510 J1511 I1290:J1304 I1333:J1333 I419:J662 I686:J691 I698:J706 J692:J697 J707:J712 I713:J801 I824:J1148 I1436:J1472 I1405:J1430 J1431:J1435</xm:sqref>
        </x14:conditionalFormatting>
        <x14:conditionalFormatting xmlns:xm="http://schemas.microsoft.com/office/excel/2006/main">
          <x14:cfRule type="containsText" priority="373" operator="containsText" id="{818B4E3F-A611-4A6A-A815-B804D1E3C747}">
            <xm:f>NOT(ISERROR(SEARCH(Auxiliar!$B$21,I1334)))</xm:f>
            <xm:f>Auxiliar!$B$21</xm:f>
            <x14:dxf>
              <font>
                <b/>
                <i val="0"/>
                <color rgb="FFFFC000"/>
              </font>
              <fill>
                <patternFill>
                  <bgColor theme="9" tint="0.59996337778862885"/>
                </patternFill>
              </fill>
            </x14:dxf>
          </x14:cfRule>
          <x14:cfRule type="cellIs" priority="374" operator="equal" id="{49F42230-2FF0-42CE-B047-38469DF4FF91}">
            <xm:f>Auxiliar!$B$24</xm:f>
            <x14:dxf>
              <font>
                <b/>
                <i val="0"/>
                <color theme="1"/>
              </font>
              <fill>
                <patternFill patternType="darkUp">
                  <bgColor theme="0"/>
                </patternFill>
              </fill>
            </x14:dxf>
          </x14:cfRule>
          <x14:cfRule type="cellIs" priority="375" operator="equal" id="{340814F4-4DC4-4851-925E-2EA110D79ECA}">
            <xm:f>Auxiliar!$B$18</xm:f>
            <x14:dxf>
              <font>
                <b/>
                <i val="0"/>
                <color theme="0" tint="-0.499984740745262"/>
              </font>
              <fill>
                <patternFill>
                  <bgColor theme="0" tint="-4.9989318521683403E-2"/>
                </patternFill>
              </fill>
            </x14:dxf>
          </x14:cfRule>
          <x14:cfRule type="containsText" priority="376"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77"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78"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27" operator="containsText" id="{780D834D-C977-4B94-81EF-A8A47D289907}">
            <xm:f>NOT(ISERROR(SEARCH(Auxiliar!$B$21,I1433)))</xm:f>
            <xm:f>Auxiliar!$B$21</xm:f>
            <x14:dxf>
              <font>
                <b/>
                <i val="0"/>
                <color rgb="FFFFC000"/>
              </font>
              <fill>
                <patternFill>
                  <bgColor theme="9" tint="0.59996337778862885"/>
                </patternFill>
              </fill>
            </x14:dxf>
          </x14:cfRule>
          <x14:cfRule type="cellIs" priority="128" operator="equal" id="{A6EB2312-FB92-41F7-9CCA-3B81CF6C2FD3}">
            <xm:f>Auxiliar!$B$24</xm:f>
            <x14:dxf>
              <font>
                <b/>
                <i val="0"/>
                <color theme="1"/>
              </font>
              <fill>
                <patternFill patternType="darkUp">
                  <bgColor theme="0"/>
                </patternFill>
              </fill>
            </x14:dxf>
          </x14:cfRule>
          <x14:cfRule type="cellIs" priority="129" operator="equal" id="{BB030E3C-F572-4B6B-8325-D47BA2E295D4}">
            <xm:f>Auxiliar!$B$18</xm:f>
            <x14:dxf>
              <font>
                <b/>
                <i val="0"/>
                <color theme="0" tint="-0.499984740745262"/>
              </font>
              <fill>
                <patternFill>
                  <bgColor theme="0" tint="-4.9989318521683403E-2"/>
                </patternFill>
              </fill>
            </x14:dxf>
          </x14:cfRule>
          <x14:cfRule type="containsText" priority="130"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31"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32"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67" operator="containsText" id="{6DA62849-05D4-40B1-87CE-BD01F462C809}">
            <xm:f>NOT(ISERROR(SEARCH(Auxiliar!$B$21,I1473)))</xm:f>
            <xm:f>Auxiliar!$B$21</xm:f>
            <x14:dxf>
              <font>
                <b/>
                <i val="0"/>
                <color rgb="FFFFC000"/>
              </font>
              <fill>
                <patternFill>
                  <bgColor theme="9" tint="0.59996337778862885"/>
                </patternFill>
              </fill>
            </x14:dxf>
          </x14:cfRule>
          <x14:cfRule type="cellIs" priority="68" operator="equal" id="{1E79D505-B910-4D78-97DA-7353733B54BB}">
            <xm:f>Auxiliar!$B$24</xm:f>
            <x14:dxf>
              <font>
                <b/>
                <i val="0"/>
                <color theme="1"/>
              </font>
              <fill>
                <patternFill patternType="darkUp">
                  <bgColor theme="0"/>
                </patternFill>
              </fill>
            </x14:dxf>
          </x14:cfRule>
          <x14:cfRule type="cellIs" priority="69" operator="equal" id="{00DE0B36-B6EA-4EC5-9098-B394F10BE65F}">
            <xm:f>Auxiliar!$B$18</xm:f>
            <x14:dxf>
              <font>
                <b/>
                <i val="0"/>
                <color theme="0" tint="-0.499984740745262"/>
              </font>
              <fill>
                <patternFill>
                  <bgColor theme="0" tint="-4.9989318521683403E-2"/>
                </patternFill>
              </fill>
            </x14:dxf>
          </x14:cfRule>
          <x14:cfRule type="containsText" priority="70"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71"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72"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45" operator="containsText" id="{910038CB-D1D6-461C-9800-1C7E617EFE24}">
            <xm:f>NOT(ISERROR(SEARCH(Auxiliar!$B$21,I1511)))</xm:f>
            <xm:f>Auxiliar!$B$21</xm:f>
            <x14:dxf>
              <font>
                <b/>
                <i val="0"/>
                <color rgb="FFFFC000"/>
              </font>
              <fill>
                <patternFill>
                  <bgColor theme="9" tint="0.59996337778862885"/>
                </patternFill>
              </fill>
            </x14:dxf>
          </x14:cfRule>
          <x14:cfRule type="cellIs" priority="146" operator="equal" id="{25D71A38-C4F5-4732-B7AB-6520ECA4FB07}">
            <xm:f>Auxiliar!$B$24</xm:f>
            <x14:dxf>
              <font>
                <b/>
                <i val="0"/>
                <color theme="1"/>
              </font>
              <fill>
                <patternFill patternType="darkUp">
                  <bgColor theme="0"/>
                </patternFill>
              </fill>
            </x14:dxf>
          </x14:cfRule>
          <x14:cfRule type="cellIs" priority="147" operator="equal" id="{8B1AAD81-3C08-40FA-906E-0B19D6772275}">
            <xm:f>Auxiliar!$B$18</xm:f>
            <x14:dxf>
              <font>
                <b/>
                <i val="0"/>
                <color theme="0" tint="-0.499984740745262"/>
              </font>
              <fill>
                <patternFill>
                  <bgColor theme="0" tint="-4.9989318521683403E-2"/>
                </patternFill>
              </fill>
            </x14:dxf>
          </x14:cfRule>
          <x14:cfRule type="containsText" priority="148"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49"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50"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205"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81" operator="containsText" id="{22EE3303-E871-4FDC-B876-3AC40B4BB29E}">
            <xm:f>NOT(ISERROR(SEARCH(Auxiliar!$B$21,I9)))</xm:f>
            <xm:f>Auxiliar!$B$21</xm:f>
            <x14:dxf>
              <font>
                <b/>
                <i val="0"/>
                <color rgb="FFFFC000"/>
              </font>
              <fill>
                <patternFill>
                  <bgColor theme="9" tint="0.59996337778862885"/>
                </patternFill>
              </fill>
            </x14:dxf>
          </x14:cfRule>
          <x14:cfRule type="cellIs" priority="782" operator="equal" id="{A75C795E-F66D-4DC2-A9AF-15BDCED7DA25}">
            <xm:f>Auxiliar!$B$24</xm:f>
            <x14:dxf>
              <font>
                <b/>
                <i val="0"/>
                <color theme="1"/>
              </font>
              <fill>
                <patternFill patternType="darkUp">
                  <bgColor theme="0"/>
                </patternFill>
              </fill>
            </x14:dxf>
          </x14:cfRule>
          <x14:cfRule type="cellIs" priority="783" operator="equal" id="{68C7A1CE-73C7-4D91-A2AC-1493C4E277DD}">
            <xm:f>Auxiliar!$B$18</xm:f>
            <x14:dxf>
              <font>
                <b/>
                <i val="0"/>
                <color theme="0" tint="-0.499984740745262"/>
              </font>
              <fill>
                <patternFill>
                  <bgColor theme="0" tint="-4.9989318521683403E-2"/>
                </patternFill>
              </fill>
            </x14:dxf>
          </x14:cfRule>
          <x14:cfRule type="containsText" priority="78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8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86"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65" operator="containsText" id="{6928D489-0130-4A60-BE2B-1D9108B02454}">
            <xm:f>NOT(ISERROR(SEARCH(Auxiliar!$B$21,I196)))</xm:f>
            <xm:f>Auxiliar!$B$21</xm:f>
            <x14:dxf>
              <font>
                <b/>
                <i val="0"/>
                <color rgb="FFFFC000"/>
              </font>
              <fill>
                <patternFill>
                  <bgColor theme="9" tint="0.59996337778862885"/>
                </patternFill>
              </fill>
            </x14:dxf>
          </x14:cfRule>
          <x14:cfRule type="cellIs" priority="866" operator="equal" id="{E2F14AF0-878C-4184-86EE-1EC72D11FF82}">
            <xm:f>Auxiliar!$B$24</xm:f>
            <x14:dxf>
              <font>
                <b/>
                <i val="0"/>
                <color theme="1"/>
              </font>
              <fill>
                <patternFill patternType="darkUp">
                  <bgColor theme="0"/>
                </patternFill>
              </fill>
            </x14:dxf>
          </x14:cfRule>
          <x14:cfRule type="cellIs" priority="867" operator="equal" id="{662C2D77-73A6-422E-B043-D39190EAAFD3}">
            <xm:f>Auxiliar!$B$18</xm:f>
            <x14:dxf>
              <font>
                <b/>
                <i val="0"/>
                <color theme="0" tint="-0.499984740745262"/>
              </font>
              <fill>
                <patternFill>
                  <bgColor theme="0" tint="-4.9989318521683403E-2"/>
                </patternFill>
              </fill>
            </x14:dxf>
          </x14:cfRule>
          <x14:cfRule type="containsText" priority="868"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69"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70"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32" operator="equal" id="{461BEC2A-3AB6-4974-9160-0CC657CD83C0}">
            <xm:f>Auxiliar!$B$24</xm:f>
            <x14:dxf>
              <font>
                <b/>
                <i val="0"/>
                <color theme="1"/>
              </font>
              <fill>
                <patternFill patternType="darkUp">
                  <bgColor theme="0"/>
                </patternFill>
              </fill>
            </x14:dxf>
          </x14:cfRule>
          <x14:cfRule type="cellIs" priority="1399" operator="equal" id="{5CC18A3F-CC0C-4983-A19C-E91C49A3DB8A}">
            <xm:f>Auxiliar!$B$18</xm:f>
            <x14:dxf>
              <font>
                <b/>
                <i val="0"/>
                <color theme="0" tint="-0.499984740745262"/>
              </font>
              <fill>
                <patternFill>
                  <bgColor theme="0" tint="-4.9989318521683403E-2"/>
                </patternFill>
              </fill>
            </x14:dxf>
          </x14:cfRule>
          <x14:cfRule type="containsText" priority="1400"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401"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402"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J1473:J1502 I1503:J1510 J1511 I1532 I1290:J1304 I1333:J1333 I419:J662 I686:J691 I698:J706 J692:J697 J707:J712 I713:J801 I824:J1148 I1436:J1472 I1405:J1430 J1431:J1435</xm:sqref>
        </x14:conditionalFormatting>
        <x14:conditionalFormatting xmlns:xm="http://schemas.microsoft.com/office/excel/2006/main">
          <x14:cfRule type="cellIs" priority="152" operator="equal" id="{CCD751C7-B7A2-4F98-8B22-D6FDAB936BE9}">
            <xm:f>Auxiliar!$B$24</xm:f>
            <x14:dxf>
              <font>
                <b/>
                <i val="0"/>
                <color theme="1"/>
              </font>
              <fill>
                <patternFill patternType="darkUp">
                  <bgColor theme="0"/>
                </patternFill>
              </fill>
            </x14:dxf>
          </x14:cfRule>
          <x14:cfRule type="cellIs" priority="153" operator="equal" id="{4D1BE949-1D0D-486A-8EBA-CAC34A73CAEF}">
            <xm:f>Auxiliar!$B$18</xm:f>
            <x14:dxf>
              <font>
                <b/>
                <i val="0"/>
                <color theme="0" tint="-0.499984740745262"/>
              </font>
              <fill>
                <patternFill>
                  <bgColor theme="0" tint="-4.9989318521683403E-2"/>
                </patternFill>
              </fill>
            </x14:dxf>
          </x14:cfRule>
          <x14:cfRule type="containsText" priority="154"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55"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56"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51"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206" operator="equal" id="{76582525-4532-4825-BBF1-E67A9D75C9D5}">
            <xm:f>Auxiliar!$B$24</xm:f>
            <x14:dxf>
              <font>
                <b/>
                <i val="0"/>
                <color theme="1"/>
              </font>
              <fill>
                <patternFill patternType="darkUp">
                  <bgColor theme="0"/>
                </patternFill>
              </fill>
            </x14:dxf>
          </x14:cfRule>
          <x14:cfRule type="cellIs" priority="207" operator="equal" id="{93C49E19-F144-4F91-BF43-40521F41D17C}">
            <xm:f>Auxiliar!$B$18</xm:f>
            <x14:dxf>
              <font>
                <b/>
                <i val="0"/>
                <color theme="0" tint="-0.499984740745262"/>
              </font>
              <fill>
                <patternFill>
                  <bgColor theme="0" tint="-4.9989318521683403E-2"/>
                </patternFill>
              </fill>
            </x14:dxf>
          </x14:cfRule>
          <x14:cfRule type="containsText" priority="208"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209"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210"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57" operator="containsText" id="{B9BA2292-98F1-4845-8262-A781D9352444}">
            <xm:f>NOT(ISERROR(SEARCH(Auxiliar!$B$21,J193)))</xm:f>
            <xm:f>Auxiliar!$B$21</xm:f>
            <x14:dxf>
              <font>
                <b/>
                <i val="0"/>
                <color rgb="FFFFC000"/>
              </font>
              <fill>
                <patternFill>
                  <bgColor theme="9" tint="0.59996337778862885"/>
                </patternFill>
              </fill>
            </x14:dxf>
          </x14:cfRule>
          <x14:cfRule type="cellIs" priority="758" operator="equal" id="{D32B9961-C82B-426A-A975-2475FFC80C76}">
            <xm:f>Auxiliar!$B$24</xm:f>
            <x14:dxf>
              <font>
                <b/>
                <i val="0"/>
                <color theme="1"/>
              </font>
              <fill>
                <patternFill patternType="darkUp">
                  <bgColor theme="0"/>
                </patternFill>
              </fill>
            </x14:dxf>
          </x14:cfRule>
          <x14:cfRule type="cellIs" priority="759" operator="equal" id="{EE9F5D7D-A515-4B4F-859E-E804329C9CE0}">
            <xm:f>Auxiliar!$B$18</xm:f>
            <x14:dxf>
              <font>
                <b/>
                <i val="0"/>
                <color theme="0" tint="-0.499984740745262"/>
              </font>
              <fill>
                <patternFill>
                  <bgColor theme="0" tint="-4.9989318521683403E-2"/>
                </patternFill>
              </fill>
            </x14:dxf>
          </x14:cfRule>
          <x14:cfRule type="containsText" priority="76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6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62"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47" operator="containsText" id="{68B7879D-8888-41E7-95DE-17E280293E9E}">
            <xm:f>NOT(ISERROR(SEARCH(Auxiliar!$B$21,J393)))</xm:f>
            <xm:f>Auxiliar!$B$21</xm:f>
            <x14:dxf>
              <font>
                <b/>
                <i val="0"/>
                <color rgb="FFFFC000"/>
              </font>
              <fill>
                <patternFill>
                  <bgColor theme="9" tint="0.59996337778862885"/>
                </patternFill>
              </fill>
            </x14:dxf>
          </x14:cfRule>
          <x14:cfRule type="cellIs" priority="248" operator="equal" id="{E7918B5B-09E9-4D9E-8DEF-22B78ADEF4EC}">
            <xm:f>Auxiliar!$B$24</xm:f>
            <x14:dxf>
              <font>
                <b/>
                <i val="0"/>
                <color theme="1"/>
              </font>
              <fill>
                <patternFill patternType="darkUp">
                  <bgColor theme="0"/>
                </patternFill>
              </fill>
            </x14:dxf>
          </x14:cfRule>
          <x14:cfRule type="cellIs" priority="249" operator="equal" id="{C9734D25-1591-44F4-B84A-F9635F7E3A1E}">
            <xm:f>Auxiliar!$B$18</xm:f>
            <x14:dxf>
              <font>
                <b/>
                <i val="0"/>
                <color theme="0" tint="-0.499984740745262"/>
              </font>
              <fill>
                <patternFill>
                  <bgColor theme="0" tint="-4.9989318521683403E-2"/>
                </patternFill>
              </fill>
            </x14:dxf>
          </x14:cfRule>
          <x14:cfRule type="containsText" priority="250"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51"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52"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93" operator="containsText" id="{EE480963-A851-4287-A599-BA2BEAF698FD}">
            <xm:f>NOT(ISERROR(SEARCH(Auxiliar!$B$21,J802)))</xm:f>
            <xm:f>Auxiliar!$B$21</xm:f>
            <x14:dxf>
              <font>
                <b/>
                <i val="0"/>
                <color rgb="FFFFC000"/>
              </font>
              <fill>
                <patternFill>
                  <bgColor theme="9" tint="0.59996337778862885"/>
                </patternFill>
              </fill>
            </x14:dxf>
          </x14:cfRule>
          <x14:cfRule type="cellIs" priority="194" operator="equal" id="{E65463CC-CED3-418A-850B-2AEC62B95131}">
            <xm:f>Auxiliar!$B$24</xm:f>
            <x14:dxf>
              <font>
                <b/>
                <i val="0"/>
                <color theme="1"/>
              </font>
              <fill>
                <patternFill patternType="darkUp">
                  <bgColor theme="0"/>
                </patternFill>
              </fill>
            </x14:dxf>
          </x14:cfRule>
          <x14:cfRule type="cellIs" priority="195" operator="equal" id="{BFBBF7BF-D3FA-4006-A560-667BD910E543}">
            <xm:f>Auxiliar!$B$18</xm:f>
            <x14:dxf>
              <font>
                <b/>
                <i val="0"/>
                <color theme="0" tint="-0.499984740745262"/>
              </font>
              <fill>
                <patternFill>
                  <bgColor theme="0" tint="-4.9989318521683403E-2"/>
                </patternFill>
              </fill>
            </x14:dxf>
          </x14:cfRule>
          <x14:cfRule type="containsText" priority="196"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97"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98"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99" operator="containsText" id="{38F96929-C4AA-431E-B12A-0DCF4864D5CD}">
            <xm:f>NOT(ISERROR(SEARCH(Auxiliar!$B$21,J1532)))</xm:f>
            <xm:f>Auxiliar!$B$21</xm:f>
            <x14:dxf>
              <font>
                <b/>
                <i val="0"/>
                <color rgb="FFFFC000"/>
              </font>
              <fill>
                <patternFill>
                  <bgColor theme="9" tint="0.59996337778862885"/>
                </patternFill>
              </fill>
            </x14:dxf>
          </x14:cfRule>
          <x14:cfRule type="cellIs" priority="200" operator="equal" id="{A23AEDE7-80C2-459D-94A3-CF50BC8E067F}">
            <xm:f>Auxiliar!$B$24</xm:f>
            <x14:dxf>
              <font>
                <b/>
                <i val="0"/>
                <color theme="1"/>
              </font>
              <fill>
                <patternFill patternType="darkUp">
                  <bgColor theme="0"/>
                </patternFill>
              </fill>
            </x14:dxf>
          </x14:cfRule>
          <x14:cfRule type="cellIs" priority="201" operator="equal" id="{BD63F02A-7953-4EFD-A25E-5F5A4519C878}">
            <xm:f>Auxiliar!$B$18</xm:f>
            <x14:dxf>
              <font>
                <b/>
                <i val="0"/>
                <color theme="0" tint="-0.499984740745262"/>
              </font>
              <fill>
                <patternFill>
                  <bgColor theme="0" tint="-4.9989318521683403E-2"/>
                </patternFill>
              </fill>
            </x14:dxf>
          </x14:cfRule>
          <x14:cfRule type="containsText" priority="202"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203"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204"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19" operator="containsText" id="{77581729-4EE6-45A3-AE6D-5E19FA5E2B42}">
            <xm:f>NOT(ISERROR(SEARCH(Auxiliar!$B$21,I1431)))</xm:f>
            <xm:f>Auxiliar!$B$21</xm:f>
            <x14:dxf>
              <font>
                <b/>
                <i val="0"/>
                <color rgb="FFFFC000"/>
              </font>
              <fill>
                <patternFill>
                  <bgColor theme="9" tint="0.59996337778862885"/>
                </patternFill>
              </fill>
            </x14:dxf>
          </x14:cfRule>
          <x14:cfRule type="cellIs" priority="20" operator="equal" id="{7CE8A404-F56D-4CC1-AD1B-3B569C7239AB}">
            <xm:f>Auxiliar!$B$24</xm:f>
            <x14:dxf>
              <font>
                <b/>
                <i val="0"/>
                <color theme="1"/>
              </font>
              <fill>
                <patternFill patternType="darkUp">
                  <bgColor theme="0"/>
                </patternFill>
              </fill>
            </x14:dxf>
          </x14:cfRule>
          <x14:cfRule type="cellIs" priority="21" operator="equal" id="{53DE703A-A0B4-44E4-A43C-619B6B39D8BE}">
            <xm:f>Auxiliar!$B$18</xm:f>
            <x14:dxf>
              <font>
                <b/>
                <i val="0"/>
                <color theme="0" tint="-0.499984740745262"/>
              </font>
              <fill>
                <patternFill>
                  <bgColor theme="0" tint="-4.9989318521683403E-2"/>
                </patternFill>
              </fill>
            </x14:dxf>
          </x14:cfRule>
          <x14:cfRule type="containsText" priority="22"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23"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24"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37" operator="containsText" id="{B2D23FBA-A51D-48EA-8F07-0EE4D8A4D4F5}">
            <xm:f>NOT(ISERROR(SEARCH(Auxiliar!$B$21,I692)))</xm:f>
            <xm:f>Auxiliar!$B$21</xm:f>
            <x14:dxf>
              <font>
                <b/>
                <i val="0"/>
                <color rgb="FFFFC000"/>
              </font>
              <fill>
                <patternFill>
                  <bgColor theme="9" tint="0.59996337778862885"/>
                </patternFill>
              </fill>
            </x14:dxf>
          </x14:cfRule>
          <x14:cfRule type="cellIs" priority="38" operator="equal" id="{142E032A-CC22-40A8-8963-A9419EFD1875}">
            <xm:f>Auxiliar!$B$24</xm:f>
            <x14:dxf>
              <font>
                <b/>
                <i val="0"/>
                <color theme="1"/>
              </font>
              <fill>
                <patternFill patternType="darkUp">
                  <bgColor theme="0"/>
                </patternFill>
              </fill>
            </x14:dxf>
          </x14:cfRule>
          <x14:cfRule type="cellIs" priority="39" operator="equal" id="{5E9F3038-1A0C-40B9-BA0C-6B6DB3E11D9A}">
            <xm:f>Auxiliar!$B$18</xm:f>
            <x14:dxf>
              <font>
                <b/>
                <i val="0"/>
                <color theme="0" tint="-0.499984740745262"/>
              </font>
              <fill>
                <patternFill>
                  <bgColor theme="0" tint="-4.9989318521683403E-2"/>
                </patternFill>
              </fill>
            </x14:dxf>
          </x14:cfRule>
          <x14:cfRule type="containsText" priority="40"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41"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42"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3" operator="containsText" id="{467E6DCD-B2BF-4E18-8034-F3514A283A82}">
            <xm:f>NOT(ISERROR(SEARCH(Auxiliar!$B$21,I1484)))</xm:f>
            <xm:f>Auxiliar!$B$21</xm:f>
            <x14:dxf>
              <font>
                <b/>
                <i val="0"/>
                <color rgb="FFFFC000"/>
              </font>
              <fill>
                <patternFill>
                  <bgColor theme="9" tint="0.59996337778862885"/>
                </patternFill>
              </fill>
            </x14:dxf>
          </x14:cfRule>
          <x14:cfRule type="cellIs" priority="14" operator="equal" id="{5BAE6283-FC73-4A20-9ACB-6FC78FD87AE5}">
            <xm:f>Auxiliar!$B$24</xm:f>
            <x14:dxf>
              <font>
                <b/>
                <i val="0"/>
                <color theme="1"/>
              </font>
              <fill>
                <patternFill patternType="darkUp">
                  <bgColor theme="0"/>
                </patternFill>
              </fill>
            </x14:dxf>
          </x14:cfRule>
          <x14:cfRule type="cellIs" priority="15" operator="equal" id="{F786D52B-8A76-4448-B668-4B7F3898B687}">
            <xm:f>Auxiliar!$B$18</xm:f>
            <x14:dxf>
              <font>
                <b/>
                <i val="0"/>
                <color theme="0" tint="-0.499984740745262"/>
              </font>
              <fill>
                <patternFill>
                  <bgColor theme="0" tint="-4.9989318521683403E-2"/>
                </patternFill>
              </fill>
            </x14:dxf>
          </x14:cfRule>
          <x14:cfRule type="containsText" priority="16" operator="containsText" id="{A5ED752C-6252-4B92-B59A-5FA3D4EEEEE1}">
            <xm:f>NOT(ISERROR(SEARCH(Auxiliar!$B$22,I1484)))</xm:f>
            <xm:f>Auxiliar!$B$22</xm:f>
            <x14:dxf>
              <font>
                <b/>
                <i val="0"/>
                <color rgb="FFC00000"/>
              </font>
              <fill>
                <patternFill>
                  <bgColor theme="4" tint="0.79998168889431442"/>
                </patternFill>
              </fill>
            </x14:dxf>
          </x14:cfRule>
          <x14:cfRule type="containsText" priority="17" operator="containsText" id="{7CA5CB93-318B-4E78-8334-FE79E6A6EEA6}">
            <xm:f>NOT(ISERROR(SEARCH(Auxiliar!$B$19,I1484)))</xm:f>
            <xm:f>Auxiliar!$B$19</xm:f>
            <x14:dxf>
              <font>
                <b/>
                <i val="0"/>
                <color theme="9" tint="-0.499984740745262"/>
              </font>
              <fill>
                <patternFill>
                  <bgColor theme="9" tint="0.79998168889431442"/>
                </patternFill>
              </fill>
            </x14:dxf>
          </x14:cfRule>
          <x14:cfRule type="containsText" priority="18" operator="containsText" id="{2DA60BF8-95B7-42C5-9858-82421D57DAFF}">
            <xm:f>NOT(ISERROR(SEARCH(Auxiliar!$B$16,I1484)))</xm:f>
            <xm:f>Auxiliar!$B$16</xm:f>
            <x14:dxf>
              <font>
                <b/>
                <i val="0"/>
                <color theme="7"/>
              </font>
              <fill>
                <patternFill>
                  <bgColor theme="7" tint="0.79998168889431442"/>
                </patternFill>
              </fill>
            </x14:dxf>
          </x14:cfRule>
          <xm:sqref>I1484:I1485</xm:sqref>
        </x14:conditionalFormatting>
        <x14:conditionalFormatting xmlns:xm="http://schemas.microsoft.com/office/excel/2006/main">
          <x14:cfRule type="containsText" priority="7" operator="containsText" id="{6ACA82F4-8AAC-4CBC-A404-6528E4325C90}">
            <xm:f>NOT(ISERROR(SEARCH(Auxiliar!$B$21,I1287)))</xm:f>
            <xm:f>Auxiliar!$B$21</xm:f>
            <x14:dxf>
              <font>
                <b/>
                <i val="0"/>
                <color rgb="FFFFC000"/>
              </font>
              <fill>
                <patternFill>
                  <bgColor theme="9" tint="0.59996337778862885"/>
                </patternFill>
              </fill>
            </x14:dxf>
          </x14:cfRule>
          <x14:cfRule type="cellIs" priority="8" operator="equal" id="{90AD1FEA-B6A4-4478-B0D5-7E0394916CF4}">
            <xm:f>Auxiliar!$B$24</xm:f>
            <x14:dxf>
              <font>
                <b/>
                <i val="0"/>
                <color theme="1"/>
              </font>
              <fill>
                <patternFill patternType="darkUp">
                  <bgColor theme="0"/>
                </patternFill>
              </fill>
            </x14:dxf>
          </x14:cfRule>
          <x14:cfRule type="cellIs" priority="9" operator="equal" id="{D60CC847-21DD-43D1-81BA-C1F154F6CCF8}">
            <xm:f>Auxiliar!$B$18</xm:f>
            <x14:dxf>
              <font>
                <b/>
                <i val="0"/>
                <color theme="0" tint="-0.499984740745262"/>
              </font>
              <fill>
                <patternFill>
                  <bgColor theme="0" tint="-4.9989318521683403E-2"/>
                </patternFill>
              </fill>
            </x14:dxf>
          </x14:cfRule>
          <x14:cfRule type="containsText" priority="10" operator="containsText" id="{8D50E2B7-4B98-4112-BD7A-3797B26DAAD1}">
            <xm:f>NOT(ISERROR(SEARCH(Auxiliar!$B$22,I1287)))</xm:f>
            <xm:f>Auxiliar!$B$22</xm:f>
            <x14:dxf>
              <font>
                <b/>
                <i val="0"/>
                <color rgb="FFC00000"/>
              </font>
              <fill>
                <patternFill>
                  <bgColor theme="4" tint="0.79998168889431442"/>
                </patternFill>
              </fill>
            </x14:dxf>
          </x14:cfRule>
          <x14:cfRule type="containsText" priority="11" operator="containsText" id="{FDEC89E8-B4E6-45FA-AD63-EE4B9CCBE17F}">
            <xm:f>NOT(ISERROR(SEARCH(Auxiliar!$B$19,I1287)))</xm:f>
            <xm:f>Auxiliar!$B$19</xm:f>
            <x14:dxf>
              <font>
                <b/>
                <i val="0"/>
                <color theme="9" tint="-0.499984740745262"/>
              </font>
              <fill>
                <patternFill>
                  <bgColor theme="9" tint="0.79998168889431442"/>
                </patternFill>
              </fill>
            </x14:dxf>
          </x14:cfRule>
          <x14:cfRule type="containsText" priority="12" operator="containsText" id="{8DAC0F35-FEF8-473D-A5C4-4FC7D1780067}">
            <xm:f>NOT(ISERROR(SEARCH(Auxiliar!$B$16,I1287)))</xm:f>
            <xm:f>Auxiliar!$B$16</xm:f>
            <x14:dxf>
              <font>
                <b/>
                <i val="0"/>
                <color theme="7"/>
              </font>
              <fill>
                <patternFill>
                  <bgColor theme="7" tint="0.79998168889431442"/>
                </patternFill>
              </fill>
            </x14:dxf>
          </x14:cfRule>
          <xm:sqref>I1287:I1289</xm:sqref>
        </x14:conditionalFormatting>
        <x14:conditionalFormatting xmlns:xm="http://schemas.microsoft.com/office/excel/2006/main">
          <x14:cfRule type="containsText" priority="1" operator="containsText" id="{4B6347D6-0BAE-4FEF-ACDD-F90BB791EFBB}">
            <xm:f>NOT(ISERROR(SEARCH(Auxiliar!$B$21,I1432)))</xm:f>
            <xm:f>Auxiliar!$B$21</xm:f>
            <x14:dxf>
              <font>
                <b/>
                <i val="0"/>
                <color rgb="FFFFC000"/>
              </font>
              <fill>
                <patternFill>
                  <bgColor theme="9" tint="0.59996337778862885"/>
                </patternFill>
              </fill>
            </x14:dxf>
          </x14:cfRule>
          <x14:cfRule type="cellIs" priority="2" operator="equal" id="{A4CA70F8-8D7F-429E-A1BC-DDACDF720DEF}">
            <xm:f>Auxiliar!$B$24</xm:f>
            <x14:dxf>
              <font>
                <b/>
                <i val="0"/>
                <color theme="1"/>
              </font>
              <fill>
                <patternFill patternType="darkUp">
                  <bgColor theme="0"/>
                </patternFill>
              </fill>
            </x14:dxf>
          </x14:cfRule>
          <x14:cfRule type="cellIs" priority="3" operator="equal" id="{C6054DD6-7C89-4F3E-8643-802F402AF048}">
            <xm:f>Auxiliar!$B$18</xm:f>
            <x14:dxf>
              <font>
                <b/>
                <i val="0"/>
                <color theme="0" tint="-0.499984740745262"/>
              </font>
              <fill>
                <patternFill>
                  <bgColor theme="0" tint="-4.9989318521683403E-2"/>
                </patternFill>
              </fill>
            </x14:dxf>
          </x14:cfRule>
          <x14:cfRule type="containsText" priority="4" operator="containsText" id="{57E2DD4A-55FC-43B7-B5E3-D2DC74130D7F}">
            <xm:f>NOT(ISERROR(SEARCH(Auxiliar!$B$22,I1432)))</xm:f>
            <xm:f>Auxiliar!$B$22</xm:f>
            <x14:dxf>
              <font>
                <b/>
                <i val="0"/>
                <color rgb="FFC00000"/>
              </font>
              <fill>
                <patternFill>
                  <bgColor theme="4" tint="0.79998168889431442"/>
                </patternFill>
              </fill>
            </x14:dxf>
          </x14:cfRule>
          <x14:cfRule type="containsText" priority="5" operator="containsText" id="{C7F46EE6-FA93-4283-B8BB-F16ADAD750D8}">
            <xm:f>NOT(ISERROR(SEARCH(Auxiliar!$B$19,I1432)))</xm:f>
            <xm:f>Auxiliar!$B$19</xm:f>
            <x14:dxf>
              <font>
                <b/>
                <i val="0"/>
                <color theme="9" tint="-0.499984740745262"/>
              </font>
              <fill>
                <patternFill>
                  <bgColor theme="9" tint="0.79998168889431442"/>
                </patternFill>
              </fill>
            </x14:dxf>
          </x14:cfRule>
          <x14:cfRule type="containsText" priority="6" operator="containsText" id="{3A3AC1CD-0A6B-450A-A26B-18BA493105E6}">
            <xm:f>NOT(ISERROR(SEARCH(Auxiliar!$B$16,I1432)))</xm:f>
            <xm:f>Auxiliar!$B$16</xm:f>
            <x14:dxf>
              <font>
                <b/>
                <i val="0"/>
                <color theme="7"/>
              </font>
              <fill>
                <patternFill>
                  <bgColor theme="7" tint="0.79998168889431442"/>
                </patternFill>
              </fill>
            </x14:dxf>
          </x14:cfRule>
          <xm:sqref>I1432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8.83203125" customWidth="1"/>
    <col min="3" max="3" width="19.082031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32</v>
      </c>
      <c r="D11" s="482">
        <v>531</v>
      </c>
      <c r="E11" s="482">
        <v>51</v>
      </c>
      <c r="F11" s="482">
        <v>1</v>
      </c>
      <c r="G11" s="482">
        <v>98</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32</v>
      </c>
    </row>
    <row r="25" spans="2:3">
      <c r="B25" s="50" t="s">
        <v>612</v>
      </c>
      <c r="C25" s="482">
        <v>531</v>
      </c>
    </row>
    <row r="26" spans="2:3">
      <c r="B26" s="50" t="s">
        <v>1840</v>
      </c>
      <c r="C26" s="482">
        <v>51</v>
      </c>
    </row>
    <row r="27" spans="2:3">
      <c r="B27" s="50" t="s">
        <v>614</v>
      </c>
      <c r="C27" s="482">
        <v>1</v>
      </c>
    </row>
    <row r="28" spans="2:3">
      <c r="B28" s="50" t="s">
        <v>2320</v>
      </c>
      <c r="C28" s="482">
        <v>98</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c r="D52" s="482">
        <v>72</v>
      </c>
      <c r="E52" s="482">
        <v>1</v>
      </c>
      <c r="F52" s="482">
        <v>3</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12</v>
      </c>
      <c r="D57" s="482">
        <v>192</v>
      </c>
      <c r="E57" s="482">
        <v>1</v>
      </c>
      <c r="F57" s="482">
        <v>3</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12</v>
      </c>
    </row>
    <row r="68" spans="2:3">
      <c r="B68" s="50" t="s">
        <v>612</v>
      </c>
      <c r="C68" s="482">
        <v>192</v>
      </c>
    </row>
    <row r="69" spans="2:3">
      <c r="B69" s="50" t="s">
        <v>2324</v>
      </c>
      <c r="C69" s="482">
        <v>3</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18</v>
      </c>
      <c r="E137" s="482">
        <v>11</v>
      </c>
      <c r="F137" s="482"/>
      <c r="G137" s="482"/>
      <c r="H137" s="482">
        <v>14</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114</v>
      </c>
      <c r="E143" s="482">
        <v>50</v>
      </c>
      <c r="F143" s="482">
        <v>1</v>
      </c>
      <c r="G143" s="482">
        <v>1</v>
      </c>
      <c r="H143" s="482">
        <v>35</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114</v>
      </c>
    </row>
    <row r="156" spans="2:3">
      <c r="B156" s="50" t="s">
        <v>611</v>
      </c>
      <c r="C156" s="482">
        <v>4</v>
      </c>
    </row>
    <row r="157" spans="2:3">
      <c r="B157" s="50" t="s">
        <v>614</v>
      </c>
      <c r="C157" s="482">
        <v>1</v>
      </c>
    </row>
    <row r="158" spans="2:3">
      <c r="B158" s="50" t="s">
        <v>2324</v>
      </c>
      <c r="C158" s="482">
        <v>35</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1840</v>
      </c>
      <c r="C173" s="482">
        <v>49</v>
      </c>
    </row>
    <row r="174" spans="2:3">
      <c r="B174" s="50" t="s">
        <v>614</v>
      </c>
      <c r="C174" s="482">
        <v>1</v>
      </c>
    </row>
    <row r="175" spans="2:3">
      <c r="B175" s="50" t="s">
        <v>2320</v>
      </c>
      <c r="C175" s="482">
        <v>21</v>
      </c>
    </row>
    <row r="176" spans="2:3">
      <c r="B176" s="50" t="s">
        <v>1144</v>
      </c>
      <c r="C176" s="482">
        <v>71</v>
      </c>
    </row>
    <row r="180" spans="2:2">
      <c r="B180" s="50"/>
    </row>
    <row r="181" spans="2:2">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114</v>
      </c>
    </row>
    <row r="207" spans="2:3">
      <c r="B207" s="50" t="s">
        <v>1840</v>
      </c>
      <c r="C207" s="482">
        <v>1</v>
      </c>
    </row>
    <row r="208" spans="2:3">
      <c r="B208" s="50" t="s">
        <v>2319</v>
      </c>
      <c r="C208" s="482">
        <v>1</v>
      </c>
    </row>
    <row r="209" spans="2:3">
      <c r="B209" s="50" t="s">
        <v>2320</v>
      </c>
      <c r="C209" s="482">
        <v>14</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7</v>
      </c>
    </row>
    <row r="173" spans="1:2">
      <c r="A173" t="s">
        <v>2271</v>
      </c>
      <c r="B173" s="482">
        <v>7</v>
      </c>
    </row>
    <row r="174" spans="1:2">
      <c r="A174" t="s">
        <v>2272</v>
      </c>
      <c r="B174" s="482">
        <v>7</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7</v>
      </c>
    </row>
    <row r="202" spans="1:2">
      <c r="A202" t="s">
        <v>752</v>
      </c>
      <c r="B202" s="482">
        <v>7</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7</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0.5</v>
      </c>
      <c r="P83" s="311">
        <f ca="1">SUMPRODUCT(P84:P85,U84:U85)/SUM(U84:U85)</f>
        <v>1</v>
      </c>
      <c r="Q83" s="238">
        <f t="shared" ca="1" si="26"/>
        <v>-0.5</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 xml:space="preserve">6. Em implementação </v>
      </c>
      <c r="I84" s="314">
        <v>45635</v>
      </c>
      <c r="J84" s="313"/>
      <c r="K84" s="313"/>
      <c r="L84" s="280">
        <f t="array" ref="L84">MIN(IF(W84:CI84&gt;0,$W$16:$CI$16))</f>
        <v>45628</v>
      </c>
      <c r="M84" s="281">
        <f t="array" ref="M84">MAX(IF(W84:CI84&gt;0,$W$16:$CI$16))</f>
        <v>45639</v>
      </c>
      <c r="N84" s="281"/>
      <c r="O84" s="239">
        <f>VLOOKUP(H84,Auxiliar!$B$16:$E$24,4,0)</f>
        <v>0</v>
      </c>
      <c r="P84" s="239">
        <f ca="1">IF(TODAY()&lt;=L84,0,MIN((TODAY()-L84)/(M84-L84+1),100%))</f>
        <v>1</v>
      </c>
      <c r="Q84" s="239">
        <f ca="1">O84-P84</f>
        <v>-1</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0.66666666666666663</v>
      </c>
      <c r="P98" s="311">
        <f ca="1">SUMPRODUCT(P99:P101,U99:U101)/SUM(U99:U101)</f>
        <v>1</v>
      </c>
      <c r="Q98" s="303">
        <f t="shared" ca="1" si="26"/>
        <v>-0.33333333333333337</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 xml:space="preserve">6. Em implementação </v>
      </c>
      <c r="I101" s="275">
        <v>45595</v>
      </c>
      <c r="J101" s="313">
        <v>45611</v>
      </c>
      <c r="K101" s="313">
        <v>45611</v>
      </c>
      <c r="L101" s="280">
        <f t="array" ref="L101">MIN(IF(W101:CI101&gt;0,$W$16:$CI$16))</f>
        <v>45629</v>
      </c>
      <c r="M101" s="281">
        <f t="array" ref="M101">MAX(IF(W101:CI101&gt;0,$W$16:$CI$16))</f>
        <v>45629</v>
      </c>
      <c r="N101" s="281"/>
      <c r="O101" s="239">
        <f>VLOOKUP(H101,Auxiliar!$B$16:$E$24,4,0)</f>
        <v>0</v>
      </c>
      <c r="P101" s="239">
        <f ca="1">IF(TODAY()&lt;=L101,0,MIN((TODAY()-L101)/(M101-L101+1),100%))</f>
        <v>1</v>
      </c>
      <c r="Q101" s="238">
        <f t="shared" ca="1" si="26"/>
        <v>-1</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 xml:space="preserve">6. Em implementação </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56" priority="2" operator="notEqual">
      <formula>0</formula>
    </cfRule>
  </conditionalFormatting>
  <conditionalFormatting sqref="W144:CA145 W146:CF146">
    <cfRule type="cellIs" dxfId="55"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54" priority="119" operator="greaterThan">
      <formula>0</formula>
    </cfRule>
  </conditionalFormatting>
  <conditionalFormatting sqref="W17:CI143">
    <cfRule type="cellIs" dxfId="53" priority="16" operator="greaterThan">
      <formula>0</formula>
    </cfRule>
  </conditionalFormatting>
  <conditionalFormatting sqref="W147:CI147">
    <cfRule type="cellIs" dxfId="52" priority="21" operator="greaterThan">
      <formula>0</formula>
    </cfRule>
  </conditionalFormatting>
  <conditionalFormatting sqref="W160:CI166">
    <cfRule type="cellIs" dxfId="51" priority="38" operator="greaterThan">
      <formula>0</formula>
    </cfRule>
  </conditionalFormatting>
  <conditionalFormatting sqref="W168:CI187">
    <cfRule type="cellIs" dxfId="50" priority="10" operator="greaterThan">
      <formula>0</formula>
    </cfRule>
  </conditionalFormatting>
  <conditionalFormatting sqref="W226:CI255">
    <cfRule type="cellIs" dxfId="49" priority="1" operator="greaterThan">
      <formula>0</formula>
    </cfRule>
  </conditionalFormatting>
  <conditionalFormatting sqref="Y6:CI6 Y9:CI10">
    <cfRule type="cellIs" dxfId="48" priority="131" operator="notEqual">
      <formula>0</formula>
    </cfRule>
  </conditionalFormatting>
  <conditionalFormatting sqref="AO50:BT50">
    <cfRule type="cellIs" dxfId="47" priority="121" operator="greaterThan">
      <formula>0</formula>
    </cfRule>
  </conditionalFormatting>
  <conditionalFormatting sqref="AO70:BT73 BU70:CI75 AP74:AT74">
    <cfRule type="cellIs" dxfId="46" priority="76" operator="greaterThan">
      <formula>0</formula>
    </cfRule>
  </conditionalFormatting>
  <conditionalFormatting sqref="AO88:CI88">
    <cfRule type="cellIs" dxfId="45" priority="118" operator="greaterThan">
      <formula>0</formula>
    </cfRule>
  </conditionalFormatting>
  <conditionalFormatting sqref="BB218">
    <cfRule type="cellIs" dxfId="44" priority="84" operator="greaterThan">
      <formula>0</formula>
    </cfRule>
  </conditionalFormatting>
  <conditionalFormatting sqref="BU89:CI90">
    <cfRule type="cellIs" dxfId="43" priority="130" operator="greaterThan">
      <formula>0</formula>
    </cfRule>
  </conditionalFormatting>
  <conditionalFormatting sqref="CB145:CF145">
    <cfRule type="cellIs" dxfId="42" priority="20" operator="greaterThan">
      <formula>0</formula>
    </cfRule>
  </conditionalFormatting>
  <conditionalFormatting sqref="CC144:CI144">
    <cfRule type="cellIs" dxfId="41" priority="29" operator="greaterThan">
      <formula>0</formula>
    </cfRule>
  </conditionalFormatting>
  <conditionalFormatting sqref="CG145:CI146">
    <cfRule type="cellIs" dxfId="40" priority="23" operator="greaterThan">
      <formula>0</formula>
    </cfRule>
  </conditionalFormatting>
  <conditionalFormatting sqref="CG148:CI159">
    <cfRule type="cellIs" dxfId="39"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 xml:space="preserve">6. Em implementação </v>
      </c>
      <c r="H197" s="64">
        <f>VLOOKUP(A197,'Aux - pivots1'!$A:$B,2,0)</f>
        <v>7</v>
      </c>
      <c r="I197" s="183">
        <f>SUMIFS(Table1[Estimação (horas)],Table1[Tabela],Plano_V3!E197,Table1[Campo],Plano_V3!F197)</f>
        <v>4.0999999999999996</v>
      </c>
      <c r="J197" s="183">
        <f t="shared" si="29"/>
        <v>0.51249999999999996</v>
      </c>
      <c r="K197" s="183">
        <f>SUMIFS(Table1[Horas efetivas],Table1[Tabela],Plano_V3!E197,Table1[Campo],Plano_V3!F197)</f>
        <v>1.0249999999999999</v>
      </c>
      <c r="L197" s="183">
        <f t="shared" si="30"/>
        <v>0.12812499999999999</v>
      </c>
      <c r="M197" s="177"/>
      <c r="N197" s="177">
        <f t="shared" si="31"/>
        <v>0.25</v>
      </c>
      <c r="O197" s="177">
        <f t="shared" si="32"/>
        <v>0.25</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2.1</v>
      </c>
      <c r="L198" s="183">
        <f t="shared" si="30"/>
        <v>0.26250000000000001</v>
      </c>
      <c r="M198" s="177"/>
      <c r="N198" s="177">
        <f t="shared" si="31"/>
        <v>0.51219512195121952</v>
      </c>
      <c r="O198" s="177">
        <f t="shared" si="32"/>
        <v>0.51219512195121952</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91.300000000000281</v>
      </c>
      <c r="L242" s="183">
        <f>K242/8</f>
        <v>11.412500000000035</v>
      </c>
      <c r="M242" s="177"/>
      <c r="N242" s="177">
        <f t="shared" si="37"/>
        <v>0.98066595059076256</v>
      </c>
      <c r="O242" s="177">
        <f t="shared" si="32"/>
        <v>0.98066595059076256</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 xml:space="preserve">6. Em implementação </v>
      </c>
      <c r="H619" s="64">
        <f>VLOOKUP(A619,'Aux - pivots1'!$A:$B,2,0)</f>
        <v>7</v>
      </c>
      <c r="I619" s="175">
        <f>SUMIFS(Table1[Estimação (horas)],Table1[Tabela],Plano_V3!E619,Table1[Campo],Plano_V3!F619)</f>
        <v>4.0999999999999996</v>
      </c>
      <c r="J619" s="175">
        <f t="shared" ref="J619:J630" si="356">I619/8</f>
        <v>0.51249999999999996</v>
      </c>
      <c r="K619" s="175">
        <f>SUMIFS(Table1[Horas efetivas],Table1[Tabela],Plano_V3!E619,Table1[Campo],Plano_V3!F619)</f>
        <v>1.0249999999999999</v>
      </c>
      <c r="L619" s="175">
        <f t="shared" ref="L619:L630" si="357">K619/8</f>
        <v>0.12812499999999999</v>
      </c>
      <c r="M619" s="177"/>
      <c r="N619" s="177">
        <f t="shared" ref="N619:N630" si="358">L619/J619</f>
        <v>0.25</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 xml:space="preserve">6. Em implementação </v>
      </c>
      <c r="H620" s="64">
        <f>VLOOKUP(A620,'Aux - pivots1'!$A:$B,2,0)</f>
        <v>7</v>
      </c>
      <c r="I620" s="175">
        <f>SUMIFS(Table1[Estimação (horas)],Table1[Tabela],Plano_V3!E620,Table1[Campo],Plano_V3!F620)</f>
        <v>4.0999999999999996</v>
      </c>
      <c r="J620" s="175">
        <f t="shared" si="356"/>
        <v>0.51249999999999996</v>
      </c>
      <c r="K620" s="175">
        <f>SUMIFS(Table1[Horas efetivas],Table1[Tabela],Plano_V3!E620,Table1[Campo],Plano_V3!F620)</f>
        <v>1.0249999999999999</v>
      </c>
      <c r="L620" s="175">
        <f t="shared" si="357"/>
        <v>0.12812499999999999</v>
      </c>
      <c r="M620" s="177"/>
      <c r="N620" s="177">
        <f t="shared" si="358"/>
        <v>0.25</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 xml:space="preserve">6. Em implementação </v>
      </c>
      <c r="H635" s="64">
        <f>VLOOKUP(A635,'Aux - pivots1'!$A:$B,2,0)</f>
        <v>7</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 xml:space="preserve">6. Em implementação </v>
      </c>
      <c r="H637" s="64">
        <f>VLOOKUP(A637,'Aux - pivots1'!$A:$B,2,0)</f>
        <v>7</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 xml:space="preserve">6. Em implementação </v>
      </c>
      <c r="H638" s="64">
        <f>VLOOKUP(A638,'Aux - pivots1'!$A:$B,2,0)</f>
        <v>7</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38" priority="77" operator="lessThan">
      <formula>0</formula>
    </cfRule>
    <cfRule type="cellIs" dxfId="37" priority="78" operator="greaterThanOrEqual">
      <formula>0</formula>
    </cfRule>
  </conditionalFormatting>
  <conditionalFormatting sqref="Q15:Q17 Q25:Q246">
    <cfRule type="cellIs" dxfId="36" priority="104" operator="notEqual">
      <formula>0</formula>
    </cfRule>
  </conditionalFormatting>
  <conditionalFormatting sqref="Q20:Q22">
    <cfRule type="cellIs" dxfId="35" priority="96" operator="notEqual">
      <formula>0</formula>
    </cfRule>
  </conditionalFormatting>
  <conditionalFormatting sqref="Q248:Q562">
    <cfRule type="cellIs" dxfId="34" priority="21" operator="notEqual">
      <formula>0</formula>
    </cfRule>
  </conditionalFormatting>
  <conditionalFormatting sqref="R5:R6 S6:ES6">
    <cfRule type="cellIs" dxfId="33" priority="105" operator="notEqual">
      <formula>0</formula>
    </cfRule>
  </conditionalFormatting>
  <conditionalFormatting sqref="R15:ES17 R20:ES22 R25:ES25">
    <cfRule type="cellIs" dxfId="32" priority="103" operator="greaterThan">
      <formula>0</formula>
    </cfRule>
  </conditionalFormatting>
  <conditionalFormatting sqref="R74:ES74">
    <cfRule type="cellIs" dxfId="31" priority="101" operator="greaterThan">
      <formula>0</formula>
    </cfRule>
  </conditionalFormatting>
  <conditionalFormatting sqref="R243:ES243">
    <cfRule type="cellIs" dxfId="30" priority="100" operator="greaterThan">
      <formula>0</formula>
    </cfRule>
  </conditionalFormatting>
  <conditionalFormatting sqref="R452:ES452">
    <cfRule type="cellIs" dxfId="29" priority="99" operator="greaterThan">
      <formula>0</formula>
    </cfRule>
  </conditionalFormatting>
  <conditionalFormatting sqref="R562:ES562">
    <cfRule type="cellIs" dxfId="28"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C715EC90-6712-4526-905F-8CCBD46F595E}"/>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0683c779-04fc-4b63-89c9-6c25ffa1c0a4"/>
    <ds:schemaRef ds:uri="http://schemas.microsoft.com/sharepoint/v3"/>
    <ds:schemaRef ds:uri="http://www.w3.org/XML/1998/namespace"/>
    <ds:schemaRef ds:uri="6ea7b29d-57ec-408d-9ea9-cf73b04f66d5"/>
    <ds:schemaRef ds:uri="http://schemas.microsoft.com/office/2006/documentManagement/types"/>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2025-03-11T17:10:40Z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