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3"/>
    <pivotCache cacheId="1" r:id="rId14"/>
    <pivotCache cacheId="2" r:id="rId15"/>
    <pivotCache cacheId="3" r:id="rId16"/>
    <pivotCache cacheId="4" r:id="rId17"/>
    <pivotCache cacheId="5" r:id="rId18"/>
    <pivotCache cacheId="6" r:id="rId19"/>
    <pivotCache cacheId="7" r:id="rId20"/>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6" i="15" l="1"/>
  <c r="P35" i="15"/>
  <c r="P34" i="15"/>
  <c r="P37" i="15" s="1"/>
  <c r="N34" i="15"/>
  <c r="N37" i="15" s="1"/>
  <c r="N35" i="15"/>
  <c r="M34" i="15"/>
  <c r="M37" i="15" s="1"/>
  <c r="L34" i="15"/>
  <c r="L37" i="15" s="1"/>
  <c r="L35" i="15"/>
  <c r="M36" i="15"/>
  <c r="N36" i="15"/>
  <c r="M35" i="15"/>
  <c r="L36" i="15"/>
  <c r="Q31" i="15"/>
  <c r="Q32" i="15"/>
  <c r="Q33"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Q34" i="15"/>
  <c r="R34" i="15" s="1"/>
  <c r="Q35" i="15"/>
  <c r="R35" i="15" s="1"/>
  <c r="Q36" i="15"/>
  <c r="R36" i="15" s="1"/>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U51" i="15"/>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I247" i="20" s="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D247" i="20" l="1"/>
  <c r="XDZ247" i="20" s="1"/>
  <c r="XEJ247" i="20"/>
  <c r="XEE247" i="20" s="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J1482" i="1"/>
  <c r="O1482" i="1"/>
  <c r="W1482" i="1" s="1"/>
  <c r="K635" i="20" s="1"/>
  <c r="L635" i="20" s="1"/>
  <c r="H1483" i="1"/>
  <c r="O1483" i="1"/>
  <c r="W1483" i="1" s="1"/>
  <c r="K636" i="20" s="1"/>
  <c r="L636" i="20" s="1"/>
  <c r="H1484" i="1"/>
  <c r="J1484" i="1"/>
  <c r="O1484" i="1"/>
  <c r="W1484" i="1" s="1"/>
  <c r="K637" i="20" s="1"/>
  <c r="L637" i="20" s="1"/>
  <c r="H1485" i="1"/>
  <c r="J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J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J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D247" i="20"/>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801" i="1" l="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551" i="20"/>
  <c r="G555" i="20"/>
  <c r="G546" i="20"/>
  <c r="G556" i="20"/>
  <c r="G544" i="20"/>
  <c r="G586" i="20"/>
  <c r="G547" i="20"/>
  <c r="G552" i="20"/>
  <c r="J823" i="1"/>
  <c r="J1426" i="1"/>
  <c r="J1424" i="1"/>
  <c r="J1430" i="1"/>
  <c r="J814" i="1"/>
  <c r="J816" i="1"/>
  <c r="J815" i="1"/>
  <c r="G73" i="20"/>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176" i="17" s="1"/>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6" i="15"/>
  <c r="T190" i="15" s="1"/>
  <c r="T15" i="15"/>
  <c r="T165" i="15"/>
  <c r="T189" i="15" s="1"/>
  <c r="N19" i="15"/>
  <c r="N16"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37" i="15"/>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<sst xmlns="http://schemas.openxmlformats.org/spreadsheetml/2006/main" count="35587" uniqueCount="2471">
  <si>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</si>
  <si>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</si>
  <si>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</si>
  <si>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</si>
  <si>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</si>
  <si>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</si>
  <si>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</si>
  <si>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</si>
  <si>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</si>
  <si>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</si>
  <si>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</si>
  <si>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</si>
  <si>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</si>
  <si>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</si>
  <si>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</si>
  <si>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</si>
  <si>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</si>
  <si>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</si>
  <si>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</si>
  <si>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</si>
  <si>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</si>
  <si>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</si>
  <si>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</si>
  <si>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</si>
  <si>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</si>
  <si>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</si>
  <si>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</si>
  <si>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</si>
  <si>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</si>
  <si>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</si>
  <si>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</si>
  <si>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</si>
  <si>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</si>
  <si>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</si>
  <si>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</si>
  <si>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</si>
  <si>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</si>
  <si>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</si>
  <si>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</si>
  <si>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</si>
  <si>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</si>
  <si>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</si>
  <si>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</si>
  <si>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</si>
  <si>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</si>
  <si>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</si>
  <si>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</si>
  <si>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</si>
  <si>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</si>
  <si>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</si>
  <si>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</si>
  <si>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</si>
  <si>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</si>
  <si>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</si>
  <si>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</si>
  <si>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</si>
  <si>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</si>
  <si>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</si>
  <si>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</si>
  <si>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</si>
  <si>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</si>
  <si>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</si>
  <si>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</si>
  <si>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</si>
  <si>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</si>
  <si>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</si>
  <si>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</si>
  <si>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</si>
  <si>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</si>
  <si>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</si>
  <si>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</si>
  <si>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</si>
  <si>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</si>
  <si>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</si>
  <si>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</si>
  <si>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</si>
  <si>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</si>
  <si>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</si>
  <si>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</si>
  <si>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</si>
  <si>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</si>
  <si>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</si>
  <si>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</si>
  <si>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</si>
  <si>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</si>
  <si>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</si>
  <si>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</si>
  <si>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</si>
  <si>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</si>
  <si>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</si>
  <si>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</si>
  <si>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</si>
  <si>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</si>
  <si>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</si>
  <si>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</si>
  <si>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</si>
  <si>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</si>
  <si>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</si>
  <si>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</si>
  <si>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</si>
  <si>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</si>
  <si>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</si>
  <si>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</si>
  <si>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</si>
  <si>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</si>
  <si>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</si>
  <si>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</si>
  <si>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</si>
  <si>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</si>
  <si>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</si>
  <si>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</si>
  <si>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</si>
  <si>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</si>
  <si>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</si>
  <si>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</si>
  <si>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</si>
  <si>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</si>
  <si>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</si>
  <si>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</si>
  <si>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</si>
  <si>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</si>
  <si>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</si>
  <si>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</si>
  <si>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</si>
  <si>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</si>
  <si>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</si>
  <si>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</si>
  <si>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</si>
  <si>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</si>
  <si>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</si>
  <si>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</si>
  <si>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</si>
  <si>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</si>
  <si>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</si>
  <si>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</si>
  <si>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</si>
  <si>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</si>
  <si>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</si>
  <si>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</si>
  <si>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</si>
  <si>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</si>
  <si>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</si>
  <si>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</si>
  <si>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</si>
  <si>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</si>
  <si>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</si>
  <si>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</si>
  <si>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</si>
  <si>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</si>
  <si>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</si>
  <si>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</si>
  <si>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</si>
  <si>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</si>
  <si>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</si>
  <si>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</si>
  <si>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</si>
  <si>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</si>
  <si>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</si>
  <si>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</si>
  <si>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</si>
  <si>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</si>
  <si>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</si>
  <si>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</si>
  <si>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</si>
  <si>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</si>
  <si>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</si>
  <si>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</si>
  <si>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</si>
  <si>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</si>
  <si>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</si>
  <si>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</si>
  <si>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</si>
  <si>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</si>
  <si>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</si>
  <si>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</si>
  <si>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</si>
  <si>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</si>
  <si>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</si>
  <si>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</si>
  <si>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</si>
  <si>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</si>
  <si>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</si>
  <si>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</si>
  <si>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</si>
  <si>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</si>
  <si>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</si>
  <si>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</si>
  <si>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</si>
  <si>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</si>
  <si>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</si>
  <si>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</si>
  <si>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</si>
  <si>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</si>
  <si>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</si>
  <si>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</si>
  <si>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</si>
  <si>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</si>
  <si>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</si>
  <si>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</si>
  <si>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</si>
  <si>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</si>
  <si>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</si>
  <si>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</si>
  <si>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</si>
  <si>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</si>
  <si>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</si>
  <si>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</si>
  <si>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</si>
  <si>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</si>
  <si>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</si>
  <si>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</si>
  <si>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</si>
  <si>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</si>
  <si>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</si>
  <si>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</si>
  <si>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</si>
  <si>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</si>
  <si>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</si>
  <si>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</si>
  <si>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</si>
  <si>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</si>
  <si>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</si>
  <si>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</si>
  <si>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</si>
  <si>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</si>
  <si>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</si>
  <si>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</si>
  <si>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</si>
  <si>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</si>
  <si>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</si>
  <si>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</si>
  <si>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</si>
  <si>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</si>
  <si>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</si>
  <si>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</si>
  <si>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</si>
  <si>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</si>
  <si>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</si>
  <si>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</si>
  <si>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</si>
  <si>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</si>
  <si>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</si>
  <si>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</si>
  <si>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</si>
  <si>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</si>
  <si>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</si>
  <si>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</si>
  <si>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</si>
  <si>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</si>
  <si>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</si>
  <si>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</si>
  <si>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</si>
  <si>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</si>
  <si>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</si>
  <si>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</si>
  <si>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</si>
  <si>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</si>
  <si>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</si>
  <si>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</si>
  <si>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</si>
  <si>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</si>
  <si>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</si>
  <si>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</si>
  <si>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</si>
  <si>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</si>
  <si>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</si>
  <si>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</si>
  <si>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</si>
  <si>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</si>
  <si>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</si>
  <si>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</si>
  <si>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</si>
  <si>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</si>
  <si>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</si>
  <si>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</si>
  <si>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</si>
  <si>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</si>
  <si>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</si>
  <si>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</si>
  <si>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</si>
  <si>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</si>
  <si>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</si>
  <si>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</si>
  <si>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</si>
  <si>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</si>
  <si>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</si>
  <si>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</si>
  <si>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</si>
  <si>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</si>
  <si>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</si>
  <si>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</si>
  <si>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</si>
  <si>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</si>
  <si>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</si>
  <si>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</si>
  <si>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</si>
  <si>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</si>
  <si>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</si>
  <si>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</si>
  <si>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</si>
  <si>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</si>
  <si>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</si>
  <si>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</si>
  <si>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</si>
  <si>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</si>
  <si>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</si>
  <si>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</si>
  <si>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</si>
  <si>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</si>
  <si>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</si>
  <si>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</si>
  <si>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</si>
  <si>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</si>
  <si>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</si>
  <si>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</si>
  <si>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</si>
  <si>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</si>
  <si>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</si>
  <si>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</si>
  <si>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</si>
  <si>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</si>
  <si>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</si>
  <si>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</si>
  <si>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</si>
  <si>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</si>
  <si>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</si>
  <si>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</si>
  <si>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</si>
  <si>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</si>
  <si>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</si>
  <si>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</si>
  <si>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</si>
  <si>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</si>
  <si>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</si>
  <si>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</si>
  <si>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</si>
  <si>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</si>
  <si>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</si>
  <si>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</si>
  <si>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</si>
  <si>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</si>
  <si>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</si>
  <si>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</si>
  <si>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</si>
  <si>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</si>
  <si>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</si>
  <si>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</si>
  <si>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</si>
  <si>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</si>
  <si>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</si>
  <si>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</si>
  <si>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</si>
  <si>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</si>
  <si>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</si>
  <si>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</si>
  <si>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</si>
  <si>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</si>
  <si>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</si>
  <si>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</si>
  <si>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</si>
  <si>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</si>
  <si>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</si>
  <si>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</si>
  <si>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</si>
  <si>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</si>
  <si>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</si>
  <si>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</si>
  <si>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</si>
  <si>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</si>
  <si>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</si>
  <si>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</si>
  <si>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</si>
  <si>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</si>
  <si>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</si>
  <si>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</si>
  <si>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</si>
  <si>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</si>
  <si>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</si>
  <si>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</si>
  <si>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</si>
  <si>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</si>
  <si>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</si>
  <si>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</si>
  <si>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</si>
  <si>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</si>
  <si>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</si>
  <si>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</si>
  <si>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</si>
  <si>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</si>
  <si>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</si>
  <si>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</si>
  <si>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</si>
  <si>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</si>
  <si>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</si>
  <si>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</si>
  <si>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</si>
  <si>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</si>
  <si>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</si>
  <si>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</si>
  <si>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</si>
  <si>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</si>
  <si>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</si>
  <si>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</si>
  <si>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</si>
  <si>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</si>
  <si>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</si>
  <si>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</si>
  <si>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</si>
  <si>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</si>
  <si>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</si>
  <si>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</si>
  <si>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</si>
  <si>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</si>
  <si>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</si>
  <si>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</si>
  <si>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</si>
  <si>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</si>
  <si>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</si>
  <si>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</si>
  <si>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</si>
  <si>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</si>
  <si>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</si>
  <si>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</si>
  <si>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</si>
  <si>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</si>
  <si>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</si>
  <si>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</si>
  <si>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</si>
  <si>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</si>
  <si>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</si>
  <si>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</si>
  <si>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</si>
  <si>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</si>
  <si>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</si>
  <si>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</si>
  <si>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</si>
  <si>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</si>
  <si>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</si>
  <si>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</si>
  <si>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</si>
  <si>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</si>
  <si>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</si>
  <si>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</si>
  <si>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</si>
  <si>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</si>
  <si>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</si>
  <si>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</si>
  <si>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</si>
  <si>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</si>
  <si>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</si>
  <si>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</si>
  <si>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</si>
  <si>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</si>
  <si>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</si>
  <si>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</si>
  <si>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</si>
  <si>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</si>
  <si>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</si>
  <si>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</si>
  <si>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</si>
  <si>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</si>
  <si>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</si>
  <si>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</si>
  <si>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</si>
  <si>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</si>
  <si>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</si>
  <si>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</si>
  <si>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</si>
  <si>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</si>
  <si>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</si>
  <si>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</si>
  <si>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</si>
  <si>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</si>
  <si>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</si>
  <si>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</si>
  <si>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</si>
  <si>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</si>
  <si>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</si>
  <si>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</si>
  <si>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</si>
  <si>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</si>
  <si>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</si>
  <si>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</si>
  <si>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</si>
  <si>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</si>
  <si>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</si>
  <si>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</si>
  <si>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</si>
  <si>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</si>
  <si>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</si>
  <si>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</si>
  <si>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</si>
  <si>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</si>
  <si>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</si>
  <si>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</si>
  <si>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</si>
  <si>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</si>
  <si>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</si>
  <si>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</si>
  <si>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</si>
  <si>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</si>
  <si>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</si>
  <si>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</si>
  <si>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</si>
  <si>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</si>
  <si>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</si>
  <si>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</si>
  <si>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</si>
  <si>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</si>
  <si>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</si>
  <si>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</si>
  <si>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</si>
  <si>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</si>
  <si>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</si>
  <si>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</si>
  <si>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</si>
  <si>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</si>
  <si>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</si>
  <si>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</si>
  <si>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</si>
  <si>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</si>
  <si>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</si>
  <si>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</si>
  <si>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</si>
  <si>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</si>
  <si>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</si>
  <si>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</si>
  <si>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</si>
  <si>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</si>
  <si>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</si>
  <si>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</si>
  <si>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</si>
  <si>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</si>
  <si>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</si>
  <si>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</si>
  <si>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</si>
  <si>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</si>
  <si>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</si>
  <si>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</si>
  <si>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</si>
  <si>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</si>
  <si>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</si>
  <si>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</si>
  <si>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</si>
  <si>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</si>
  <si>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</si>
  <si>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</si>
  <si>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</si>
  <si>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</si>
  <si>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</si>
  <si>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</si>
  <si>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</si>
  <si>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</si>
  <si>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</si>
  <si>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</si>
  <si>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</si>
  <si>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</si>
  <si>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</si>
  <si>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</si>
  <si>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</si>
  <si>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</si>
  <si>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</si>
  <si>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</si>
  <si>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</si>
  <si>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</si>
  <si>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</si>
  <si>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</si>
  <si>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</si>
  <si>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</si>
  <si>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</si>
  <si>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</si>
  <si>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</si>
  <si>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</si>
  <si>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</si>
  <si>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</si>
  <si>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</si>
  <si>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</si>
  <si>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</si>
  <si>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</si>
  <si>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</si>
  <si>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</si>
  <si>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</si>
  <si>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</si>
  <si>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</si>
  <si>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</si>
  <si>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</si>
  <si>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</si>
  <si>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</si>
  <si>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</si>
  <si>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</si>
  <si>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</si>
  <si>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</si>
  <si>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</si>
  <si>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</si>
  <si>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</si>
  <si>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</si>
  <si>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</si>
  <si>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</si>
  <si>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</si>
  <si>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</si>
  <si>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</si>
  <si>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</si>
  <si>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</si>
  <si>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</si>
  <si>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</si>
  <si>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</si>
  <si>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</si>
  <si>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</si>
  <si>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</si>
  <si>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</si>
  <si>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</si>
  <si>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</si>
  <si>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</si>
  <si>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</si>
  <si>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</si>
  <si>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</si>
  <si>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</si>
  <si>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</si>
  <si>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</si>
  <si>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</si>
  <si>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</si>
  <si>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</si>
  <si>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</si>
  <si>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</si>
  <si>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</si>
  <si>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</si>
  <si>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</si>
  <si>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</si>
  <si>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</si>
  <si>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</si>
  <si>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</si>
  <si>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</si>
  <si>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</si>
  <si>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</si>
  <si>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</si>
  <si>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</si>
  <si>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</si>
  <si>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</si>
  <si>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</si>
  <si>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</si>
  <si>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</si>
  <si>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</si>
  <si>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</si>
  <si>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</si>
  <si>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</si>
  <si>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</si>
  <si>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</si>
  <si>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</si>
  <si>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</si>
  <si>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</si>
  <si>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</si>
  <si>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</si>
  <si>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</si>
  <si>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</si>
  <si>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</si>
  <si>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</si>
  <si>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</si>
  <si>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</si>
  <si>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</si>
  <si>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</si>
  <si>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</si>
  <si>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</si>
  <si>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</si>
  <si>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</si>
  <si>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</si>
  <si>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</si>
  <si>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</si>
  <si>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</si>
  <si>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</si>
  <si>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</si>
  <si>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</si>
  <si>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</si>
  <si>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</si>
  <si>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</si>
  <si>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</si>
  <si>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</si>
  <si>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</si>
  <si>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</si>
  <si>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</si>
  <si>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</si>
  <si>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</si>
  <si>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</si>
  <si>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</si>
  <si>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</si>
  <si>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</si>
  <si>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</si>
  <si>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</si>
  <si>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</si>
  <si>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</si>
  <si>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</si>
  <si>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</si>
  <si>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</si>
  <si>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</si>
  <si>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</si>
  <si>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</si>
  <si>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</si>
  <si>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</si>
  <si>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</si>
  <si>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</si>
  <si>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</si>
  <si>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</si>
  <si>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</si>
  <si>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</si>
  <si>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</si>
  <si>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</si>
  <si>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</si>
  <si>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</si>
  <si>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</si>
  <si>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</si>
  <si>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</si>
  <si>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</si>
  <si>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</si>
  <si>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</si>
  <si>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</si>
  <si>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</si>
  <si>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</si>
  <si>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</si>
  <si>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</si>
  <si>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</si>
  <si>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</si>
  <si>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</si>
  <si>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</si>
  <si>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</si>
  <si>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</si>
  <si>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</si>
  <si>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</si>
  <si>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</si>
  <si>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</si>
  <si>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</si>
  <si>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</si>
  <si>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</si>
  <si>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</si>
  <si>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</si>
  <si>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</si>
  <si>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</si>
  <si>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</si>
  <si>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</si>
  <si>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</si>
  <si>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</si>
  <si>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</si>
  <si>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</si>
  <si>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</si>
  <si>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</si>
  <si>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</si>
  <si>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</si>
  <si>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</si>
  <si>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</si>
  <si>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</si>
  <si>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</si>
  <si>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</si>
  <si>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</si>
  <si>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</si>
  <si>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</si>
  <si>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</si>
  <si>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</si>
  <si>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</si>
  <si>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</si>
  <si>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</si>
  <si>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</si>
  <si>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</si>
  <si>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</si>
  <si>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</si>
  <si>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</si>
  <si>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</si>
  <si>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</si>
  <si>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</si>
  <si>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</si>
  <si>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</si>
  <si>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</si>
  <si>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</si>
  <si>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</si>
  <si>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</si>
  <si>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</si>
  <si>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</si>
  <si>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</si>
  <si>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</si>
  <si>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</si>
  <si>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</si>
  <si>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</si>
  <si>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</si>
  <si>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</si>
  <si>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</si>
  <si>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</si>
  <si>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</si>
  <si>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</si>
  <si>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</si>
  <si>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</si>
  <si>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</si>
  <si>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</si>
  <si>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</si>
  <si>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</si>
  <si>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</si>
  <si>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</si>
  <si>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</si>
  <si>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</si>
  <si>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</si>
  <si>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</si>
  <si>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</si>
  <si>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</si>
  <si>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</si>
  <si>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</si>
  <si>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</si>
  <si>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</si>
  <si>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</si>
  <si>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</si>
  <si>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</si>
  <si>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</si>
  <si>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</si>
  <si>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</si>
  <si>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</si>
  <si>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</si>
  <si>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</si>
  <si>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</si>
  <si>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</si>
  <si>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</si>
  <si>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</si>
  <si>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</si>
  <si>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</si>
  <si>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</si>
  <si>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</si>
  <si>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</si>
  <si>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</si>
  <si>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</si>
  <si>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</si>
  <si>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</si>
  <si>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</si>
  <si>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</si>
  <si>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</si>
  <si>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</si>
  <si>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</si>
  <si>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</si>
  <si>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</si>
  <si>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</si>
  <si>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</si>
  <si>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</si>
  <si>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</si>
  <si>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</si>
  <si>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</si>
  <si>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</si>
  <si>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</si>
  <si>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</si>
  <si>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</si>
  <si>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</si>
  <si>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</si>
  <si>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</si>
  <si>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</si>
  <si>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</si>
  <si>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</si>
  <si>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</si>
  <si>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</si>
  <si>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</si>
  <si>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</si>
  <si>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</si>
  <si>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</si>
  <si>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</si>
  <si>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</si>
  <si>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</si>
  <si>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</si>
  <si>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</si>
  <si>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</si>
  <si>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</si>
  <si>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</si>
  <si>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</si>
  <si>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</si>
  <si>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</si>
  <si>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</si>
  <si>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</si>
  <si>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</si>
  <si>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</si>
  <si>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</si>
  <si>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</si>
  <si>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</si>
  <si>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</si>
  <si>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</si>
  <si>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</si>
  <si>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</si>
  <si>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</si>
  <si>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</si>
  <si>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</si>
  <si>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</si>
  <si>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</si>
  <si>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</si>
  <si>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</si>
  <si>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</si>
  <si>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</si>
  <si>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</si>
  <si>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</si>
  <si>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</si>
  <si>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</si>
  <si>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</si>
  <si>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</si>
  <si>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</si>
  <si>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</si>
  <si>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</si>
  <si>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</si>
  <si>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</si>
  <si>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</si>
  <si>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</si>
  <si>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</si>
  <si>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</si>
  <si>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</si>
  <si>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</si>
  <si>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</si>
  <si>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</si>
  <si>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</si>
  <si>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</si>
  <si>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</si>
  <si>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</si>
  <si>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</si>
  <si>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</si>
  <si>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</si>
  <si>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</si>
  <si>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</si>
  <si>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</si>
  <si>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</si>
  <si>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</si>
  <si>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</si>
  <si>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</si>
  <si>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</si>
  <si>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</si>
  <si>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</si>
  <si>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</si>
  <si>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</si>
  <si>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</si>
  <si>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</si>
  <si>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</si>
  <si>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</si>
  <si>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</si>
  <si>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</si>
  <si>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</si>
  <si>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</si>
  <si>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</si>
  <si>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</si>
  <si>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</si>
  <si>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</si>
  <si>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</si>
  <si>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</si>
  <si>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</si>
  <si>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</si>
  <si>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</si>
  <si>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</si>
  <si>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</si>
  <si>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</si>
  <si>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</si>
  <si>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</si>
  <si>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</si>
  <si>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</si>
  <si>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</si>
  <si>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</si>
  <si>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</si>
  <si>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</si>
  <si>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</si>
  <si>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</si>
  <si>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</si>
  <si>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</si>
  <si>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</si>
  <si>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</si>
  <si>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</si>
  <si>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</si>
  <si>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</si>
  <si>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</si>
  <si>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</si>
  <si>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</si>
  <si>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</si>
  <si>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</si>
  <si>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</si>
  <si>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</si>
  <si>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</si>
  <si>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</si>
  <si>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</si>
  <si>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</si>
  <si>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</si>
  <si>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</si>
  <si>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</si>
  <si>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</si>
  <si>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</si>
  <si>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</si>
  <si>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</si>
  <si>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</si>
  <si>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</si>
  <si>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</si>
  <si>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</si>
  <si>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</si>
  <si>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</si>
  <si>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</si>
  <si>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</si>
  <si>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</si>
  <si>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</si>
  <si>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</si>
  <si>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</si>
  <si>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</si>
  <si>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</si>
  <si>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</si>
  <si>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</si>
  <si>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</si>
  <si>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</si>
  <si>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</si>
  <si>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</si>
  <si>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</si>
  <si>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</si>
  <si>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</si>
  <si>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</si>
  <si>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</si>
  <si>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</si>
  <si>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</si>
  <si>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</si>
  <si>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</si>
  <si>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</si>
  <si>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</si>
  <si>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</si>
  <si>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</si>
  <si>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</si>
  <si>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</si>
  <si>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</si>
  <si>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</si>
  <si>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</si>
  <si>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</si>
  <si>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</si>
  <si>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</si>
  <si>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</si>
  <si>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</si>
  <si>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</si>
  <si>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</si>
  <si>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</si>
  <si>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</si>
  <si>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</si>
  <si>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</si>
  <si>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</si>
  <si>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</si>
  <si>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</si>
  <si>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</si>
  <si>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</si>
  <si>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</si>
  <si>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</si>
  <si>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</si>
  <si>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</si>
  <si>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</si>
  <si>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</si>
  <si>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</si>
  <si>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</si>
  <si>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</si>
  <si>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</si>
  <si>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</si>
  <si>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</si>
  <si>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</si>
  <si>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</si>
  <si>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</si>
  <si>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</si>
  <si>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</si>
  <si>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</si>
  <si>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</si>
  <si>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</si>
  <si>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</si>
  <si>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</si>
  <si>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</si>
  <si>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</si>
  <si>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</si>
  <si>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</si>
  <si>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</si>
  <si>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</si>
  <si>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</si>
  <si>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</si>
  <si>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</si>
  <si>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</si>
  <si>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</si>
  <si>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</si>
  <si>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</si>
  <si>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</si>
  <si>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</si>
  <si>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</si>
  <si>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</si>
  <si>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</si>
  <si>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</si>
  <si>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</si>
  <si>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</si>
  <si>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</si>
  <si>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</si>
  <si>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</si>
  <si>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</si>
  <si>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</si>
  <si>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</si>
  <si>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</si>
  <si>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</si>
  <si>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</si>
  <si>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</si>
  <si>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</si>
  <si>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</si>
  <si>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</si>
  <si>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</si>
  <si>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</si>
  <si>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</si>
  <si>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</si>
  <si>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</si>
  <si>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</si>
  <si>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</si>
  <si>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</si>
  <si>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</si>
  <si>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</si>
  <si>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</si>
  <si>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</si>
  <si>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</si>
  <si>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</si>
  <si>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</si>
  <si>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</si>
  <si>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</si>
  <si>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</si>
  <si>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</si>
  <si>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</si>
  <si>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</si>
  <si>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</si>
  <si>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</si>
  <si>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</si>
  <si>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</si>
  <si>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</si>
  <si>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</si>
  <si>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</si>
  <si>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</si>
  <si>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</si>
  <si>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</si>
  <si>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</si>
  <si>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</si>
  <si>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</si>
  <si>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</si>
  <si>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</si>
  <si>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</si>
  <si>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</si>
  <si>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</si>
  <si>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</si>
  <si>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</si>
  <si>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</si>
  <si>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</si>
  <si>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</si>
  <si>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</si>
  <si>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</si>
  <si>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</si>
  <si>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</si>
  <si>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</si>
  <si>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</si>
  <si>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</si>
  <si>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</si>
  <si>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</si>
  <si>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</si>
  <si>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</si>
  <si>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</si>
  <si>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</si>
  <si>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</si>
  <si>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</si>
  <si>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</si>
  <si>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</si>
  <si>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</si>
  <si>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</si>
  <si>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</si>
  <si>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</si>
  <si>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</si>
  <si>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</si>
  <si>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</si>
  <si>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</si>
  <si>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</si>
  <si>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</si>
  <si>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</si>
  <si>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</si>
  <si>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</si>
  <si>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</si>
  <si>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</si>
  <si>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</si>
  <si>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</si>
  <si>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</si>
  <si>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</si>
  <si>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</si>
  <si>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</si>
  <si>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</si>
  <si>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</si>
  <si>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</si>
  <si>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</si>
  <si>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</si>
  <si>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</si>
  <si>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</si>
  <si>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</si>
  <si>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</si>
  <si>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</si>
  <si>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</si>
  <si>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</si>
  <si>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</si>
  <si>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</si>
  <si>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</si>
  <si>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</si>
  <si>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</si>
  <si>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</si>
  <si>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</si>
  <si>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</si>
  <si>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</si>
  <si>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</si>
  <si>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</si>
  <si>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</si>
  <si>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</si>
  <si>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</si>
  <si>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</si>
  <si>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</si>
  <si>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</si>
  <si>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</si>
  <si>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</si>
  <si>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</si>
  <si>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</si>
  <si>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</si>
  <si>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</si>
  <si>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</si>
  <si>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</si>
  <si>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</si>
  <si>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</si>
  <si>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</si>
  <si>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</si>
  <si>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</si>
  <si>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</si>
  <si>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</si>
  <si>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</si>
  <si>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</si>
  <si>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</si>
  <si>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</si>
  <si>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</si>
  <si>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</si>
  <si>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</si>
  <si>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</si>
  <si>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</si>
  <si>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</si>
  <si>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</si>
  <si>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</si>
  <si>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</si>
  <si>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</si>
  <si>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</si>
  <si>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</si>
  <si>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</si>
  <si>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</si>
  <si>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</si>
  <si>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</si>
  <si>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</si>
  <si>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</si>
  <si>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</si>
  <si>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</si>
  <si>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</si>
  <si>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</si>
  <si>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</si>
  <si>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</si>
  <si>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</si>
  <si>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</si>
  <si>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</si>
  <si>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</si>
  <si>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</si>
  <si>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</si>
  <si>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</si>
  <si>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</si>
  <si>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</si>
  <si>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</si>
  <si>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</si>
  <si>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</si>
  <si>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</si>
  <si>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</si>
  <si>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</si>
  <si>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</si>
  <si>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</si>
  <si>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</si>
  <si>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</si>
  <si>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</si>
  <si>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</si>
  <si>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</si>
  <si>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</si>
  <si>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</si>
  <si>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</si>
  <si>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</si>
  <si>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</si>
  <si>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</si>
  <si>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</si>
  <si>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</si>
  <si>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</si>
  <si>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</si>
  <si>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</si>
  <si>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</si>
  <si>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</si>
  <si>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</si>
  <si>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</si>
  <si>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</si>
  <si>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</si>
  <si>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</si>
  <si>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</si>
  <si>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</si>
  <si>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</si>
  <si>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</si>
  <si>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</si>
  <si>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</si>
  <si>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</si>
  <si>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</si>
  <si>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</si>
  <si>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</si>
  <si>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</si>
  <si>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</si>
  <si>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</si>
  <si>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</si>
  <si>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</si>
  <si>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</si>
  <si>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</si>
  <si>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</si>
  <si>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</si>
  <si>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</si>
  <si>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</si>
  <si>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</si>
  <si>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</si>
  <si>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</si>
  <si>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</si>
  <si>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</si>
  <si>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</si>
  <si>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</si>
  <si>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</si>
  <si>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</si>
  <si>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</si>
  <si>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</si>
  <si>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</si>
  <si>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</si>
  <si>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</si>
  <si>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</si>
  <si>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</si>
  <si>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</si>
  <si>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</si>
  <si>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</si>
  <si>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</si>
  <si>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</si>
  <si>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</si>
  <si>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</si>
  <si>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</si>
  <si>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</si>
  <si>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</si>
  <si>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</si>
  <si>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</si>
  <si>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</si>
  <si>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</si>
  <si>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</si>
  <si>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</si>
  <si>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</si>
  <si>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</si>
  <si>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</si>
  <si>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</si>
  <si>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</si>
  <si>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</si>
  <si>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</si>
  <si>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</si>
  <si>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</si>
  <si>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</si>
  <si>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</si>
  <si>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</si>
  <si>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</si>
  <si>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</si>
  <si>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</si>
  <si>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</si>
  <si>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</si>
  <si>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</si>
  <si>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</si>
  <si>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</si>
  <si>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</si>
  <si>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</si>
  <si>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</si>
  <si>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</si>
  <si>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</si>
  <si>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</si>
  <si>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</si>
  <si>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</si>
  <si>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</si>
  <si>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</si>
  <si>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</si>
  <si>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</si>
  <si>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</si>
  <si>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</si>
  <si>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</si>
  <si>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</si>
  <si>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</si>
  <si>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</si>
  <si>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</si>
  <si>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</si>
  <si>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</si>
  <si>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</si>
  <si>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</si>
  <si>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</si>
  <si>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</si>
  <si>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</si>
  <si>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</si>
  <si>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</si>
  <si>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</si>
  <si>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</si>
  <si>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</si>
  <si>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</si>
  <si>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</si>
  <si>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</si>
  <si>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</si>
  <si>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</si>
  <si>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</si>
  <si>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</si>
  <si>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</si>
  <si>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</si>
  <si>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</si>
  <si>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</si>
  <si>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</si>
  <si>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</si>
  <si>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</si>
  <si>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</si>
  <si>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</si>
  <si>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</si>
  <si>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</si>
  <si>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</si>
  <si>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</si>
  <si>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</si>
  <si>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</si>
  <si>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</si>
  <si>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</si>
  <si>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</si>
  <si>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</si>
  <si>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</si>
  <si>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</si>
  <si>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</si>
  <si>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</si>
  <si>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</si>
  <si>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</si>
  <si>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</si>
  <si>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</si>
  <si>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</si>
  <si>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</si>
  <si>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</si>
  <si>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</si>
  <si>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</si>
  <si>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</si>
  <si>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</si>
  <si>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</si>
  <si>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</si>
  <si>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</si>
  <si>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</si>
  <si>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</si>
  <si>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</si>
  <si>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</si>
  <si>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</si>
  <si>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</si>
  <si>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</si>
  <si>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</si>
  <si>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</si>
  <si>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</si>
  <si>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</si>
  <si>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</si>
  <si>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</si>
  <si>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</si>
  <si>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</si>
  <si>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</si>
  <si>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</si>
  <si>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</si>
  <si>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</si>
  <si>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</si>
  <si>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</si>
  <si>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</si>
  <si>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</si>
  <si>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</si>
  <si>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</si>
  <si>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</si>
  <si>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</si>
  <si>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</si>
  <si>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</si>
  <si>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</si>
  <si>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</si>
  <si>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</si>
  <si>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</si>
  <si>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</si>
  <si>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</si>
  <si>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</si>
  <si>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</si>
  <si>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</si>
  <si>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</si>
  <si>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</si>
  <si>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</si>
  <si>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</si>
  <si>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</si>
  <si>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</si>
  <si>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</si>
  <si>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</si>
  <si>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</si>
  <si>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</si>
  <si>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</si>
  <si>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</si>
  <si>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</si>
  <si>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</si>
  <si>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</si>
  <si>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</si>
  <si>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</si>
  <si>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</si>
  <si>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</si>
  <si>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</si>
  <si>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</si>
  <si>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</si>
  <si>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</si>
  <si>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</si>
  <si>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</si>
  <si>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</si>
  <si>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</si>
  <si>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</si>
  <si>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</si>
  <si>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</si>
  <si>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</si>
  <si>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</si>
  <si>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</si>
  <si>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</si>
  <si>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</si>
  <si>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</si>
  <si>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</si>
  <si>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</si>
  <si>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</si>
  <si>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</si>
  <si>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</si>
  <si>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</si>
  <si>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</si>
  <si>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</si>
  <si>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</si>
  <si>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</si>
  <si>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</si>
  <si>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</si>
  <si>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</si>
  <si>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</si>
  <si>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</si>
  <si>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</si>
  <si>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</si>
  <si>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</si>
  <si>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</si>
  <si>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</si>
  <si>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</si>
  <si>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</si>
  <si>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</si>
  <si>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</si>
  <si>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</si>
  <si>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</si>
  <si>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</si>
  <si>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</si>
  <si>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</si>
  <si>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</si>
  <si>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</si>
  <si>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</si>
  <si>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</si>
  <si>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</si>
  <si>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</si>
  <si>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</si>
  <si>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</si>
  <si>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</si>
  <si>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</si>
  <si>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</si>
  <si>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</si>
  <si>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</si>
  <si>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</si>
  <si>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</si>
  <si>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</si>
  <si>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</si>
  <si>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</si>
  <si>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</si>
  <si>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</si>
  <si>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</si>
  <si>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</si>
  <si>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</si>
  <si>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</si>
  <si>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</si>
  <si>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</si>
  <si>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</si>
  <si>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</si>
  <si>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</si>
  <si>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</si>
  <si>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</si>
  <si>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</si>
  <si>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</si>
  <si>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</si>
  <si>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</si>
  <si>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</si>
  <si>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</si>
  <si>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</si>
  <si>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</si>
  <si>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</si>
  <si>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</si>
  <si>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</si>
  <si>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</si>
  <si>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</si>
  <si>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</si>
  <si>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</si>
  <si>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</si>
  <si>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</si>
  <si>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</si>
  <si>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</si>
  <si>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</si>
  <si>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</si>
  <si>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</si>
  <si>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</si>
  <si>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</si>
  <si>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</si>
  <si>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</si>
  <si>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</si>
  <si>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</si>
  <si>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</si>
  <si>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</si>
  <si>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</si>
  <si>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</si>
  <si>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</si>
  <si>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</si>
  <si>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</si>
  <si>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</si>
  <si>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</si>
  <si>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</si>
  <si>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</si>
  <si>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</si>
  <si>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</si>
  <si>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</si>
  <si>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</si>
  <si>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</si>
  <si>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</si>
  <si>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</si>
  <si>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</si>
  <si>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</si>
  <si>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</si>
  <si>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</si>
  <si>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</si>
  <si>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</si>
  <si>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</si>
  <si>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</si>
  <si>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</si>
  <si>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</si>
  <si>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</si>
  <si>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</si>
  <si>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</si>
  <si>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</si>
  <si>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</si>
  <si>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</si>
  <si>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</si>
  <si>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</si>
  <si>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</si>
  <si>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</si>
  <si>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</si>
  <si>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</si>
  <si>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</si>
  <si>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</si>
  <si>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</si>
  <si>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</si>
  <si>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</si>
  <si>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</si>
  <si>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</si>
  <si>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</si>
  <si>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</si>
  <si>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</si>
  <si>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</si>
  <si>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</si>
  <si>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</si>
  <si>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</si>
  <si>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</si>
  <si>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</si>
  <si>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</si>
  <si>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</si>
  <si>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</si>
  <si>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</si>
  <si>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</si>
  <si>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</si>
  <si>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</si>
  <si>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</si>
  <si>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</si>
  <si>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</si>
  <si>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</si>
  <si>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</si>
  <si>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</si>
  <si>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</si>
  <si>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</si>
  <si>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</si>
  <si>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</si>
  <si>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</si>
  <si>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</si>
  <si>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</si>
  <si>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</si>
  <si>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</si>
  <si>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</si>
  <si>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</si>
  <si>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</si>
  <si>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</si>
  <si>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</si>
  <si>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</si>
  <si>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</si>
  <si>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</si>
  <si>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</si>
  <si>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</si>
  <si>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</si>
  <si>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</si>
  <si>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</si>
  <si>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</si>
  <si>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</si>
  <si>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</si>
  <si>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</si>
  <si>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</si>
  <si>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</si>
  <si>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</si>
  <si>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</si>
  <si>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</si>
  <si>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</si>
  <si>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</si>
  <si>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</si>
  <si>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</si>
  <si>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</si>
  <si>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</si>
  <si>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</si>
  <si>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</si>
  <si>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</si>
  <si>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</si>
  <si>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</si>
  <si>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</si>
  <si>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</si>
  <si>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</si>
  <si>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</si>
  <si>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</si>
  <si>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</si>
  <si>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</si>
  <si>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</si>
  <si>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</si>
  <si>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</si>
  <si>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</si>
  <si>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</si>
  <si>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</si>
  <si>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</si>
  <si>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</si>
  <si>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</si>
  <si>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</si>
  <si>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</si>
  <si>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</si>
  <si>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</si>
  <si>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</si>
  <si>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</si>
  <si>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</si>
  <si>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</si>
  <si>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</si>
  <si>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</si>
  <si>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</si>
  <si>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</si>
  <si>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</si>
  <si>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</si>
  <si>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</si>
  <si>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</si>
  <si>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</si>
  <si>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</si>
  <si>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</si>
  <si>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</si>
  <si>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</si>
  <si>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</si>
  <si>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</si>
  <si>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</si>
  <si>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</si>
  <si>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</si>
  <si>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</si>
  <si>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</si>
  <si>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</si>
  <si>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</si>
  <si>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</si>
  <si>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</si>
  <si>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</si>
  <si>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</si>
  <si>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</si>
  <si>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</si>
  <si>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</si>
  <si>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</si>
  <si>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</si>
  <si>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</si>
  <si>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</si>
  <si>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</si>
  <si>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</si>
  <si>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</si>
  <si>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</si>
  <si>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</si>
  <si>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</si>
  <si>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</si>
  <si>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</si>
  <si>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</si>
  <si>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</si>
  <si>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</si>
  <si>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</si>
  <si>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</si>
  <si>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</si>
  <si>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</si>
  <si>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</si>
  <si>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</si>
  <si>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</si>
  <si>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</si>
  <si>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</si>
  <si>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</si>
  <si>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</si>
  <si>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</si>
  <si>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</si>
  <si>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</si>
  <si>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</si>
  <si>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</si>
  <si>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</si>
  <si>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</si>
  <si>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</si>
  <si>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</si>
  <si>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</si>
  <si>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</si>
  <si>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</si>
  <si>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</si>
  <si>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</si>
  <si>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</si>
  <si>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</si>
  <si>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</si>
  <si>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</si>
  <si>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</si>
  <si>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</si>
  <si>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</si>
  <si>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</si>
  <si>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</si>
  <si>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</si>
  <si>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</si>
  <si>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</si>
  <si>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</si>
  <si>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</si>
  <si>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</si>
  <si>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</si>
  <si>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</si>
  <si>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</si>
  <si>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</si>
  <si>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</si>
  <si>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</si>
  <si>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</si>
  <si>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</si>
  <si>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</si>
  <si>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</si>
  <si>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</si>
  <si>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</si>
  <si>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</si>
  <si>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</si>
  <si>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</si>
  <si>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</si>
  <si>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</si>
  <si>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</si>
  <si>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</si>
  <si>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</si>
  <si>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</si>
  <si>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</si>
  <si>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</si>
  <si>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</si>
  <si>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</si>
  <si>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</si>
  <si>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</si>
  <si>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</si>
  <si>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</si>
  <si>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</si>
  <si>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</si>
  <si>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</si>
  <si>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</si>
  <si>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</si>
  <si>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</si>
  <si>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</si>
  <si>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</si>
  <si>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</si>
  <si>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</si>
  <si>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</si>
  <si>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</si>
  <si>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</si>
  <si>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</si>
  <si>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</si>
  <si>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</si>
  <si>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</si>
  <si>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</si>
  <si>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</si>
  <si>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</si>
  <si>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</si>
  <si>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</si>
  <si>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</si>
  <si>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</si>
  <si>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</si>
  <si>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</si>
  <si>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</si>
  <si>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</si>
  <si>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</si>
  <si>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</si>
  <si>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</si>
  <si>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</si>
  <si>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</si>
  <si>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</si>
  <si>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</si>
  <si>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</si>
  <si>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</si>
  <si>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</si>
  <si>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</si>
  <si>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</si>
  <si>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</si>
  <si>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</si>
  <si>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</si>
  <si>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</si>
  <si>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</si>
  <si>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</si>
  <si>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</si>
  <si>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</si>
  <si>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</si>
  <si>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</si>
  <si>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</si>
  <si>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</si>
  <si>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</si>
  <si>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</si>
  <si>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</si>
  <si>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</si>
  <si>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</si>
  <si>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</si>
  <si>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</si>
  <si>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</si>
  <si>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</si>
  <si>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</si>
  <si>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</si>
  <si>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</si>
  <si>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</si>
  <si>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</si>
  <si>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</si>
  <si>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</si>
  <si>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</si>
  <si>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</si>
  <si>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</si>
  <si>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</si>
  <si>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</si>
  <si>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</si>
  <si>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</si>
  <si>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</si>
  <si>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</si>
  <si>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</si>
  <si>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</si>
  <si>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</si>
  <si>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</si>
  <si>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</si>
  <si>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</si>
  <si>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</si>
  <si>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</si>
  <si>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</si>
  <si>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</si>
  <si>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</si>
  <si>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</si>
  <si>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</si>
  <si>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</si>
  <si>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</si>
  <si>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</si>
  <si>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</si>
  <si>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</si>
  <si>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</si>
  <si>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</si>
  <si>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</si>
  <si>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</si>
  <si>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</si>
  <si>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</si>
  <si>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</si>
  <si>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</si>
  <si>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</si>
  <si>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</si>
  <si>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</si>
  <si>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</si>
  <si>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</si>
  <si>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</si>
  <si>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</si>
  <si>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</si>
  <si>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</si>
  <si>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</si>
  <si>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</si>
  <si>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</si>
  <si>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</si>
  <si>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</si>
  <si>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</si>
  <si>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</si>
  <si>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</si>
  <si>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</si>
  <si>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</si>
  <si>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</si>
  <si>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</si>
  <si>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</si>
  <si>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</si>
  <si>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</si>
  <si>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</si>
  <si>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</si>
  <si>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</si>
  <si>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</si>
  <si>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</si>
  <si>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</si>
  <si>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</si>
  <si>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</si>
  <si>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</si>
  <si>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</si>
  <si>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</si>
  <si>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</si>
  <si>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</si>
  <si>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</si>
  <si>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</si>
  <si>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</si>
  <si>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</si>
  <si>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</si>
  <si>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</si>
  <si>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</si>
  <si>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</si>
  <si>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</si>
  <si>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</si>
  <si>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</si>
  <si>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</si>
  <si>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</si>
  <si>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</si>
  <si>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</si>
  <si>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</si>
  <si>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</si>
  <si>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</si>
  <si>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</si>
  <si>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</si>
  <si>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</si>
  <si>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</si>
  <si>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</si>
  <si>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</si>
  <si>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</si>
  <si>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</si>
  <si>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</si>
  <si>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</si>
  <si>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</si>
  <si>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</si>
  <si>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</si>
  <si>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</si>
  <si>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</si>
  <si>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</si>
  <si>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</si>
  <si>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</si>
  <si>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</si>
  <si>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</si>
  <si>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</si>
  <si>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</si>
  <si>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</si>
  <si>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</si>
  <si>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</si>
  <si>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</si>
  <si>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</si>
  <si>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</si>
  <si>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</si>
  <si>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</si>
  <si>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</si>
  <si>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</si>
  <si>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</si>
  <si>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</si>
  <si>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</si>
  <si>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</si>
  <si>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</si>
  <si>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</si>
  <si>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</si>
  <si>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</si>
  <si>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</si>
  <si>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</si>
  <si>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</si>
  <si>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</si>
  <si>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</si>
  <si>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</si>
  <si>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</si>
  <si>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</si>
  <si>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</si>
  <si>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</si>
  <si>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</si>
  <si>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</si>
  <si>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</si>
  <si>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</si>
  <si>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</si>
  <si>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</si>
  <si>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</si>
  <si>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</si>
  <si>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</si>
  <si>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</si>
  <si>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</si>
  <si>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</si>
  <si>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</si>
  <si>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</si>
  <si>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</si>
  <si>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</si>
  <si>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</si>
  <si>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</si>
  <si>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</si>
  <si>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</si>
  <si>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</si>
  <si>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</si>
  <si>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</si>
  <si>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</si>
  <si>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</si>
  <si>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</si>
  <si>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</si>
  <si>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</si>
  <si>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</si>
  <si>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</si>
  <si>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</si>
  <si>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</si>
  <si>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</si>
  <si>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</si>
  <si>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</si>
  <si>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</si>
  <si>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</si>
  <si>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</si>
  <si>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</si>
  <si>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</si>
  <si>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</si>
  <si>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</si>
  <si>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</si>
  <si>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</si>
  <si>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</si>
  <si>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</si>
  <si>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</si>
  <si>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</si>
  <si>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</si>
  <si>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</si>
  <si>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</si>
  <si>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</si>
  <si>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</si>
  <si>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</si>
  <si>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</si>
  <si>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</si>
  <si>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</si>
  <si>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</si>
  <si>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</si>
  <si>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</si>
  <si>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</si>
  <si>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</si>
  <si>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</si>
  <si>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</si>
  <si>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</si>
  <si>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</si>
  <si>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</si>
  <si>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</si>
  <si>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</si>
  <si>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</si>
  <si>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</si>
  <si>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</si>
  <si>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</si>
  <si>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</si>
  <si>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</si>
  <si>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</si>
  <si>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</si>
  <si>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</si>
  <si>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</si>
  <si>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</si>
  <si>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</si>
  <si>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</si>
  <si>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</si>
  <si>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</si>
  <si>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</si>
  <si>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</si>
  <si>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</si>
  <si>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</si>
  <si>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</si>
  <si>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</si>
  <si>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</si>
  <si>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</si>
  <si>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</si>
  <si>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</si>
  <si>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</si>
  <si>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</si>
  <si>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</si>
  <si>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</si>
  <si>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</si>
  <si>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</si>
  <si>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</si>
  <si>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</si>
  <si>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</si>
  <si>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</si>
  <si>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</si>
  <si>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</si>
  <si>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</si>
  <si>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</si>
  <si>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</si>
  <si>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</si>
  <si>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</si>
  <si>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</si>
  <si>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</si>
  <si>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</si>
  <si>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</si>
  <si>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</si>
  <si>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</si>
  <si>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</si>
  <si>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</si>
  <si>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</si>
  <si>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</si>
  <si>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</si>
  <si>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</si>
  <si>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</si>
  <si>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</si>
  <si>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</si>
  <si>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</si>
  <si>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</si>
  <si>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</si>
  <si>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</si>
  <si>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</si>
  <si>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</si>
  <si>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</si>
  <si>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</si>
  <si>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</si>
  <si>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</si>
  <si>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</si>
  <si>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</si>
  <si>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</si>
  <si>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</si>
  <si>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</si>
  <si>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</si>
  <si>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</si>
  <si>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</si>
  <si>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</si>
  <si>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</si>
  <si>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</si>
  <si>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</si>
  <si>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</si>
  <si>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</si>
  <si>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</si>
  <si>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</si>
  <si>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</si>
  <si>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</si>
  <si>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</si>
  <si>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</si>
  <si>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</si>
  <si>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</si>
  <si>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</si>
  <si>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</si>
  <si>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</si>
  <si>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</si>
  <si>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</si>
  <si>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</si>
  <si>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</si>
  <si>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</si>
  <si>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</si>
  <si>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</si>
  <si>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</si>
  <si>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</si>
  <si>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</si>
  <si>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</si>
  <si>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</si>
  <si>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</si>
  <si>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</si>
  <si>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</si>
  <si>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</si>
  <si>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</si>
  <si>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</si>
  <si>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</si>
  <si>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</si>
  <si>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</si>
  <si>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</si>
  <si>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</si>
  <si>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</si>
  <si>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</si>
  <si>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</si>
  <si>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</si>
  <si>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</si>
  <si>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</si>
  <si>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</si>
  <si>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</si>
  <si>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</si>
  <si>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</si>
  <si>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</si>
  <si>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</si>
  <si>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</si>
  <si>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</si>
  <si>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</si>
  <si>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</si>
  <si>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</si>
  <si>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</si>
  <si>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</si>
  <si>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</si>
  <si>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</si>
  <si>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</si>
  <si>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</si>
  <si>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</si>
  <si>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</si>
  <si>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</si>
  <si>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</si>
  <si>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</si>
  <si>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</si>
  <si>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</si>
  <si>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</si>
  <si>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</si>
  <si>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</si>
  <si>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</si>
  <si>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</si>
  <si>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</si>
  <si>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</si>
  <si>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</si>
  <si>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</si>
  <si>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</si>
  <si>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</si>
  <si>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</si>
  <si>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</si>
  <si>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</si>
  <si>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</si>
  <si>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</si>
  <si>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</si>
  <si>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</si>
  <si>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</si>
  <si>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</si>
  <si>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</si>
  <si>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</si>
  <si>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</si>
  <si>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</si>
  <si>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</si>
  <si>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</si>
  <si>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</si>
  <si>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</si>
  <si>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</si>
  <si>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</si>
  <si>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</si>
  <si>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</si>
  <si>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</si>
  <si>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</si>
  <si>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</si>
  <si>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</si>
  <si>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</si>
  <si>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</si>
  <si>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</si>
  <si>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</si>
  <si>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</si>
  <si>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</si>
  <si>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</si>
  <si>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</si>
  <si>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</si>
  <si>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</si>
  <si>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</si>
  <si>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</si>
  <si>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</si>
  <si>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</si>
  <si>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</si>
  <si>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</si>
  <si>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</si>
  <si>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</si>
  <si>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</si>
  <si>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</si>
  <si>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</si>
  <si>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</si>
  <si>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</si>
  <si>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</si>
  <si>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</si>
  <si>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</si>
  <si>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</si>
  <si>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</si>
  <si>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</si>
  <si>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</si>
  <si>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</si>
  <si>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</si>
  <si>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</si>
  <si>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</si>
  <si>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</si>
  <si>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</si>
  <si>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</si>
  <si>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</si>
  <si>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</si>
  <si>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</si>
  <si>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</si>
  <si>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</si>
  <si>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</si>
  <si>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</si>
  <si>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</si>
  <si>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</si>
  <si>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</si>
  <si>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</si>
  <si>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</si>
  <si>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</si>
  <si>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</si>
  <si>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</si>
  <si>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</si>
  <si>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</si>
  <si>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</si>
  <si>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</si>
  <si>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</si>
  <si>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</si>
  <si>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</si>
  <si>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</si>
  <si>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</si>
  <si>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</si>
  <si>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</si>
  <si>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</si>
  <si>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</si>
  <si>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</si>
  <si>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</si>
  <si>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</si>
  <si>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</si>
  <si>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</si>
  <si>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</si>
  <si>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</si>
  <si>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</si>
  <si>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</si>
  <si>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</si>
  <si>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</si>
  <si>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</si>
  <si>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</si>
  <si>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</si>
  <si>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</si>
  <si>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</si>
  <si>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</si>
  <si>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</si>
  <si>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</si>
  <si>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</si>
  <si>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</si>
  <si>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</si>
  <si>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</si>
  <si>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</si>
  <si>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</si>
  <si>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</si>
  <si>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</si>
  <si>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</si>
  <si>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</si>
  <si>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</si>
  <si>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</si>
  <si>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</si>
  <si>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</si>
  <si>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</si>
  <si>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</si>
  <si>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</si>
  <si>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</si>
  <si>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</si>
  <si>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</si>
  <si>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</si>
  <si>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</si>
  <si>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</si>
  <si>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</si>
  <si>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</si>
  <si>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</si>
  <si>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</si>
  <si>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</si>
  <si>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</si>
  <si>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</si>
  <si>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</si>
  <si>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</si>
  <si>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</si>
  <si>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</si>
  <si>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</si>
  <si>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</si>
  <si>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</si>
  <si>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</si>
  <si>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</si>
  <si>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</si>
  <si>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</si>
  <si>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</si>
  <si>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</si>
  <si>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</si>
  <si>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</si>
  <si>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</si>
  <si>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</si>
  <si>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</si>
  <si>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</si>
  <si>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</si>
  <si>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</si>
  <si>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</si>
  <si>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</si>
  <si>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</si>
  <si>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</si>
  <si>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</si>
  <si>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</si>
  <si>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</si>
  <si>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</si>
  <si>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</si>
  <si>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</si>
  <si>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</si>
  <si>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</si>
  <si>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</si>
  <si>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</si>
  <si>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</si>
  <si>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</si>
  <si>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</si>
  <si>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</si>
  <si>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</si>
  <si>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</si>
  <si>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</si>
  <si>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</si>
  <si>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</si>
  <si>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</si>
  <si>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</si>
  <si>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</si>
  <si>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</si>
  <si>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</si>
  <si>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</si>
  <si>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</si>
  <si>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</si>
  <si>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março a 4 de abril</t>
    </r>
  </si>
  <si>
    <r>
      <rPr>
        <b/>
        <sz val="11"/>
        <color theme="1"/>
        <rFont val="Santander Text"/>
        <family val="2"/>
      </rPr>
      <t>1. Tabela de Clientes:</t>
    </r>
    <r>
      <rPr>
        <sz val="11"/>
        <color theme="1"/>
        <rFont val="Santander Text"/>
        <family val="2"/>
      </rPr>
      <t xml:space="preserve">
- Continuação dos testes dos 13 campos da tabela de </t>
    </r>
    <r>
      <rPr>
        <i/>
        <sz val="11"/>
        <color theme="1"/>
        <rFont val="Santander Text"/>
        <family val="2"/>
      </rPr>
      <t xml:space="preserve">output </t>
    </r>
    <r>
      <rPr>
        <sz val="11"/>
        <color theme="1"/>
        <rFont val="Santander Text"/>
        <family val="2"/>
      </rPr>
      <t xml:space="preserve">de Marcação Verde.
</t>
    </r>
  </si>
  <si>
    <r>
      <rPr>
        <b/>
        <sz val="11"/>
        <rFont val="Santander Text"/>
        <family val="2"/>
      </rPr>
      <t>1. Tabela de certificados:</t>
    </r>
    <r>
      <rPr>
        <sz val="11"/>
        <rFont val="Santander Text"/>
        <family val="2"/>
      </rPr>
      <t xml:space="preserve">
- Em virtude do e-mail da Corporação acerca dos consumos (ep_score) rever a necessidade ou não de re-especificação deste campo.</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</si>
  <si>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Foi concluída a especificação do campo ep_score.
</t>
    </r>
    <r>
      <rPr>
        <b/>
        <sz val="11"/>
        <color theme="1"/>
        <rFont val="Santander Text"/>
        <family val="2"/>
      </rPr>
      <t>2. Modelo Verde:</t>
    </r>
    <r>
      <rPr>
        <sz val="11"/>
        <color theme="1"/>
        <rFont val="Santander Text"/>
        <family val="2"/>
      </rPr>
      <t xml:space="preserve"> 
- Entrega da tabela tabela de output de Macação Verde do Modelo Verde (03/04);
- Continuação dos testes aos 13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13 campos com incidências da semana passada:
- 2 foram concluídos;
- 4 foram testados e foram encontradas incidências;
- 7 encontram-se em testes com previsão de conclusão na próxima 2f (07/04). Denote-se que estes campos são depedentes do Modelo Verde e foram estrategicamente planeados de modo a considerar a entrega da tabela de </t>
    </r>
    <r>
      <rPr>
        <i/>
        <sz val="11"/>
        <color theme="1"/>
        <rFont val="Santander Text"/>
        <family val="2"/>
      </rPr>
      <t>output</t>
    </r>
    <r>
      <rPr>
        <sz val="11"/>
        <color theme="1"/>
        <rFont val="Santander Text"/>
        <family val="2"/>
      </rPr>
      <t xml:space="preserve"> de Marcação Verde (entregue por IT no dia 03/04) e o reprocessamento de dados mais recente das restantes tabelas do Modelo Verde. 
Dos 9 campos entregues por IT na presente semana:
- 2 foram concluídos;
- 6 foram testados e foram encontradas incidências (incidências relacionadas com os valores válidos a permitir no campo);
- 1 encontra-se em teste com previsão de conclusão na próxima 2f (07/04). Denote-se que este campo foi alvo do planeamento supramencionado do Modelo Verde. 
</t>
    </r>
    <r>
      <rPr>
        <b/>
        <sz val="11"/>
        <color theme="1"/>
        <rFont val="Santander Text"/>
        <family val="2"/>
      </rPr>
      <t xml:space="preserve">Semana Seguinte:
1. Modelo Bens Imóveis:
</t>
    </r>
    <r>
      <rPr>
        <sz val="11"/>
        <color theme="1"/>
        <rFont val="Santander Text"/>
        <family val="2"/>
      </rPr>
      <t>- Em virtude do e-mail da Corporação acerca dos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t>
    </r>
  </si>
  <si>
    <r>
      <t xml:space="preserve">Dos 13 campos com incidências da semana passada:
</t>
    </r>
    <r>
      <rPr>
        <sz val="11"/>
        <color theme="1"/>
        <rFont val="Santander Text"/>
        <family val="2"/>
      </rPr>
      <t xml:space="preserve">- 2 foram concluídos;
- 4 foram testados e foram encontradas incidências;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r>
      <rPr>
        <b/>
        <sz val="11"/>
        <color theme="1"/>
        <rFont val="Santander Text"/>
        <family val="2"/>
      </rPr>
      <t xml:space="preserve">
Dos 9 campos entregues por IT na presente semana:
</t>
    </r>
    <r>
      <rPr>
        <sz val="11"/>
        <color theme="1"/>
        <rFont val="Santander Text"/>
        <family val="2"/>
      </rPr>
      <t xml:space="preserve">- 2 foram concluídos;
- 6 foram testados e foram encontradas incidências (incidências relacionadas com os valores válidos a permitir no campo);
- 1 encontra-se em testes com previsão de conclusão na próxima 2f (07/04). Denote-se que este campo foi alvo do planeamento supramencionado do Modelo Verde.  </t>
    </r>
  </si>
  <si>
    <t>Sem Teste</t>
  </si>
  <si>
    <t>Package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</si>
</sst>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29" borderId="53" xfId="0" applyFont="1" applyFill="1" applyBorder="1" applyAlignment="1">
      <alignment horizontal="center"/>
    </xf>
    <xf numFmtId="0" fontId="71" fillId="36" borderId="62" xfId="0" applyFont="1" applyFill="1" applyBorder="1" applyAlignment="1">
      <alignment horizontal="center"/>
    </xf>
    <xf numFmtId="0" fontId="77"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8" fillId="5" borderId="0" xfId="0" applyFont="1" applyFill="1"/>
    <xf numFmtId="0" fontId="79"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0" fillId="0" borderId="1" xfId="0" applyNumberFormat="1" applyFont="1" applyBorder="1" applyAlignment="1">
      <alignment vertical="center"/>
    </xf>
    <xf numFmtId="16" fontId="80" fillId="3" borderId="1" xfId="0" applyNumberFormat="1" applyFont="1" applyFill="1" applyBorder="1" applyAlignment="1">
      <alignment vertical="center"/>
    </xf>
    <xf numFmtId="16" fontId="80" fillId="0" borderId="4" xfId="0" applyNumberFormat="1" applyFont="1" applyBorder="1" applyAlignment="1">
      <alignment vertical="center"/>
    </xf>
    <xf numFmtId="16" fontId="80" fillId="0" borderId="7" xfId="0" applyNumberFormat="1" applyFont="1" applyBorder="1" applyAlignment="1">
      <alignment vertical="center"/>
    </xf>
    <xf numFmtId="0" fontId="81" fillId="4" borderId="4" xfId="0" applyFont="1" applyFill="1" applyBorder="1" applyAlignment="1">
      <alignment horizontal="center" vertical="center"/>
    </xf>
    <xf numFmtId="0" fontId="82" fillId="0" borderId="0" xfId="0" applyFont="1"/>
    <xf numFmtId="0" fontId="83" fillId="0" borderId="0" xfId="0" applyFont="1"/>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cellXfs>
  <cellStyles count="4">
    <cellStyle name="Normal" xfId="0" builtinId="0"/>
    <cellStyle name="Normal 2" xfId="3"/>
    <cellStyle name="Normal 3" xfId="2"/>
    <cellStyle name="Percent" xfId="1" builtinId="5"/>
  </cellStyles>
  <dxfs count="37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13</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2.1 Em Teste</c:v>
                </c:pt>
              </c:strCache>
            </c:strRef>
          </c:cat>
          <c:val>
            <c:numRef>
              <c:f>'Aux - Pivots2'!$C$112:$C$115</c:f>
              <c:numCache>
                <c:formatCode>General</c:formatCode>
                <c:ptCount val="3"/>
                <c:pt idx="0">
                  <c:v>19</c:v>
                </c:pt>
                <c:pt idx="1">
                  <c:v>270</c:v>
                </c:pt>
                <c:pt idx="2">
                  <c:v>13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8.2.xlsx]Aux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34</c:v>
                </c:pt>
                <c:pt idx="1">
                  <c:v>64</c:v>
                </c:pt>
                <c:pt idx="2">
                  <c:v>31</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pt idx="1">
                  <c:v>3</c:v>
                </c:pt>
                <c:pt idx="2">
                  <c:v>5</c:v>
                </c:pt>
                <c:pt idx="4">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2">
                  <c:v>7</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rgbClr val="C0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1"/>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Pivots2'!$B$173:$B$177</c:f>
              <c:strCache>
                <c:ptCount val="4"/>
                <c:pt idx="0">
                  <c:v>1. Concluído</c:v>
                </c:pt>
                <c:pt idx="1">
                  <c:v>2.1 Em Teste</c:v>
                </c:pt>
                <c:pt idx="2">
                  <c:v>5. Em Correção</c:v>
                </c:pt>
                <c:pt idx="3">
                  <c:v>6. Em implementação </c:v>
                </c:pt>
              </c:strCache>
            </c:strRef>
          </c:cat>
          <c:val>
            <c:numRef>
              <c:f>'Aux - Pivots2'!$C$173:$C$177</c:f>
              <c:numCache>
                <c:formatCode>General</c:formatCode>
                <c:ptCount val="4"/>
                <c:pt idx="0">
                  <c:v>48</c:v>
                </c:pt>
                <c:pt idx="1">
                  <c:v>3</c:v>
                </c:pt>
                <c:pt idx="2">
                  <c:v>6</c:v>
                </c:pt>
                <c:pt idx="3">
                  <c:v>14</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5</c:v>
                </c:pt>
                <c:pt idx="3">
                  <c:v>4</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751.67089351851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751.6709106481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751.67091342592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751.670916319446"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751.67091805555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751.670919675926"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751.67092164351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751.670949884261"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5. Em Correção"/>
        <s v="4. Validação EF"/>
        <s v="0. Cancelad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2"/>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2"/>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2"/>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2"/>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2"/>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2"/>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3"/>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4"/>
    <s v="A confirmar data de entrega"/>
    <d v="2025-03-21T00:00:00"/>
    <m/>
    <m/>
    <s v=""/>
    <s v=""/>
    <s v=""/>
    <m/>
    <m/>
    <m/>
    <m/>
    <m/>
    <m/>
    <x v="0"/>
    <s v="RC"/>
  </r>
  <r>
    <x v="0"/>
    <x v="4"/>
    <x v="0"/>
    <s v="modesg_param_sfics_taxon_europeia"/>
    <s v="nivel"/>
    <x v="4"/>
    <s v="0. Cancelado"/>
    <m/>
    <m/>
    <m/>
    <m/>
    <m/>
    <m/>
    <m/>
    <s v=""/>
    <s v=""/>
    <s v=""/>
    <m/>
    <m/>
    <m/>
    <m/>
    <m/>
    <m/>
    <x v="0"/>
    <s v="RC"/>
  </r>
  <r>
    <x v="0"/>
    <x v="4"/>
    <x v="0"/>
    <s v="modesg_param_sfics_taxon_europeia"/>
    <s v="grupo_regra"/>
    <x v="4"/>
    <s v="0. Cancelado"/>
    <m/>
    <m/>
    <s v="Package 22"/>
    <d v="2025-03-17T00:00:00"/>
    <d v="2025-03-21T00:00:00"/>
    <m/>
    <m/>
    <s v=""/>
    <s v=""/>
    <s v=""/>
    <m/>
    <m/>
    <m/>
    <m/>
    <m/>
    <m/>
    <x v="5"/>
    <m/>
  </r>
  <r>
    <x v="0"/>
    <x v="4"/>
    <x v="0"/>
    <s v="modesg_param_sfics_taxon_europeia"/>
    <s v="dscrc"/>
    <x v="0"/>
    <s v="1. Concluído"/>
    <m/>
    <m/>
    <s v="Package 24"/>
    <s v="A confirmar data de entrega"/>
    <d v="2025-03-21T00:00:00"/>
    <m/>
    <m/>
    <s v=""/>
    <s v=""/>
    <s v=""/>
    <m/>
    <m/>
    <m/>
    <m/>
    <m/>
    <m/>
    <x v="0"/>
    <s v="RC"/>
  </r>
  <r>
    <x v="0"/>
    <x v="4"/>
    <x v="0"/>
    <s v="modesg_param_sfics_taxon_europeia"/>
    <s v="comite"/>
    <x v="0"/>
    <s v="1. Concluído"/>
    <m/>
    <m/>
    <s v="Package 24"/>
    <s v="A confirmar data de entrega"/>
    <d v="2025-03-21T00:00:00"/>
    <m/>
    <m/>
    <s v=""/>
    <s v=""/>
    <s v=""/>
    <m/>
    <m/>
    <m/>
    <m/>
    <m/>
    <m/>
    <x v="0"/>
    <s v="RC"/>
  </r>
  <r>
    <x v="0"/>
    <x v="4"/>
    <x v="0"/>
    <s v="modesg_param_sfics_taxon_europeia"/>
    <s v="data_aprvc"/>
    <x v="0"/>
    <s v="1. Concluído"/>
    <m/>
    <m/>
    <s v="Package 24"/>
    <s v="A confirmar data de entrega"/>
    <d v="2025-03-21T00:00:00"/>
    <m/>
    <m/>
    <s v=""/>
    <s v=""/>
    <s v=""/>
    <m/>
    <m/>
    <m/>
    <m/>
    <m/>
    <m/>
    <x v="0"/>
    <s v="RC"/>
  </r>
  <r>
    <x v="0"/>
    <x v="4"/>
    <x v="0"/>
    <s v="modesg_param_sfics_taxon_europeia"/>
    <s v="data_inicial"/>
    <x v="0"/>
    <s v="1. Concluído"/>
    <m/>
    <m/>
    <s v="Package 24"/>
    <s v="A confirmar data de entrega"/>
    <d v="2025-03-21T00:00:00"/>
    <m/>
    <m/>
    <s v=""/>
    <s v=""/>
    <s v=""/>
    <m/>
    <m/>
    <m/>
    <m/>
    <m/>
    <m/>
    <x v="0"/>
    <s v="RC"/>
  </r>
  <r>
    <x v="0"/>
    <x v="4"/>
    <x v="0"/>
    <s v="modesg_param_sfics_taxon_europeia"/>
    <s v="data_final"/>
    <x v="0"/>
    <s v="1. Concluído"/>
    <m/>
    <m/>
    <s v="Package 24"/>
    <s v="A confirmar data de entrega"/>
    <d v="2025-03-21T00:00:00"/>
    <m/>
    <m/>
    <s v=""/>
    <s v=""/>
    <s v=""/>
    <m/>
    <m/>
    <m/>
    <m/>
    <m/>
    <m/>
    <x v="0"/>
    <s v="RC"/>
  </r>
  <r>
    <x v="0"/>
    <x v="4"/>
    <x v="0"/>
    <s v="modesg_param_sfics_taxon_europeia"/>
    <s v="zcliente"/>
    <x v="0"/>
    <s v="1. Concluído"/>
    <m/>
    <m/>
    <s v="Package 24"/>
    <s v="A confirmar data de entrega"/>
    <d v="2025-03-21T00:00:00"/>
    <m/>
    <m/>
    <s v=""/>
    <s v=""/>
    <s v=""/>
    <m/>
    <m/>
    <m/>
    <m/>
    <m/>
    <m/>
    <x v="0"/>
    <s v="RC"/>
  </r>
  <r>
    <x v="0"/>
    <x v="4"/>
    <x v="0"/>
    <s v="modesg_param_sfics_taxon_europeia"/>
    <s v="cempcta"/>
    <x v="0"/>
    <s v="1. Concluído"/>
    <m/>
    <m/>
    <s v="Package 24"/>
    <s v="A confirmar data de entrega"/>
    <d v="2025-03-21T00:00:00"/>
    <m/>
    <m/>
    <s v=""/>
    <s v=""/>
    <s v=""/>
    <m/>
    <m/>
    <m/>
    <m/>
    <m/>
    <m/>
    <x v="3"/>
    <s v="RC"/>
  </r>
  <r>
    <x v="0"/>
    <x v="4"/>
    <x v="0"/>
    <s v="modesg_param_sfics_taxon_europeia"/>
    <s v="ckbalcao"/>
    <x v="0"/>
    <s v="1. Concluído"/>
    <m/>
    <m/>
    <s v="Package 24"/>
    <s v="A confirmar data de entrega"/>
    <d v="2025-03-21T00:00:00"/>
    <m/>
    <m/>
    <s v=""/>
    <s v=""/>
    <s v=""/>
    <m/>
    <m/>
    <m/>
    <m/>
    <m/>
    <m/>
    <x v="0"/>
    <s v="RC"/>
  </r>
  <r>
    <x v="0"/>
    <x v="4"/>
    <x v="0"/>
    <s v="modesg_param_sfics_taxon_europeia"/>
    <s v="cknumcta"/>
    <x v="0"/>
    <s v="1. Concluído"/>
    <m/>
    <m/>
    <s v="Package 24"/>
    <s v="A confirmar data de entrega"/>
    <d v="2025-03-21T00:00:00"/>
    <m/>
    <m/>
    <s v=""/>
    <s v=""/>
    <s v=""/>
    <m/>
    <m/>
    <m/>
    <m/>
    <m/>
    <m/>
    <x v="0"/>
    <s v="RC"/>
  </r>
  <r>
    <x v="0"/>
    <x v="4"/>
    <x v="0"/>
    <s v="modesg_param_sfics_taxon_europeia"/>
    <s v="zdeposit"/>
    <x v="0"/>
    <s v="1. Concluído"/>
    <m/>
    <m/>
    <s v="Package 24"/>
    <s v="A confirmar data de entrega"/>
    <d v="2025-03-21T00:00:00"/>
    <m/>
    <m/>
    <s v=""/>
    <s v=""/>
    <s v=""/>
    <m/>
    <m/>
    <m/>
    <m/>
    <m/>
    <m/>
    <x v="0"/>
    <s v="RC"/>
  </r>
  <r>
    <x v="0"/>
    <x v="4"/>
    <x v="0"/>
    <s v="modesg_param_sfics_taxon_europeia"/>
    <s v="ckmetamis"/>
    <x v="0"/>
    <s v="1. Concluído"/>
    <m/>
    <m/>
    <s v="Package 24"/>
    <s v="A confirmar data de entrega"/>
    <d v="2025-03-21T00:00:00"/>
    <m/>
    <m/>
    <s v=""/>
    <s v=""/>
    <s v=""/>
    <m/>
    <m/>
    <m/>
    <m/>
    <m/>
    <m/>
    <x v="0"/>
    <s v="RC"/>
  </r>
  <r>
    <x v="0"/>
    <x v="4"/>
    <x v="0"/>
    <s v="modesg_param_sfics_taxon_europeia"/>
    <s v="ckprodmi"/>
    <x v="0"/>
    <s v="1. Concluído"/>
    <m/>
    <m/>
    <s v="Package 24"/>
    <s v="A confirmar data de entrega"/>
    <d v="2025-03-21T00:00:00"/>
    <m/>
    <m/>
    <s v=""/>
    <s v=""/>
    <s v=""/>
    <m/>
    <m/>
    <m/>
    <m/>
    <m/>
    <m/>
    <x v="0"/>
    <s v="RC"/>
  </r>
  <r>
    <x v="0"/>
    <x v="4"/>
    <x v="0"/>
    <s v="modesg_param_sfics_taxon_europeia"/>
    <s v="cmetanseg"/>
    <x v="0"/>
    <s v="1. Concluído"/>
    <m/>
    <m/>
    <s v="Package 24"/>
    <s v="A confirmar data de entrega"/>
    <d v="2025-03-21T00:00:00"/>
    <m/>
    <m/>
    <s v=""/>
    <s v=""/>
    <s v=""/>
    <m/>
    <m/>
    <m/>
    <m/>
    <m/>
    <m/>
    <x v="0"/>
    <s v="RC"/>
  </r>
  <r>
    <x v="0"/>
    <x v="4"/>
    <x v="0"/>
    <s v="modesg_param_sfics_taxon_europeia"/>
    <s v="epc"/>
    <x v="0"/>
    <s v="1. Concluído"/>
    <m/>
    <m/>
    <s v="Package 24"/>
    <s v="A confirmar data de entrega"/>
    <d v="2025-03-21T00:00:00"/>
    <m/>
    <m/>
    <s v=""/>
    <s v=""/>
    <s v=""/>
    <m/>
    <m/>
    <m/>
    <m/>
    <m/>
    <m/>
    <x v="3"/>
    <s v="RC"/>
  </r>
  <r>
    <x v="0"/>
    <x v="4"/>
    <x v="0"/>
    <s v="modesg_param_sfics_taxon_europeia"/>
    <s v="ambito"/>
    <x v="0"/>
    <s v="1. Concluído"/>
    <m/>
    <m/>
    <s v="Package 24"/>
    <s v="A confirmar data de entrega"/>
    <d v="2025-03-21T00:00:00"/>
    <m/>
    <m/>
    <s v=""/>
    <s v=""/>
    <s v=""/>
    <m/>
    <m/>
    <m/>
    <m/>
    <m/>
    <m/>
    <x v="0"/>
    <s v="RC"/>
  </r>
  <r>
    <x v="0"/>
    <x v="4"/>
    <x v="0"/>
    <s v="modesg_param_sfics_taxon_europeia"/>
    <s v="nome_ctgr_sfics"/>
    <x v="0"/>
    <s v="1. Concluído"/>
    <m/>
    <m/>
    <s v="Package 24"/>
    <s v="A confirmar data de entrega"/>
    <d v="2025-03-21T00:00:00"/>
    <m/>
    <m/>
    <s v=""/>
    <s v=""/>
    <s v=""/>
    <m/>
    <m/>
    <m/>
    <m/>
    <m/>
    <m/>
    <x v="0"/>
    <s v="RC"/>
  </r>
  <r>
    <x v="0"/>
    <x v="4"/>
    <x v="0"/>
    <s v="modesg_param_sfics_taxon_europeia"/>
    <s v="montante_pndrc"/>
    <x v="0"/>
    <s v="1. Concluído"/>
    <m/>
    <m/>
    <s v="Package 24"/>
    <s v="A confirmar data de entrega"/>
    <d v="2025-03-21T00:00:00"/>
    <m/>
    <m/>
    <s v=""/>
    <s v=""/>
    <s v=""/>
    <m/>
    <m/>
    <m/>
    <m/>
    <m/>
    <m/>
    <x v="3"/>
    <s v="RC"/>
  </r>
  <r>
    <x v="0"/>
    <x v="4"/>
    <x v="0"/>
    <s v="modesg_param_sfics_taxon_europeia"/>
    <s v="contraparte"/>
    <x v="0"/>
    <s v="1. Concluído"/>
    <m/>
    <m/>
    <s v="Package 24"/>
    <s v="A confirmar data de entrega"/>
    <d v="2025-03-21T00:00:00"/>
    <m/>
    <m/>
    <s v=""/>
    <s v=""/>
    <s v=""/>
    <m/>
    <m/>
    <m/>
    <m/>
    <m/>
    <m/>
    <x v="3"/>
    <s v="RC"/>
  </r>
  <r>
    <x v="0"/>
    <x v="4"/>
    <x v="0"/>
    <s v="modesg_param_sfics_taxon_europeia"/>
    <s v="flag_project_finance"/>
    <x v="0"/>
    <s v="1. Concluído"/>
    <m/>
    <m/>
    <s v="Package 24"/>
    <s v="A confirmar data de entrega"/>
    <d v="2025-03-21T00:00:00"/>
    <m/>
    <m/>
    <s v=""/>
    <s v=""/>
    <s v=""/>
    <m/>
    <m/>
    <m/>
    <m/>
    <m/>
    <m/>
    <x v="3"/>
    <s v="RC"/>
  </r>
  <r>
    <x v="0"/>
    <x v="4"/>
    <x v="0"/>
    <s v="modesg_param_sfics_taxon_europeia"/>
    <s v="cgarante_bem"/>
    <x v="0"/>
    <s v="1. Concluído"/>
    <m/>
    <m/>
    <s v="Package 24"/>
    <s v="A confirmar data de entrega"/>
    <d v="2025-03-21T00:00:00"/>
    <m/>
    <m/>
    <s v=""/>
    <s v=""/>
    <s v=""/>
    <m/>
    <m/>
    <m/>
    <m/>
    <m/>
    <m/>
    <x v="3"/>
    <s v="RC"/>
  </r>
  <r>
    <x v="0"/>
    <x v="4"/>
    <x v="0"/>
    <s v="modesg_param_sfics_taxon_europeia"/>
    <s v="prdt_sprdt"/>
    <x v="0"/>
    <s v="1. Concluído"/>
    <m/>
    <m/>
    <s v="Package 24"/>
    <s v="A confirmar data de entrega"/>
    <d v="2025-03-21T00:00:00"/>
    <m/>
    <m/>
    <s v=""/>
    <s v=""/>
    <s v=""/>
    <m/>
    <m/>
    <m/>
    <m/>
    <m/>
    <m/>
    <x v="3"/>
    <s v="RC"/>
  </r>
  <r>
    <x v="0"/>
    <x v="4"/>
    <x v="0"/>
    <s v="modesg_param_sfics_taxon_europeia"/>
    <s v="flg_csrd"/>
    <x v="0"/>
    <s v="1. Concluído"/>
    <m/>
    <m/>
    <s v="Package 24"/>
    <s v="A confirmar data de entrega"/>
    <d v="2025-03-21T00:00:00"/>
    <m/>
    <m/>
    <s v=""/>
    <s v=""/>
    <s v=""/>
    <m/>
    <m/>
    <m/>
    <m/>
    <m/>
    <m/>
    <x v="3"/>
    <s v="RC"/>
  </r>
  <r>
    <x v="0"/>
    <x v="4"/>
    <x v="0"/>
    <s v="modesg_param_sfics_taxon_europeia"/>
    <s v="combustivel"/>
    <x v="0"/>
    <s v="1. Concluído"/>
    <m/>
    <m/>
    <s v="Package 24"/>
    <s v="A confirmar data de entrega"/>
    <d v="2025-03-21T00:00:00"/>
    <m/>
    <m/>
    <s v=""/>
    <s v=""/>
    <s v=""/>
    <m/>
    <m/>
    <m/>
    <m/>
    <m/>
    <m/>
    <x v="3"/>
    <s v="RC"/>
  </r>
  <r>
    <x v="0"/>
    <x v="4"/>
    <x v="0"/>
    <s v="modesg_param_sfics_taxon_europeia"/>
    <s v="co2"/>
    <x v="0"/>
    <s v="1. Concluído"/>
    <m/>
    <m/>
    <s v="Package 24"/>
    <s v="A confirmar data de entrega"/>
    <d v="2025-03-21T00:00:00"/>
    <m/>
    <m/>
    <s v=""/>
    <s v=""/>
    <s v=""/>
    <m/>
    <m/>
    <m/>
    <m/>
    <m/>
    <m/>
    <x v="3"/>
    <s v="RC"/>
  </r>
  <r>
    <x v="0"/>
    <x v="4"/>
    <x v="0"/>
    <s v="modesg_param_sfics_taxon_europeia"/>
    <s v="cfamilia"/>
    <x v="0"/>
    <s v="1. Concluído"/>
    <m/>
    <m/>
    <s v="Package 24"/>
    <s v="A confirmar data de entrega"/>
    <d v="2025-03-21T00:00:00"/>
    <m/>
    <m/>
    <s v=""/>
    <s v=""/>
    <s v=""/>
    <m/>
    <m/>
    <m/>
    <m/>
    <m/>
    <m/>
    <x v="3"/>
    <s v="RC"/>
  </r>
  <r>
    <x v="0"/>
    <x v="4"/>
    <x v="0"/>
    <s v="modesg_param_sfics_taxon_europeia"/>
    <s v="flg_rsc_fsc_crnc"/>
    <x v="0"/>
    <s v="1. Concluído"/>
    <m/>
    <m/>
    <s v="Package 24"/>
    <s v="A confirmar data de entrega"/>
    <d v="2025-03-21T00:00:00"/>
    <m/>
    <m/>
    <s v=""/>
    <s v=""/>
    <s v=""/>
    <m/>
    <m/>
    <m/>
    <m/>
    <m/>
    <m/>
    <x v="0"/>
    <s v="RC"/>
  </r>
  <r>
    <x v="0"/>
    <x v="4"/>
    <x v="0"/>
    <s v="modesg_param_sfics_taxon_europeia"/>
    <s v="flg_rsc_fsc_agd"/>
    <x v="0"/>
    <s v="1. Concluído"/>
    <m/>
    <m/>
    <s v="Package 24"/>
    <s v="A confirmar data de entrega"/>
    <d v="2025-03-21T00:00:00"/>
    <m/>
    <m/>
    <s v=""/>
    <s v=""/>
    <s v=""/>
    <m/>
    <m/>
    <m/>
    <m/>
    <m/>
    <m/>
    <x v="0"/>
    <s v="RC"/>
  </r>
  <r>
    <x v="0"/>
    <x v="4"/>
    <x v="0"/>
    <s v="modesg_param_sfics_taxon_europeia"/>
    <s v="property_purpose_code"/>
    <x v="0"/>
    <s v="1. Concluído"/>
    <m/>
    <m/>
    <s v="Package 24"/>
    <s v="A confirmar data de entrega"/>
    <d v="2025-03-21T00:00:00"/>
    <m/>
    <m/>
    <s v=""/>
    <s v=""/>
    <s v=""/>
    <m/>
    <m/>
    <m/>
    <m/>
    <m/>
    <m/>
    <x v="3"/>
    <s v="RC"/>
  </r>
  <r>
    <x v="0"/>
    <x v="4"/>
    <x v="0"/>
    <s v="modesg_param_sfics_taxon_europeia"/>
    <s v="dabertur"/>
    <x v="0"/>
    <s v="1. Concluído"/>
    <m/>
    <m/>
    <s v="Package 24"/>
    <s v="A confirmar data de entrega"/>
    <d v="2025-03-21T00:00:00"/>
    <m/>
    <m/>
    <s v=""/>
    <s v=""/>
    <s v=""/>
    <m/>
    <m/>
    <m/>
    <m/>
    <m/>
    <m/>
    <x v="2"/>
    <s v="RC"/>
  </r>
  <r>
    <x v="0"/>
    <x v="4"/>
    <x v="0"/>
    <s v="modesg_param_sfics_taxon_europeia"/>
    <s v="tipo_eqp"/>
    <x v="0"/>
    <s v="1. Concluído"/>
    <m/>
    <m/>
    <s v="Package 24"/>
    <s v="A confirmar data de entrega"/>
    <d v="2025-03-21T00:00:00"/>
    <m/>
    <m/>
    <s v=""/>
    <s v=""/>
    <s v=""/>
    <m/>
    <m/>
    <m/>
    <m/>
    <m/>
    <m/>
    <x v="2"/>
    <s v="RC"/>
  </r>
  <r>
    <x v="0"/>
    <x v="4"/>
    <x v="0"/>
    <s v="modesg_param_sfics_taxon_europeia"/>
    <s v="construction_year"/>
    <x v="0"/>
    <s v="1. Concluído"/>
    <m/>
    <m/>
    <s v="Package 24"/>
    <s v="A confirmar data de entrega"/>
    <d v="2025-03-21T00:00:00"/>
    <m/>
    <m/>
    <s v=""/>
    <s v=""/>
    <s v=""/>
    <m/>
    <m/>
    <m/>
    <m/>
    <m/>
    <m/>
    <x v="0"/>
    <s v="RC"/>
  </r>
  <r>
    <x v="0"/>
    <x v="4"/>
    <x v="0"/>
    <s v="modesg_param_sfics_taxon_europeia"/>
    <s v="ref_date"/>
    <x v="0"/>
    <s v="1. Concluído"/>
    <m/>
    <m/>
    <s v="Package 24"/>
    <s v="A confirmar data de entrega"/>
    <d v="2025-03-21T00:00:00"/>
    <m/>
    <m/>
    <s v=""/>
    <s v=""/>
    <s v=""/>
    <m/>
    <m/>
    <m/>
    <m/>
    <m/>
    <m/>
    <x v="3"/>
    <s v="RC"/>
  </r>
  <r>
    <x v="0"/>
    <x v="4"/>
    <x v="0"/>
    <s v="modesg_param_sfics_taxon_europeia"/>
    <s v="cfinalidad"/>
    <x v="0"/>
    <s v="1. Concluído"/>
    <m/>
    <m/>
    <s v="Package 24"/>
    <s v="A confirmar data de entrega"/>
    <d v="2025-03-21T00:00:00"/>
    <m/>
    <m/>
    <m/>
    <m/>
    <m/>
    <m/>
    <m/>
    <m/>
    <m/>
    <m/>
    <m/>
    <x v="0"/>
    <m/>
  </r>
  <r>
    <x v="0"/>
    <x v="4"/>
    <x v="0"/>
    <s v="modesg_param_sfics_taxon_europeia"/>
    <s v="sst_indctr_aux"/>
    <x v="0"/>
    <s v="1. Concluído"/>
    <m/>
    <m/>
    <s v="Package 24"/>
    <s v="A confirmar data de entrega"/>
    <d v="2025-03-21T00:00:00"/>
    <m/>
    <m/>
    <s v=""/>
    <s v=""/>
    <s v=""/>
    <m/>
    <m/>
    <m/>
    <m/>
    <m/>
    <m/>
    <x v="5"/>
    <m/>
  </r>
  <r>
    <x v="0"/>
    <x v="4"/>
    <x v="0"/>
    <s v="modesg_param_sfics_taxon_europeia"/>
    <s v="quality_score"/>
    <x v="0"/>
    <s v="1. Concluído"/>
    <m/>
    <m/>
    <s v="Package 24"/>
    <s v="A confirmar data de entrega"/>
    <d v="2025-03-21T00:00:00"/>
    <m/>
    <m/>
    <s v=""/>
    <s v=""/>
    <s v=""/>
    <m/>
    <m/>
    <m/>
    <m/>
    <m/>
    <m/>
    <x v="3"/>
    <s v="RC"/>
  </r>
  <r>
    <x v="0"/>
    <x v="4"/>
    <x v="0"/>
    <s v="modesg_param_sfics_taxon_europeia"/>
    <s v="primary_energy_req_value"/>
    <x v="0"/>
    <s v="1. Concluído"/>
    <m/>
    <m/>
    <s v="Package 24"/>
    <s v="A confirmar data de entrega"/>
    <d v="2025-03-21T00:00:00"/>
    <m/>
    <m/>
    <s v=""/>
    <s v=""/>
    <s v=""/>
    <m/>
    <m/>
    <m/>
    <m/>
    <m/>
    <m/>
    <x v="0"/>
    <s v="RC"/>
  </r>
  <r>
    <x v="0"/>
    <x v="4"/>
    <x v="0"/>
    <s v="modesg_param_sfics_taxon_europeia"/>
    <s v="net_floor_area"/>
    <x v="0"/>
    <s v="1. Concluído"/>
    <m/>
    <m/>
    <s v="Package 24"/>
    <s v="A confirmar data de entrega"/>
    <d v="2025-03-21T00:00:00"/>
    <m/>
    <m/>
    <s v=""/>
    <s v=""/>
    <s v=""/>
    <m/>
    <m/>
    <m/>
    <m/>
    <m/>
    <m/>
    <x v="0"/>
    <s v="RC"/>
  </r>
  <r>
    <x v="0"/>
    <x v="4"/>
    <x v="0"/>
    <s v="modesg_param_sfics_taxon_europeia"/>
    <s v="nome_purpose_esg_nalinh_tax"/>
    <x v="0"/>
    <s v="1. Concluído"/>
    <m/>
    <m/>
    <s v="Package 24"/>
    <s v="A confirmar data de entrega"/>
    <d v="2025-03-21T00:00:00"/>
    <m/>
    <m/>
    <s v=""/>
    <s v=""/>
    <s v=""/>
    <m/>
    <m/>
    <m/>
    <m/>
    <m/>
    <m/>
    <x v="2"/>
    <s v="RC"/>
  </r>
  <r>
    <x v="0"/>
    <x v="4"/>
    <x v="0"/>
    <s v="modesg_param_sfics_taxon_europeia"/>
    <s v="nome_purpose_esg_alinh_tax"/>
    <x v="0"/>
    <s v="1. Concluído"/>
    <m/>
    <m/>
    <s v="Package 24"/>
    <s v="A confirmar data de entrega"/>
    <d v="2025-03-21T00:00:00"/>
    <m/>
    <m/>
    <s v=""/>
    <s v=""/>
    <s v=""/>
    <m/>
    <m/>
    <m/>
    <m/>
    <m/>
    <m/>
    <x v="3"/>
    <s v="RC"/>
  </r>
  <r>
    <x v="0"/>
    <x v="4"/>
    <x v="0"/>
    <s v="modesg_param_sfics_taxon_europeia"/>
    <s v="nome_general_specific_purpose"/>
    <x v="0"/>
    <s v="1. Concluído"/>
    <m/>
    <m/>
    <s v="Package 24"/>
    <s v="A confirmar data de entrega"/>
    <d v="2025-03-21T00:00:00"/>
    <m/>
    <m/>
    <s v=""/>
    <s v=""/>
    <s v=""/>
    <m/>
    <m/>
    <m/>
    <m/>
    <m/>
    <m/>
    <x v="0"/>
    <s v="RC"/>
  </r>
  <r>
    <x v="0"/>
    <x v="4"/>
    <x v="0"/>
    <s v="modesg_param_sfics_taxon_europeia"/>
    <s v="nome_specific_eligible"/>
    <x v="0"/>
    <s v="1. Concluído"/>
    <m/>
    <m/>
    <s v="Package 24"/>
    <s v="A confirmar data de entrega"/>
    <d v="2025-03-21T00:00:00"/>
    <m/>
    <m/>
    <s v=""/>
    <s v=""/>
    <s v=""/>
    <m/>
    <m/>
    <m/>
    <m/>
    <m/>
    <m/>
    <x v="0"/>
    <s v="RC"/>
  </r>
  <r>
    <x v="0"/>
    <x v="4"/>
    <x v="0"/>
    <s v="modesg_param_sfics_taxon_europeia"/>
    <s v="nome_specific_sustainable"/>
    <x v="0"/>
    <s v="1. Concluído"/>
    <m/>
    <m/>
    <s v="Package 24"/>
    <s v="A confirmar data de entrega"/>
    <d v="2025-03-21T00:00:00"/>
    <m/>
    <m/>
    <s v=""/>
    <s v=""/>
    <s v=""/>
    <m/>
    <m/>
    <m/>
    <m/>
    <m/>
    <m/>
    <x v="0"/>
    <s v="RC"/>
  </r>
  <r>
    <x v="0"/>
    <x v="1"/>
    <x v="0"/>
    <s v="lt006_instr_prot"/>
    <s v="prtctn_allctd_vl"/>
    <x v="2"/>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2"/>
    <s v="5. Em Correção"/>
    <m/>
    <s v="Package 6"/>
    <s v="Package 22"/>
    <d v="2025-03-14T00:00:00"/>
    <d v="2025-03-21T00:00:00"/>
    <s v="Teste ao campo"/>
    <m/>
    <s v=""/>
    <s v=""/>
    <s v=""/>
    <m/>
    <m/>
    <m/>
    <m/>
    <s v="FY24"/>
    <m/>
    <x v="0"/>
    <m/>
  </r>
  <r>
    <x v="0"/>
    <x v="1"/>
    <x v="0"/>
    <s v="lt004_protection"/>
    <s v="ep_scr"/>
    <x v="2"/>
    <s v="5. Em Correção"/>
    <m/>
    <s v="Package 6"/>
    <s v="Package 22"/>
    <d v="2025-03-14T00:00:00"/>
    <d v="2025-03-21T00:00:00"/>
    <s v="Teste ao campo"/>
    <m/>
    <s v=""/>
    <s v=""/>
    <s v=""/>
    <m/>
    <m/>
    <m/>
    <m/>
    <s v="FY24"/>
    <m/>
    <x v="0"/>
    <m/>
  </r>
  <r>
    <x v="0"/>
    <x v="1"/>
    <x v="0"/>
    <s v="lt002_instrument"/>
    <s v="mthd_usd_instrmnt_scp_1"/>
    <x v="5"/>
    <s v="5. Em Correção"/>
    <m/>
    <s v="Package 6"/>
    <s v="Package 22"/>
    <s v="A confirmar data de entrega"/>
    <s v="data a definir"/>
    <s v="Teste ao campo"/>
    <m/>
    <s v=""/>
    <s v=""/>
    <s v=""/>
    <d v="2024-10-28T00:00:00"/>
    <m/>
    <s v="Novo projeto - Para testar"/>
    <m/>
    <s v="FY24"/>
    <m/>
    <x v="0"/>
    <s v="HF"/>
  </r>
  <r>
    <x v="0"/>
    <x v="1"/>
    <x v="0"/>
    <s v="lt002_instrument"/>
    <s v="mthd_usd_instrmnt_scp_2"/>
    <x v="5"/>
    <s v="5. Em Correção"/>
    <m/>
    <s v="Package 6"/>
    <s v="Package 22"/>
    <s v="A confirmar data de entrega"/>
    <s v="data a definir"/>
    <s v="Teste ao campo"/>
    <m/>
    <s v=""/>
    <s v=""/>
    <s v=""/>
    <d v="2024-10-28T00:00:00"/>
    <m/>
    <s v="Novo projeto - Para testar"/>
    <m/>
    <s v="FY24"/>
    <m/>
    <x v="0"/>
    <s v="HF"/>
  </r>
  <r>
    <x v="0"/>
    <x v="1"/>
    <x v="0"/>
    <s v="lt002_instrument"/>
    <s v="mthd_usd_instrmnt_scp_3"/>
    <x v="5"/>
    <s v="5. Em Correção"/>
    <m/>
    <s v="Package 6"/>
    <s v="Package 22"/>
    <s v="A confirmar data de entrega"/>
    <s v="data a definir"/>
    <s v="Teste ao campo"/>
    <m/>
    <s v=""/>
    <s v=""/>
    <s v=""/>
    <d v="2024-10-28T00:00:00"/>
    <m/>
    <s v="Novo projeto - Para testar"/>
    <m/>
    <s v="FY24"/>
    <m/>
    <x v="0"/>
    <s v="HF"/>
  </r>
  <r>
    <x v="0"/>
    <x v="1"/>
    <x v="0"/>
    <s v="lt007_instr_activity"/>
    <s v="sstnbl_indctr"/>
    <x v="5"/>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5"/>
    <s v="6. Em implementação "/>
    <m/>
    <m/>
    <s v="Package 22.1"/>
    <m/>
    <m/>
    <m/>
    <m/>
    <s v=""/>
    <s v=""/>
    <s v=""/>
    <m/>
    <m/>
    <m/>
    <m/>
    <m/>
    <m/>
    <x v="0"/>
    <s v="RC"/>
  </r>
  <r>
    <x v="0"/>
    <x v="2"/>
    <x v="0"/>
    <s v="modesg_out_sfics_taxon_europeia"/>
    <s v="origem"/>
    <x v="4"/>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2"/>
    <s v="5. Em Correção"/>
    <m/>
    <m/>
    <s v="Package 24"/>
    <d v="2025-03-14T00:00:00"/>
    <d v="2025-03-21T00:00:00"/>
    <s v="Teste ao campo"/>
    <m/>
    <s v=""/>
    <s v=""/>
    <s v=""/>
    <d v="2024-10-30T00:00:00"/>
    <m/>
    <s v="Novo projeto - Para testar"/>
    <m/>
    <s v="FY24"/>
    <m/>
    <x v="0"/>
    <s v="JB"/>
  </r>
  <r>
    <x v="0"/>
    <x v="1"/>
    <x v="0"/>
    <s v="lt007_instr_activity"/>
    <s v="COD_SOC"/>
    <x v="5"/>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5"/>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5"/>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5"/>
    <s v="6. Em implementação "/>
    <m/>
    <s v="Package 5"/>
    <s v="Package 22.1"/>
    <d v="2025-03-31T00:00:00"/>
    <d v="2025-04-16T00:00:00"/>
    <m/>
    <m/>
    <s v=""/>
    <s v=""/>
    <s v=""/>
    <m/>
    <m/>
    <m/>
    <m/>
    <m/>
    <m/>
    <x v="0"/>
    <s v="RC"/>
  </r>
  <r>
    <x v="0"/>
    <x v="2"/>
    <x v="0"/>
    <s v="modesg_out_sfics_taxon_europeia"/>
    <s v="cempresa"/>
    <x v="5"/>
    <s v="6. Em implementação "/>
    <m/>
    <s v="Package 5"/>
    <s v="Package 22.1"/>
    <d v="2025-03-31T00:00:00"/>
    <d v="2025-04-16T00:00:00"/>
    <m/>
    <m/>
    <s v=""/>
    <s v=""/>
    <s v=""/>
    <m/>
    <m/>
    <m/>
    <m/>
    <m/>
    <m/>
    <x v="0"/>
    <s v="RC"/>
  </r>
  <r>
    <x v="0"/>
    <x v="2"/>
    <x v="0"/>
    <s v="modesg_out_sfics_taxon_europeia"/>
    <s v="cnumecta"/>
    <x v="5"/>
    <s v="6. Em implementação "/>
    <m/>
    <s v="Package 5"/>
    <s v="Package 22.1"/>
    <d v="2025-03-31T00:00:00"/>
    <d v="2025-04-16T00:00:00"/>
    <m/>
    <m/>
    <s v=""/>
    <s v=""/>
    <s v=""/>
    <m/>
    <m/>
    <m/>
    <m/>
    <m/>
    <m/>
    <x v="0"/>
    <s v="RC"/>
  </r>
  <r>
    <x v="0"/>
    <x v="2"/>
    <x v="0"/>
    <s v="modesg_out_sfics_taxon_europeia"/>
    <s v="cod_regra"/>
    <x v="4"/>
    <s v="6. Em implementação "/>
    <m/>
    <s v="Package 5"/>
    <s v="Package 22.1"/>
    <d v="2025-03-31T00:00:00"/>
    <d v="2025-04-16T00:00:00"/>
    <m/>
    <m/>
    <s v=""/>
    <s v=""/>
    <s v=""/>
    <m/>
    <m/>
    <m/>
    <m/>
    <m/>
    <m/>
    <x v="0"/>
    <s v="RC"/>
  </r>
  <r>
    <x v="0"/>
    <x v="2"/>
    <x v="0"/>
    <s v="modesg_out_sfics_taxon_europeia"/>
    <s v="nivel"/>
    <x v="4"/>
    <s v="0. Cancelado"/>
    <m/>
    <s v="Package 5"/>
    <s v="package x (31 de março)"/>
    <m/>
    <m/>
    <m/>
    <m/>
    <s v=""/>
    <s v=""/>
    <s v=""/>
    <m/>
    <m/>
    <m/>
    <m/>
    <m/>
    <m/>
    <x v="5"/>
    <m/>
  </r>
  <r>
    <x v="0"/>
    <x v="2"/>
    <x v="0"/>
    <s v="modesg_out_sfics_taxon_europeia"/>
    <s v="montante_pndrc"/>
    <x v="5"/>
    <s v="6. Em implementação "/>
    <m/>
    <s v="Package 5"/>
    <s v="Package 22.1"/>
    <d v="2025-03-31T00:00:00"/>
    <d v="2025-04-16T00:00:00"/>
    <m/>
    <m/>
    <s v=""/>
    <s v=""/>
    <s v=""/>
    <m/>
    <m/>
    <m/>
    <m/>
    <m/>
    <m/>
    <x v="0"/>
    <s v="RC"/>
  </r>
  <r>
    <x v="0"/>
    <x v="2"/>
    <x v="0"/>
    <s v="modesg_out_sfics_taxon_europeia"/>
    <s v="nome_ctgr_sfics"/>
    <x v="5"/>
    <s v="6. Em implementação "/>
    <m/>
    <s v="Package 5"/>
    <s v="Package 22.1"/>
    <d v="2025-03-31T00:00:00"/>
    <d v="2025-04-16T00:00:00"/>
    <m/>
    <m/>
    <s v=""/>
    <s v=""/>
    <s v=""/>
    <m/>
    <m/>
    <m/>
    <m/>
    <m/>
    <m/>
    <x v="0"/>
    <s v="RC"/>
  </r>
  <r>
    <x v="0"/>
    <x v="2"/>
    <x v="0"/>
    <s v="modesg_out_sfics_taxon_europeia"/>
    <s v="nome_general_specific_purpose"/>
    <x v="5"/>
    <s v="6. Em implementação "/>
    <m/>
    <s v="Package 5"/>
    <s v="Package 22.1"/>
    <d v="2025-03-31T00:00:00"/>
    <d v="2025-04-16T00:00:00"/>
    <m/>
    <m/>
    <s v=""/>
    <s v=""/>
    <s v=""/>
    <m/>
    <m/>
    <m/>
    <m/>
    <m/>
    <m/>
    <x v="0"/>
    <s v="RC"/>
  </r>
  <r>
    <x v="0"/>
    <x v="2"/>
    <x v="0"/>
    <s v="modesg_out_sfics_taxon_europeia"/>
    <s v="nome_purpose_esg_alinh_tax"/>
    <x v="5"/>
    <s v="6. Em implementação "/>
    <m/>
    <s v="Package 5"/>
    <s v="Package 22.1"/>
    <d v="2025-03-31T00:00:00"/>
    <d v="2025-04-16T00:00:00"/>
    <m/>
    <m/>
    <s v=""/>
    <s v=""/>
    <s v=""/>
    <m/>
    <m/>
    <m/>
    <m/>
    <m/>
    <m/>
    <x v="0"/>
    <s v="RC"/>
  </r>
  <r>
    <x v="0"/>
    <x v="2"/>
    <x v="0"/>
    <s v="modesg_out_sfics_taxon_europeia"/>
    <s v="nome_purpose_esg_nalinh_tax"/>
    <x v="5"/>
    <s v="6. Em implementação "/>
    <m/>
    <s v="Package 5"/>
    <s v="Package 22.1"/>
    <d v="2025-03-31T00:00:00"/>
    <d v="2025-04-16T00:00:00"/>
    <m/>
    <m/>
    <s v=""/>
    <s v=""/>
    <s v=""/>
    <m/>
    <m/>
    <m/>
    <m/>
    <m/>
    <m/>
    <x v="3"/>
    <s v="RC"/>
  </r>
  <r>
    <x v="0"/>
    <x v="2"/>
    <x v="0"/>
    <s v="modesg_out_sfics_taxon_europeia"/>
    <s v="nome_specific_eligible"/>
    <x v="5"/>
    <s v="6. Em implementação "/>
    <m/>
    <s v="Package 5"/>
    <s v="Package 22.1"/>
    <d v="2025-03-31T00:00:00"/>
    <d v="2025-04-16T00:00:00"/>
    <m/>
    <m/>
    <s v=""/>
    <s v=""/>
    <s v=""/>
    <m/>
    <m/>
    <m/>
    <m/>
    <m/>
    <m/>
    <x v="0"/>
    <s v="RC"/>
  </r>
  <r>
    <x v="0"/>
    <x v="2"/>
    <x v="0"/>
    <s v="modesg_out_sfics_taxon_europeia"/>
    <s v="nome_specific_sustainable"/>
    <x v="5"/>
    <s v="6. Em implementação "/>
    <m/>
    <s v="Package 5"/>
    <s v="Package 22.1"/>
    <d v="2025-03-31T00:00:00"/>
    <d v="2025-04-16T00:00:00"/>
    <m/>
    <m/>
    <s v=""/>
    <s v=""/>
    <s v=""/>
    <m/>
    <m/>
    <m/>
    <m/>
    <m/>
    <m/>
    <x v="0"/>
    <s v="RC"/>
  </r>
  <r>
    <x v="0"/>
    <x v="2"/>
    <x v="0"/>
    <s v="modesg_out_sfics_taxon_europeia"/>
    <s v="sstnbl_indctr"/>
    <x v="5"/>
    <s v="6. Em implementação "/>
    <m/>
    <s v="Package 6"/>
    <s v="Package 22.1"/>
    <d v="2025-03-31T00:00:00"/>
    <d v="2025-04-16T00:00:00"/>
    <m/>
    <m/>
    <s v=""/>
    <s v=""/>
    <s v=""/>
    <m/>
    <m/>
    <m/>
    <m/>
    <m/>
    <m/>
    <x v="5"/>
    <m/>
  </r>
  <r>
    <x v="0"/>
    <x v="2"/>
    <x v="0"/>
    <s v="modesg_out_sfics_taxon_europeia"/>
    <s v="ref_date"/>
    <x v="5"/>
    <s v="6. Em implementação "/>
    <m/>
    <s v="Package 5"/>
    <s v="Package 22.1"/>
    <d v="2025-03-31T00:00:00"/>
    <d v="2025-04-16T00:00:00"/>
    <m/>
    <m/>
    <s v=""/>
    <s v=""/>
    <s v=""/>
    <m/>
    <m/>
    <m/>
    <m/>
    <m/>
    <m/>
    <x v="0"/>
    <s v="RC"/>
  </r>
  <r>
    <x v="0"/>
    <x v="2"/>
    <x v="0"/>
    <s v="modesg_out_sfics_taxon_europeia"/>
    <s v="zdeposit"/>
    <x v="5"/>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4"/>
    <s v="0. Cancelado"/>
    <s v="Fase I"/>
    <m/>
    <m/>
    <m/>
    <m/>
    <m/>
    <m/>
    <s v=""/>
    <s v=""/>
    <s v=""/>
    <m/>
    <m/>
    <m/>
    <m/>
    <m/>
    <m/>
    <x v="0"/>
    <m/>
  </r>
  <r>
    <x v="0"/>
    <x v="3"/>
    <x v="0"/>
    <s v="ENERGY_CERTIFICATE_EST_INPUT"/>
    <s v="ACTUAL_VALUE_IND"/>
    <x v="4"/>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4"/>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4"/>
    <s v="0. Cancelado"/>
    <m/>
    <m/>
    <m/>
    <m/>
    <m/>
    <m/>
    <m/>
    <s v=""/>
    <s v=""/>
    <s v=""/>
    <m/>
    <m/>
    <m/>
    <m/>
    <m/>
    <m/>
    <x v="0"/>
    <m/>
  </r>
  <r>
    <x v="0"/>
    <x v="0"/>
    <x v="0"/>
    <s v="PROCESS"/>
    <s v="montante_org"/>
    <x v="4"/>
    <s v="0. Cancelado"/>
    <m/>
    <m/>
    <m/>
    <m/>
    <m/>
    <m/>
    <m/>
    <s v=""/>
    <s v=""/>
    <s v=""/>
    <m/>
    <m/>
    <m/>
    <m/>
    <m/>
    <m/>
    <x v="0"/>
    <m/>
  </r>
  <r>
    <x v="0"/>
    <x v="0"/>
    <x v="0"/>
    <s v="PROCESS"/>
    <s v="origem"/>
    <x v="4"/>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4"/>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4"/>
    <s v="0. Cancelado"/>
    <m/>
    <m/>
    <m/>
    <m/>
    <m/>
    <m/>
    <m/>
    <s v=""/>
    <s v=""/>
    <s v=""/>
    <m/>
    <m/>
    <m/>
    <m/>
    <m/>
    <m/>
    <x v="0"/>
    <m/>
  </r>
  <r>
    <x v="0"/>
    <x v="0"/>
    <x v="0"/>
    <s v="RESPONSIBILITY_PROCESS_REL"/>
    <s v="num_prop"/>
    <x v="4"/>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4"/>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4"/>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4"/>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4"/>
    <s v="A confirmar data de entrega"/>
    <d v="2025-03-21T00:00:00"/>
    <m/>
    <m/>
    <m/>
    <m/>
    <m/>
    <m/>
    <m/>
    <m/>
    <m/>
    <m/>
    <m/>
    <x v="0"/>
    <m/>
  </r>
  <r>
    <x v="0"/>
    <x v="4"/>
    <x v="0"/>
    <s v="modesg_param_sfics_taxon_europeia"/>
    <s v="nome_purpose_esg"/>
    <x v="4"/>
    <s v="0. Cancelado"/>
    <m/>
    <m/>
    <m/>
    <m/>
    <m/>
    <m/>
    <m/>
    <m/>
    <m/>
    <m/>
    <m/>
    <m/>
    <m/>
    <m/>
    <m/>
    <m/>
    <x v="0"/>
    <m/>
  </r>
  <r>
    <x v="0"/>
    <x v="4"/>
    <x v="0"/>
    <s v="modesg_param_sfics_taxon_europeia"/>
    <s v="dominio"/>
    <x v="4"/>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4"/>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4"/>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4"/>
    <s v="0. Cancelado"/>
    <m/>
    <m/>
    <m/>
    <m/>
    <m/>
    <m/>
    <m/>
    <s v=""/>
    <s v=""/>
    <s v=""/>
    <m/>
    <m/>
    <m/>
    <m/>
    <m/>
    <m/>
    <x v="0"/>
    <s v="JB"/>
  </r>
  <r>
    <x v="0"/>
    <x v="1"/>
    <x v="0"/>
    <s v="lt004_protection"/>
    <s v="flg_exec"/>
    <x v="4"/>
    <s v="0. Cancelado"/>
    <m/>
    <m/>
    <m/>
    <m/>
    <m/>
    <m/>
    <m/>
    <s v=""/>
    <s v=""/>
    <s v=""/>
    <m/>
    <m/>
    <m/>
    <m/>
    <m/>
    <m/>
    <x v="0"/>
    <s v="JB"/>
  </r>
  <r>
    <x v="0"/>
    <x v="1"/>
    <x v="0"/>
    <s v="lt004_protection"/>
    <s v="flg_col"/>
    <x v="4"/>
    <s v="0. Cancelado"/>
    <m/>
    <m/>
    <m/>
    <m/>
    <m/>
    <m/>
    <m/>
    <s v=""/>
    <s v=""/>
    <s v=""/>
    <m/>
    <m/>
    <m/>
    <m/>
    <m/>
    <m/>
    <x v="0"/>
    <m/>
  </r>
  <r>
    <x v="0"/>
    <x v="1"/>
    <x v="0"/>
    <s v="lt004_protection"/>
    <s v="flg_pro"/>
    <x v="4"/>
    <s v="0. Cancelado"/>
    <m/>
    <m/>
    <m/>
    <m/>
    <m/>
    <m/>
    <m/>
    <s v=""/>
    <s v=""/>
    <s v=""/>
    <m/>
    <m/>
    <m/>
    <m/>
    <m/>
    <m/>
    <x v="0"/>
    <m/>
  </r>
  <r>
    <x v="0"/>
    <x v="4"/>
    <x v="0"/>
    <s v="modesg_inp_emss_nace"/>
    <s v="nome_regiao"/>
    <x v="4"/>
    <s v="0. Cancelado"/>
    <m/>
    <m/>
    <m/>
    <m/>
    <m/>
    <m/>
    <s v="Package X"/>
    <s v=""/>
    <s v=""/>
    <s v=""/>
    <m/>
    <m/>
    <m/>
    <m/>
    <m/>
    <m/>
    <x v="0"/>
    <m/>
  </r>
  <r>
    <x v="0"/>
    <x v="4"/>
    <x v="0"/>
    <s v="modesg_inp_emss_nace"/>
    <s v="area_atividade"/>
    <x v="4"/>
    <s v="0. Cancelado"/>
    <m/>
    <m/>
    <m/>
    <m/>
    <m/>
    <m/>
    <s v="Package X"/>
    <s v=""/>
    <s v=""/>
    <s v=""/>
    <m/>
    <m/>
    <m/>
    <m/>
    <m/>
    <m/>
    <x v="0"/>
    <m/>
  </r>
  <r>
    <x v="0"/>
    <x v="4"/>
    <x v="0"/>
    <s v="modesg_inp_emss_nace"/>
    <s v="tipo_atividade"/>
    <x v="4"/>
    <s v="0. Cancelado"/>
    <m/>
    <m/>
    <m/>
    <m/>
    <m/>
    <m/>
    <s v="Package X"/>
    <s v=""/>
    <s v=""/>
    <s v=""/>
    <m/>
    <m/>
    <m/>
    <m/>
    <m/>
    <m/>
    <x v="0"/>
    <m/>
  </r>
  <r>
    <x v="0"/>
    <x v="4"/>
    <x v="0"/>
    <s v="modesg_inp_emss_nace"/>
    <s v="sub_tipo_atividade_1"/>
    <x v="4"/>
    <s v="0. Cancelado"/>
    <m/>
    <m/>
    <m/>
    <m/>
    <m/>
    <m/>
    <s v="Package X"/>
    <s v=""/>
    <s v=""/>
    <s v=""/>
    <m/>
    <m/>
    <m/>
    <m/>
    <m/>
    <m/>
    <x v="0"/>
    <m/>
  </r>
  <r>
    <x v="0"/>
    <x v="4"/>
    <x v="0"/>
    <s v="modesg_inp_emss_nace"/>
    <s v="sub_tipo_atividade_2"/>
    <x v="4"/>
    <s v="0. Cancelado"/>
    <m/>
    <m/>
    <m/>
    <m/>
    <m/>
    <m/>
    <s v="Package X"/>
    <s v=""/>
    <s v=""/>
    <s v=""/>
    <m/>
    <m/>
    <m/>
    <m/>
    <m/>
    <m/>
    <x v="0"/>
    <m/>
  </r>
  <r>
    <x v="0"/>
    <x v="4"/>
    <x v="0"/>
    <s v="modesg_inp_emss_nace"/>
    <s v="unidades_unidade_funcional"/>
    <x v="4"/>
    <s v="0. Cancelado"/>
    <m/>
    <m/>
    <m/>
    <m/>
    <m/>
    <m/>
    <s v="Package X"/>
    <s v=""/>
    <s v=""/>
    <s v=""/>
    <m/>
    <m/>
    <m/>
    <m/>
    <m/>
    <m/>
    <x v="0"/>
    <m/>
  </r>
  <r>
    <x v="0"/>
    <x v="4"/>
    <x v="0"/>
    <s v="modesg_inp_emss_nace"/>
    <s v="fator_emissao"/>
    <x v="4"/>
    <s v="0. Cancelado"/>
    <m/>
    <m/>
    <m/>
    <m/>
    <m/>
    <m/>
    <s v="Package X"/>
    <s v=""/>
    <s v=""/>
    <s v=""/>
    <m/>
    <m/>
    <m/>
    <m/>
    <m/>
    <m/>
    <x v="0"/>
    <m/>
  </r>
  <r>
    <x v="0"/>
    <x v="4"/>
    <x v="0"/>
    <s v="modesg_inp_km_medios_emss_vcls"/>
    <s v="media_scp1_emss"/>
    <x v="4"/>
    <s v="0. Cancelado"/>
    <m/>
    <m/>
    <m/>
    <m/>
    <m/>
    <m/>
    <m/>
    <s v=""/>
    <s v=""/>
    <s v=""/>
    <m/>
    <m/>
    <m/>
    <m/>
    <m/>
    <m/>
    <x v="0"/>
    <m/>
  </r>
  <r>
    <x v="0"/>
    <x v="4"/>
    <x v="0"/>
    <s v="modesg_inp_km_medios_emss_vcls"/>
    <s v="media_scp2_emss"/>
    <x v="4"/>
    <s v="0. Cancelado"/>
    <m/>
    <m/>
    <m/>
    <m/>
    <m/>
    <m/>
    <m/>
    <s v=""/>
    <s v=""/>
    <s v=""/>
    <m/>
    <m/>
    <m/>
    <m/>
    <m/>
    <m/>
    <x v="0"/>
    <m/>
  </r>
  <r>
    <x v="0"/>
    <x v="4"/>
    <x v="0"/>
    <s v="modesg_inp_km_medios_emss_vcls"/>
    <s v="media_scp3_emss"/>
    <x v="4"/>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5.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7.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1">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3">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6"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46" tableBorderDxfId="345">
  <autoFilter ref="B6:Z740">
    <filterColumn colId="1">
      <filters>
        <filter val="Pilar III"/>
      </filters>
    </filterColumn>
    <filterColumn colId="5">
      <filters>
        <filter val="2.1 Em Teste"/>
        <filter val="4. Validação EF"/>
        <filter val="5. Em Correção"/>
      </filters>
    </filterColumn>
    <filterColumn colId="9">
      <filters>
        <filter val="Package 20"/>
        <filter val="Package 21"/>
        <filter val="Package 22"/>
        <filter val="Package 23"/>
      </filters>
    </filterColumn>
  </autoFilter>
  <tableColumns count="25">
    <tableColumn id="1" name="Âmbito" dataDxfId="344"/>
    <tableColumn id="2" name="Sub-âmbito" dataDxfId="343"/>
    <tableColumn id="3" name="Tipo de teste" dataDxfId="342"/>
    <tableColumn id="4" name="Tabela" dataDxfId="341"/>
    <tableColumn id="5" name="Campo" dataDxfId="340"/>
    <tableColumn id="6" name="Status Atual" dataDxfId="339">
      <calculatedColumnFormula>VLOOKUP(A7,Plano_V3!$A$26:$G$768,7,0)</calculatedColumnFormula>
    </tableColumn>
    <tableColumn id="7" name="Status Anterior" dataDxfId="338"/>
    <tableColumn id="14" name="Fase" dataDxfId="337"/>
    <tableColumn id="8" name="Observações - Especificações" dataDxfId="336"/>
    <tableColumn id="20" name="Observações - Testes" dataDxfId="335"/>
    <tableColumn id="23" name="Data Final - Entrega IT" dataDxfId="334"/>
    <tableColumn id="22" name="Data Final - Validação Testes" dataDxfId="333"/>
    <tableColumn id="24" name="Tipologia Teste" dataDxfId="332"/>
    <tableColumn id="19" name="Observações - Testes sem visibilidade" dataDxfId="331"/>
    <tableColumn id="9" name="Data de Pedido correção/esclarecimento" dataDxfId="330">
      <calculatedColumnFormula>IF(VLOOKUP(A7,'Aux - pivots1'!$A:$E,3,0)=0, "",VLOOKUP(A7,'Aux - pivots1'!$A:$E,3,0))</calculatedColumnFormula>
    </tableColumn>
    <tableColumn id="10" name="Data de correção prevista" dataDxfId="329">
      <calculatedColumnFormula>IF(VLOOKUP(A7,'Aux - pivots1'!$A:$E,4,0)=0, "",VLOOKUP(A7,'Aux - pivots1'!$A:$E,4,0))</calculatedColumnFormula>
    </tableColumn>
    <tableColumn id="11" name="Data de correção efetiva" dataDxfId="328">
      <calculatedColumnFormula>IF(VLOOKUP(A7,'Aux - pivots1'!$A:$E,5,0)=0, "",VLOOKUP(A7,'Aux - pivots1'!$A:$E,5,0))</calculatedColumnFormula>
    </tableColumn>
    <tableColumn id="12" name="Data Prevista de Re-especificação" dataDxfId="327"/>
    <tableColumn id="13" name="Data Prevista de Teste" dataDxfId="326"/>
    <tableColumn id="15" name="Projeto (Aux JB)" dataDxfId="325"/>
    <tableColumn id="18" name="LT Âmbito" dataDxfId="324"/>
    <tableColumn id="25" name="Âmbito Testes" dataDxfId="323"/>
    <tableColumn id="21" name="LT Âmbito- Aux" dataDxfId="322"/>
    <tableColumn id="16" name="Plano" dataDxfId="321"/>
    <tableColumn id="17" name="Owner" dataDxfId="320"/>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97" dataDxfId="95" totalsRowDxfId="93" headerRowBorderDxfId="96" tableBorderDxfId="94" totalsRowBorderDxfId="92">
  <autoFilter ref="B8:Y1532">
    <filterColumn colId="4">
      <filters>
        <filter val="lt002_instrument"/>
      </filters>
    </filterColumn>
    <filterColumn colId="5">
      <filters>
        <filter val="mthd_usd_instrmnt_scp_1"/>
        <filter val="mthd_usd_instrmnt_scp_2"/>
        <filter val="mthd_usd_instrmnt_scp_3"/>
      </filters>
    </filterColumn>
  </autoFilter>
  <tableColumns count="24">
    <tableColumn id="1" name="Âmbito" dataDxfId="91" totalsRowDxfId="90"/>
    <tableColumn id="12" name="Sub-âmbito" dataDxfId="89" totalsRowDxfId="88"/>
    <tableColumn id="2" name="Origem" dataDxfId="87" totalsRowDxfId="86"/>
    <tableColumn id="18" name="Campo Origem" dataDxfId="85" totalsRowDxfId="84"/>
    <tableColumn id="5" name="Tabela" dataDxfId="83" totalsRowDxfId="82"/>
    <tableColumn id="3" name="Campo" dataDxfId="81" totalsRowDxfId="80"/>
    <tableColumn id="20" name="concat" dataDxfId="79" totalsRowDxfId="78">
      <calculatedColumnFormula>Table1[[#This Row],[Tabela]]&amp;Table1[[#This Row],[Campo]]</calculatedColumnFormula>
    </tableColumn>
    <tableColumn id="4" name="Status" dataDxfId="77" totalsRowDxfId="76"/>
    <tableColumn id="19" name="Status2" dataDxfId="75">
      <calculatedColumnFormula>VLOOKUP(Table1[[#This Row],[Status]],Auxiliar!$B$16:$C$24,2,0)</calculatedColumnFormula>
    </tableColumn>
    <tableColumn id="6" name="Tipologia_Testes" dataDxfId="74" totalsRowDxfId="73"/>
    <tableColumn id="10" name="Necessidade de re-especificação? (campo)" dataDxfId="72" totalsRowDxfId="71"/>
    <tableColumn id="9" name="Complexidade" dataDxfId="70" totalsRowDxfId="69"/>
    <tableColumn id="17" name="Data de Alteração Status" dataDxfId="68" totalsRowDxfId="67"/>
    <tableColumn id="8" name="Estimação (horas)" totalsRowFunction="custom" dataDxfId="66" totalsRowDxfId="65">
      <calculatedColumnFormula>INDEX(Auxiliar!$D$5:$F$11,MATCH(Table1[[#This Row],[Tipologia_Testes]],Auxiliar!$B$5:$B$11,0),MATCH(Table1[[#This Row],[Complexidade]],Auxiliar!$D$4:$F$4,0))</calculatedColumnFormula>
      <totalsRowFormula>SUMIF(Table1[Estimação (horas)],"&gt;0")</totalsRowFormula>
    </tableColumn>
    <tableColumn id="7" name="Notas" dataDxfId="64" totalsRowDxfId="63"/>
    <tableColumn id="11" name="Owner" dataDxfId="62" totalsRowDxfId="61"/>
    <tableColumn id="21" name="Data alteração especificação" dataDxfId="60" totalsRowDxfId="59"/>
    <tableColumn id="13" name="Data de inicio testes" dataDxfId="58" totalsRowDxfId="57"/>
    <tableColumn id="14" name="Data de incidência / pedido esclarecimento" dataDxfId="56" totalsRowDxfId="55"/>
    <tableColumn id="15" name="Data de correção/resposta prevista" dataDxfId="54" totalsRowDxfId="53"/>
    <tableColumn id="22" name="Data de correção/resposta efetiva" dataDxfId="52" totalsRowDxfId="51"/>
    <tableColumn id="23" name="Horas efetivas" dataDxfId="50" totalsRowDxfId="49">
      <calculatedColumnFormula>VLOOKUP(Table1[[#This Row],[Status]],Auxiliar!$B$16:$D$24,3,0)*Table1[[#This Row],[Estimação (horas)]]</calculatedColumnFormula>
    </tableColumn>
    <tableColumn id="16" name="Query" dataDxfId="48" totalsRowDxfId="47">
      <calculatedColumnFormula>+VLOOKUP(CONCATENATE(Table1[[#This Row],[Tabela]],Table1[[#This Row],[Campo]]),'2. Status Detalhe Campos FY24'!A:J,9,FALSE)</calculatedColumnFormula>
    </tableColumn>
    <tableColumn id="24" name="Aux" dataDxfId="46" totalsRowDxfId="45">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69" priority="11" operator="notEqual">
      <formula>0</formula>
    </cfRule>
  </conditionalFormatting>
  <conditionalFormatting sqref="L21:L23">
    <cfRule type="cellIs" dxfId="368" priority="3" operator="notEqual">
      <formula>0</formula>
    </cfRule>
  </conditionalFormatting>
  <conditionalFormatting sqref="L577:L579">
    <cfRule type="cellIs" dxfId="367" priority="2" operator="notEqual">
      <formula>0</formula>
    </cfRule>
  </conditionalFormatting>
  <conditionalFormatting sqref="L582:L636">
    <cfRule type="cellIs" dxfId="366" priority="1" operator="notEqual">
      <formula>0</formula>
    </cfRule>
  </conditionalFormatting>
  <conditionalFormatting sqref="M5:M6 N6:FK6">
    <cfRule type="cellIs" dxfId="365" priority="12" operator="notEqual">
      <formula>0</formula>
    </cfRule>
  </conditionalFormatting>
  <conditionalFormatting sqref="M15:FK18 M21:FK23 M577:FK579 M636:FK636">
    <cfRule type="cellIs" dxfId="364" priority="10" operator="greaterThan">
      <formula>0</formula>
    </cfRule>
  </conditionalFormatting>
  <conditionalFormatting sqref="M26:FK27">
    <cfRule type="cellIs" dxfId="363" priority="9" operator="greaterThan">
      <formula>0</formula>
    </cfRule>
  </conditionalFormatting>
  <conditionalFormatting sqref="M42:FK42">
    <cfRule type="cellIs" dxfId="362" priority="8" operator="greaterThan">
      <formula>0</formula>
    </cfRule>
  </conditionalFormatting>
  <conditionalFormatting sqref="M198:FK198">
    <cfRule type="cellIs" dxfId="361" priority="7" operator="greaterThan">
      <formula>0</formula>
    </cfRule>
  </conditionalFormatting>
  <conditionalFormatting sqref="M362:FK362">
    <cfRule type="cellIs" dxfId="360" priority="6" operator="greaterThan">
      <formula>0</formula>
    </cfRule>
  </conditionalFormatting>
  <conditionalFormatting sqref="M447:FK447">
    <cfRule type="cellIs" dxfId="359" priority="5" operator="greaterThan">
      <formula>0</formula>
    </cfRule>
  </conditionalFormatting>
  <conditionalFormatting sqref="M582:FK583">
    <cfRule type="cellIs" dxfId="35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opLeftCell="B175" zoomScale="50" zoomScaleNormal="50" zoomScalePageLayoutView="90" workbookViewId="0">
      <selection activeCell="E90" sqref="E90"/>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78"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2450</v>
      </c>
      <c r="M10" s="330"/>
      <c r="N10" s="330"/>
      <c r="O10" s="330"/>
      <c r="P10" s="330"/>
      <c r="Q10" s="330"/>
      <c r="R10" s="330"/>
      <c r="S10" s="330"/>
      <c r="T10" s="330"/>
      <c r="U10" s="330"/>
      <c r="V10" s="330"/>
      <c r="W10" s="330"/>
      <c r="X10" s="504" t="s">
        <v>2467</v>
      </c>
      <c r="Y10" s="505"/>
      <c r="Z10" s="505"/>
      <c r="AA10" s="505"/>
      <c r="AB10" s="505"/>
      <c r="AC10" s="505"/>
      <c r="AD10" s="505"/>
      <c r="AE10" s="505"/>
      <c r="AF10" s="506"/>
      <c r="AG10" s="331"/>
      <c r="AH10" s="116"/>
    </row>
    <row r="11" spans="1:34" ht="18.75" customHeight="1">
      <c r="A11" s="116"/>
      <c r="B11" s="323"/>
      <c r="C11" s="548" t="s">
        <v>8</v>
      </c>
      <c r="D11" s="549"/>
      <c r="E11" s="552" t="s">
        <v>2357</v>
      </c>
      <c r="F11" s="553"/>
      <c r="G11" s="554"/>
      <c r="H11" s="515" t="s">
        <v>2358</v>
      </c>
      <c r="I11" s="516"/>
      <c r="J11" s="516"/>
      <c r="K11" s="517"/>
      <c r="L11" s="518" t="s">
        <v>2359</v>
      </c>
      <c r="M11" s="519"/>
      <c r="N11" s="520"/>
      <c r="O11" s="385"/>
      <c r="P11" s="417"/>
      <c r="Q11" s="419" t="s">
        <v>2368</v>
      </c>
      <c r="R11" s="542" t="s">
        <v>2366</v>
      </c>
      <c r="S11" s="542"/>
      <c r="T11" s="542" t="s">
        <v>2367</v>
      </c>
      <c r="U11" s="542"/>
      <c r="V11" s="418" t="s">
        <v>13</v>
      </c>
      <c r="W11" s="330"/>
      <c r="X11" s="507"/>
      <c r="Y11" s="508"/>
      <c r="Z11" s="508"/>
      <c r="AA11" s="508"/>
      <c r="AB11" s="508"/>
      <c r="AC11" s="508"/>
      <c r="AD11" s="508"/>
      <c r="AE11" s="508"/>
      <c r="AF11" s="509"/>
      <c r="AG11" s="331"/>
      <c r="AH11" s="116"/>
    </row>
    <row r="12" spans="1:34" ht="18.75" customHeight="1">
      <c r="A12" s="116"/>
      <c r="B12" s="323"/>
      <c r="C12" s="550"/>
      <c r="D12" s="551"/>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2349</v>
      </c>
      <c r="R12" s="543">
        <v>20</v>
      </c>
      <c r="S12" s="543"/>
      <c r="T12" s="558">
        <f>+COUNTIFS('2. Status Detalhe Campos FY24'!$C:$C,"*Pilar*",'2. Status Detalhe Campos FY24'!$J:$J,"*"&amp;O12&amp;"*",'2. Status Detalhe Campos FY24'!Y:Y,"*Novo Plano*")</f>
        <v>20</v>
      </c>
      <c r="U12" s="558"/>
      <c r="V12" s="161" t="s">
        <v>621</v>
      </c>
      <c r="W12" s="330"/>
      <c r="X12" s="507"/>
      <c r="Y12" s="508"/>
      <c r="Z12" s="508"/>
      <c r="AA12" s="508"/>
      <c r="AB12" s="508"/>
      <c r="AC12" s="508"/>
      <c r="AD12" s="508"/>
      <c r="AE12" s="508"/>
      <c r="AF12" s="509"/>
      <c r="AG12" s="331"/>
      <c r="AH12" s="116"/>
    </row>
    <row r="13" spans="1:34" ht="18.75" customHeight="1">
      <c r="A13" s="116"/>
      <c r="B13" s="323"/>
      <c r="C13" s="544" t="s">
        <v>2331</v>
      </c>
      <c r="D13" s="545"/>
      <c r="E13" s="500">
        <v>0</v>
      </c>
      <c r="F13" s="405">
        <v>0</v>
      </c>
      <c r="G13" s="428">
        <v>0</v>
      </c>
      <c r="H13" s="402">
        <v>0</v>
      </c>
      <c r="I13" s="405">
        <v>1</v>
      </c>
      <c r="J13" s="429">
        <v>1</v>
      </c>
      <c r="K13" s="428">
        <f>J13-(I13+H13)</f>
        <v>0</v>
      </c>
      <c r="L13" s="402">
        <f t="shared" ref="L13:L21" si="0">+IF(K13&lt;0,-K13,0)</f>
        <v>0</v>
      </c>
      <c r="M13" s="405">
        <v>0</v>
      </c>
      <c r="N13" s="428">
        <f>+M13+L13</f>
        <v>0</v>
      </c>
      <c r="O13" s="385">
        <v>2</v>
      </c>
      <c r="P13" s="330" t="s">
        <v>2335</v>
      </c>
      <c r="Q13" s="401" t="s">
        <v>2350</v>
      </c>
      <c r="R13" s="543">
        <v>15</v>
      </c>
      <c r="S13" s="543"/>
      <c r="T13" s="559">
        <f>+COUNTIFS('2. Status Detalhe Campos FY24'!$C:$C,"*Pilar*",'2. Status Detalhe Campos FY24'!$J:$J,"*"&amp;O13&amp;"*",'2. Status Detalhe Campos FY24'!Y:Y,"*Novo Plano*")</f>
        <v>14</v>
      </c>
      <c r="U13" s="559"/>
      <c r="V13" s="161" t="s">
        <v>621</v>
      </c>
      <c r="W13" s="330"/>
      <c r="X13" s="507"/>
      <c r="Y13" s="508"/>
      <c r="Z13" s="508"/>
      <c r="AA13" s="508"/>
      <c r="AB13" s="508"/>
      <c r="AC13" s="508"/>
      <c r="AD13" s="508"/>
      <c r="AE13" s="508"/>
      <c r="AF13" s="509"/>
      <c r="AG13" s="331"/>
      <c r="AH13" s="116"/>
    </row>
    <row r="14" spans="1:34" ht="18.75" customHeight="1">
      <c r="A14" s="116"/>
      <c r="B14" s="323"/>
      <c r="C14" s="386" t="s">
        <v>2365</v>
      </c>
      <c r="D14" s="391"/>
      <c r="E14" s="410">
        <v>0</v>
      </c>
      <c r="F14" s="384">
        <v>1</v>
      </c>
      <c r="G14" s="432">
        <v>0</v>
      </c>
      <c r="H14" s="409">
        <v>0</v>
      </c>
      <c r="I14" s="410">
        <v>1</v>
      </c>
      <c r="J14" s="431">
        <v>1</v>
      </c>
      <c r="K14" s="432">
        <f t="shared" ref="K14:K22" si="1">J14-(I14+H14)</f>
        <v>0</v>
      </c>
      <c r="L14" s="409">
        <f t="shared" si="0"/>
        <v>0</v>
      </c>
      <c r="M14" s="410">
        <v>0</v>
      </c>
      <c r="N14" s="432">
        <v>0</v>
      </c>
      <c r="O14" s="385">
        <v>3</v>
      </c>
      <c r="P14" s="330" t="s">
        <v>2336</v>
      </c>
      <c r="Q14" s="401" t="s">
        <v>2351</v>
      </c>
      <c r="R14" s="543">
        <v>14</v>
      </c>
      <c r="S14" s="543"/>
      <c r="T14" s="559">
        <f>+COUNTIFS('2. Status Detalhe Campos FY24'!$C:$C,"*Pilar*",'2. Status Detalhe Campos FY24'!$J:$J,"*"&amp;O14&amp;"*",'2. Status Detalhe Campos FY24'!Y:Y,"*Novo Plano*")</f>
        <v>16</v>
      </c>
      <c r="U14" s="559"/>
      <c r="V14" s="161" t="s">
        <v>621</v>
      </c>
      <c r="W14" s="330"/>
      <c r="X14" s="507"/>
      <c r="Y14" s="508"/>
      <c r="Z14" s="508"/>
      <c r="AA14" s="508"/>
      <c r="AB14" s="508"/>
      <c r="AC14" s="508"/>
      <c r="AD14" s="508"/>
      <c r="AE14" s="508"/>
      <c r="AF14" s="509"/>
      <c r="AG14" s="331"/>
      <c r="AH14" s="116"/>
    </row>
    <row r="15" spans="1:34" ht="18.75" customHeight="1">
      <c r="A15" s="116"/>
      <c r="B15" s="323"/>
      <c r="C15" s="390" t="s">
        <v>2355</v>
      </c>
      <c r="D15" s="392"/>
      <c r="E15" s="413">
        <v>0</v>
      </c>
      <c r="F15" s="412">
        <v>0</v>
      </c>
      <c r="G15" s="434">
        <v>0</v>
      </c>
      <c r="H15" s="411">
        <v>0</v>
      </c>
      <c r="I15" s="413">
        <v>0</v>
      </c>
      <c r="J15" s="433">
        <v>0</v>
      </c>
      <c r="K15" s="434">
        <f t="shared" si="1"/>
        <v>0</v>
      </c>
      <c r="L15" s="411">
        <f t="shared" si="0"/>
        <v>0</v>
      </c>
      <c r="M15" s="413">
        <f>+COUNTIFS('2. Status Detalhe Campos FY24'!$C:$C,"*Bens Imóveis*",'2. Status Detalhe Campos FY24'!$J:$J,"*"&amp;$L$10&amp;"*",'2. Status Detalhe Campos FY24'!Y:Y,"*Novo Plano*")</f>
        <v>0</v>
      </c>
      <c r="N15" s="434">
        <f t="shared" ref="N15:N21" si="2">+M15+L15</f>
        <v>0</v>
      </c>
      <c r="O15" s="385">
        <v>4</v>
      </c>
      <c r="P15" s="330" t="s">
        <v>2337</v>
      </c>
      <c r="Q15" s="401" t="s">
        <v>2352</v>
      </c>
      <c r="R15" s="543">
        <v>13</v>
      </c>
      <c r="S15" s="543"/>
      <c r="T15" s="559">
        <f>+COUNTIFS('2. Status Detalhe Campos FY24'!$C:$C,"*Pilar*",'2. Status Detalhe Campos FY24'!$J:$J,"*"&amp;O15&amp;"*",'2. Status Detalhe Campos FY24'!Y:Y,"*Novo Plano*")</f>
        <v>14</v>
      </c>
      <c r="U15" s="559"/>
      <c r="V15" s="161" t="s">
        <v>2441</v>
      </c>
      <c r="W15" s="330"/>
      <c r="X15" s="507"/>
      <c r="Y15" s="508"/>
      <c r="Z15" s="508"/>
      <c r="AA15" s="508"/>
      <c r="AB15" s="508"/>
      <c r="AC15" s="508"/>
      <c r="AD15" s="508"/>
      <c r="AE15" s="508"/>
      <c r="AF15" s="509"/>
      <c r="AG15" s="331"/>
      <c r="AH15" s="116"/>
    </row>
    <row r="16" spans="1:34" ht="18.75" customHeight="1">
      <c r="A16" s="116"/>
      <c r="B16" s="323"/>
      <c r="C16" s="544" t="s">
        <v>29</v>
      </c>
      <c r="D16" s="545"/>
      <c r="E16" s="408">
        <v>0</v>
      </c>
      <c r="F16" s="407">
        <v>0</v>
      </c>
      <c r="G16" s="430">
        <v>0</v>
      </c>
      <c r="H16" s="406">
        <v>0</v>
      </c>
      <c r="I16" s="408">
        <v>0</v>
      </c>
      <c r="J16" s="429">
        <v>0</v>
      </c>
      <c r="K16" s="430">
        <f t="shared" si="1"/>
        <v>0</v>
      </c>
      <c r="L16" s="406">
        <f t="shared" si="0"/>
        <v>0</v>
      </c>
      <c r="M16" s="408">
        <v>0</v>
      </c>
      <c r="N16" s="430">
        <f t="shared" si="2"/>
        <v>0</v>
      </c>
      <c r="O16" s="385">
        <v>5</v>
      </c>
      <c r="P16" s="417" t="s">
        <v>2338</v>
      </c>
      <c r="Q16" s="421" t="s">
        <v>2353</v>
      </c>
      <c r="R16" s="555">
        <v>6</v>
      </c>
      <c r="S16" s="555"/>
      <c r="T16" s="560">
        <f>+COUNTIFS('2. Status Detalhe Campos FY24'!$C:$C,"*Pilar*",'2. Status Detalhe Campos FY24'!$J:$J,"*"&amp;O16&amp;"*",'2. Status Detalhe Campos FY24'!Y:Y,"*Novo Plano*")</f>
        <v>7</v>
      </c>
      <c r="U16" s="560"/>
      <c r="V16" s="470" t="s">
        <v>2441</v>
      </c>
      <c r="W16" s="330"/>
      <c r="X16" s="507"/>
      <c r="Y16" s="508"/>
      <c r="Z16" s="508"/>
      <c r="AA16" s="508"/>
      <c r="AB16" s="508"/>
      <c r="AC16" s="508"/>
      <c r="AD16" s="508"/>
      <c r="AE16" s="508"/>
      <c r="AF16" s="509"/>
      <c r="AG16" s="331"/>
      <c r="AH16" s="116"/>
    </row>
    <row r="17" spans="1:34" ht="18.75" customHeight="1">
      <c r="A17" s="116"/>
      <c r="B17" s="323"/>
      <c r="C17" s="386" t="s">
        <v>2365</v>
      </c>
      <c r="D17" s="391"/>
      <c r="E17" s="410">
        <v>0</v>
      </c>
      <c r="F17" s="384">
        <v>0</v>
      </c>
      <c r="G17" s="432">
        <v>0</v>
      </c>
      <c r="H17" s="409">
        <v>0</v>
      </c>
      <c r="I17" s="410">
        <v>0</v>
      </c>
      <c r="J17" s="431">
        <v>0</v>
      </c>
      <c r="K17" s="432">
        <f t="shared" si="1"/>
        <v>0</v>
      </c>
      <c r="L17" s="409">
        <f t="shared" si="0"/>
        <v>0</v>
      </c>
      <c r="M17" s="410">
        <v>0</v>
      </c>
      <c r="N17" s="432">
        <f t="shared" si="2"/>
        <v>0</v>
      </c>
      <c r="O17" s="330"/>
      <c r="P17" s="420" t="s">
        <v>2369</v>
      </c>
      <c r="Q17" s="330"/>
      <c r="R17" s="556">
        <f>+SUM(R12:S16)</f>
        <v>68</v>
      </c>
      <c r="S17" s="556"/>
      <c r="T17" s="557">
        <f>+SUM(T12:T16)</f>
        <v>71</v>
      </c>
      <c r="U17" s="557"/>
      <c r="V17" s="422"/>
      <c r="W17" s="330"/>
      <c r="X17" s="507"/>
      <c r="Y17" s="508"/>
      <c r="Z17" s="508"/>
      <c r="AA17" s="508"/>
      <c r="AB17" s="508"/>
      <c r="AC17" s="508"/>
      <c r="AD17" s="508"/>
      <c r="AE17" s="508"/>
      <c r="AF17" s="509"/>
      <c r="AG17" s="331"/>
      <c r="AH17" s="116"/>
    </row>
    <row r="18" spans="1:34" ht="18.75" customHeight="1">
      <c r="A18" s="116"/>
      <c r="B18" s="323"/>
      <c r="C18" s="390" t="s">
        <v>2355</v>
      </c>
      <c r="D18" s="392"/>
      <c r="E18" s="413">
        <v>0</v>
      </c>
      <c r="F18" s="412">
        <v>0</v>
      </c>
      <c r="G18" s="434">
        <v>0</v>
      </c>
      <c r="H18" s="411">
        <v>0</v>
      </c>
      <c r="I18" s="413">
        <v>0</v>
      </c>
      <c r="J18" s="433">
        <v>0</v>
      </c>
      <c r="K18" s="434">
        <f t="shared" si="1"/>
        <v>0</v>
      </c>
      <c r="L18" s="411">
        <f t="shared" si="0"/>
        <v>0</v>
      </c>
      <c r="M18" s="413">
        <f>+COUNTIFS('2. Status Detalhe Campos FY24'!$C:$C,"*Verde*",'2. Status Detalhe Campos FY24'!$J:$J,"*"&amp;$L$10&amp;"*",'2. Status Detalhe Campos FY24'!Y:Y,"*Novo Plano*")</f>
        <v>0</v>
      </c>
      <c r="N18" s="434">
        <f t="shared" si="2"/>
        <v>0</v>
      </c>
      <c r="O18" s="330"/>
      <c r="P18" s="367"/>
      <c r="Q18" s="400"/>
      <c r="R18" s="416"/>
      <c r="S18" s="330"/>
      <c r="T18" s="330"/>
      <c r="U18" s="330"/>
      <c r="V18" s="330"/>
      <c r="W18" s="330"/>
      <c r="X18" s="507"/>
      <c r="Y18" s="508"/>
      <c r="Z18" s="508"/>
      <c r="AA18" s="508"/>
      <c r="AB18" s="508"/>
      <c r="AC18" s="508"/>
      <c r="AD18" s="508"/>
      <c r="AE18" s="508"/>
      <c r="AF18" s="509"/>
      <c r="AG18" s="331"/>
      <c r="AH18" s="116"/>
    </row>
    <row r="19" spans="1:34" ht="18.649999999999999" customHeight="1">
      <c r="A19" s="116"/>
      <c r="B19" s="323"/>
      <c r="C19" s="544" t="s">
        <v>2332</v>
      </c>
      <c r="D19" s="545"/>
      <c r="E19" s="408">
        <v>0</v>
      </c>
      <c r="F19" s="407">
        <v>0</v>
      </c>
      <c r="G19" s="430">
        <v>0</v>
      </c>
      <c r="H19" s="406">
        <v>0</v>
      </c>
      <c r="I19" s="408">
        <v>0</v>
      </c>
      <c r="J19" s="429">
        <v>0</v>
      </c>
      <c r="K19" s="430">
        <f t="shared" si="1"/>
        <v>0</v>
      </c>
      <c r="L19" s="406">
        <v>0</v>
      </c>
      <c r="M19" s="408">
        <f>+COUNTIFS('2. Status Detalhe Campos FY24'!$C:$C,"*Verde*",'2. Status Detalhe Campos FY24'!$J:$J,"*"&amp;$L$10&amp;"*")</f>
        <v>0</v>
      </c>
      <c r="N19" s="430">
        <f t="shared" si="2"/>
        <v>0</v>
      </c>
      <c r="O19" s="330"/>
      <c r="P19" s="367"/>
      <c r="Q19" s="330"/>
      <c r="R19" s="330"/>
      <c r="S19" s="330"/>
      <c r="T19" s="330"/>
      <c r="U19" s="330"/>
      <c r="V19" s="330"/>
      <c r="W19" s="330"/>
      <c r="X19" s="507"/>
      <c r="Y19" s="508"/>
      <c r="Z19" s="508"/>
      <c r="AA19" s="508"/>
      <c r="AB19" s="508"/>
      <c r="AC19" s="508"/>
      <c r="AD19" s="508"/>
      <c r="AE19" s="508"/>
      <c r="AF19" s="509"/>
      <c r="AG19" s="331"/>
      <c r="AH19" s="116"/>
    </row>
    <row r="20" spans="1:34" ht="18.75" customHeight="1">
      <c r="A20" s="116"/>
      <c r="B20" s="323"/>
      <c r="C20" s="386" t="s">
        <v>2365</v>
      </c>
      <c r="D20" s="393"/>
      <c r="E20" s="410">
        <v>0</v>
      </c>
      <c r="F20" s="415">
        <v>0</v>
      </c>
      <c r="G20" s="436">
        <v>0</v>
      </c>
      <c r="H20" s="414">
        <v>0</v>
      </c>
      <c r="I20" s="410">
        <v>0</v>
      </c>
      <c r="J20" s="435">
        <v>0</v>
      </c>
      <c r="K20" s="436">
        <f t="shared" si="1"/>
        <v>0</v>
      </c>
      <c r="L20" s="414">
        <f t="shared" si="0"/>
        <v>0</v>
      </c>
      <c r="M20" s="410">
        <f>+COUNTIFS('2. Status Detalhe Campos FY24'!$C:$C,"*Verde*",'2. Status Detalhe Campos FY24'!$J:$J,"*"&amp;$L$10&amp;"*",'2. Status Detalhe Campos FY24'!Y:Y,"*anterior*")</f>
        <v>0</v>
      </c>
      <c r="N20" s="432">
        <f t="shared" si="2"/>
        <v>0</v>
      </c>
      <c r="O20" s="330"/>
      <c r="P20" s="367"/>
      <c r="Q20" s="330"/>
      <c r="R20" s="330"/>
      <c r="S20" s="330"/>
      <c r="T20" s="330"/>
      <c r="U20" s="330"/>
      <c r="V20" s="330"/>
      <c r="W20" s="330"/>
      <c r="X20" s="507"/>
      <c r="Y20" s="508"/>
      <c r="Z20" s="508"/>
      <c r="AA20" s="508"/>
      <c r="AB20" s="508"/>
      <c r="AC20" s="508"/>
      <c r="AD20" s="508"/>
      <c r="AE20" s="508"/>
      <c r="AF20" s="509"/>
      <c r="AG20" s="331"/>
      <c r="AH20" s="116"/>
    </row>
    <row r="21" spans="1:34" ht="18.75" customHeight="1">
      <c r="A21" s="116"/>
      <c r="B21" s="323"/>
      <c r="C21" s="390" t="s">
        <v>2355</v>
      </c>
      <c r="D21" s="392"/>
      <c r="E21" s="413">
        <v>0</v>
      </c>
      <c r="F21" s="412">
        <v>0</v>
      </c>
      <c r="G21" s="434">
        <v>0</v>
      </c>
      <c r="H21" s="437">
        <v>0</v>
      </c>
      <c r="I21" s="413">
        <v>0</v>
      </c>
      <c r="J21" s="433">
        <v>0</v>
      </c>
      <c r="K21" s="434">
        <f t="shared" si="1"/>
        <v>0</v>
      </c>
      <c r="L21" s="437">
        <f t="shared" si="0"/>
        <v>0</v>
      </c>
      <c r="M21" s="413">
        <v>0</v>
      </c>
      <c r="N21" s="434">
        <f t="shared" si="2"/>
        <v>0</v>
      </c>
      <c r="O21" s="330"/>
      <c r="P21" s="367"/>
      <c r="Q21" s="330"/>
      <c r="R21" s="330"/>
      <c r="S21" s="330"/>
      <c r="T21" s="330"/>
      <c r="U21" s="330"/>
      <c r="V21" s="330"/>
      <c r="W21" s="330"/>
      <c r="X21" s="507"/>
      <c r="Y21" s="508"/>
      <c r="Z21" s="508"/>
      <c r="AA21" s="508"/>
      <c r="AB21" s="508"/>
      <c r="AC21" s="508"/>
      <c r="AD21" s="508"/>
      <c r="AE21" s="508"/>
      <c r="AF21" s="509"/>
      <c r="AG21" s="331"/>
      <c r="AH21" s="116"/>
    </row>
    <row r="22" spans="1:34" ht="18.75" customHeight="1">
      <c r="A22" s="116"/>
      <c r="B22" s="323"/>
      <c r="C22" s="546" t="s">
        <v>2326</v>
      </c>
      <c r="D22" s="547"/>
      <c r="E22" s="460">
        <v>0</v>
      </c>
      <c r="F22" s="465">
        <v>0</v>
      </c>
      <c r="G22" s="465">
        <v>0</v>
      </c>
      <c r="H22" s="459">
        <v>0</v>
      </c>
      <c r="I22" s="461">
        <v>1</v>
      </c>
      <c r="J22" s="463">
        <v>1</v>
      </c>
      <c r="K22" s="465">
        <f t="shared" si="1"/>
        <v>0</v>
      </c>
      <c r="L22" s="459">
        <f>+SUM(L13,L16,L19)</f>
        <v>0</v>
      </c>
      <c r="M22" s="461">
        <f>+SUM(M13,M16,M19)</f>
        <v>0</v>
      </c>
      <c r="N22" s="465">
        <f>+SUM(N13,N16,N19)</f>
        <v>0</v>
      </c>
      <c r="O22" s="330"/>
      <c r="P22" s="367"/>
      <c r="Q22" s="330"/>
      <c r="R22" s="330"/>
      <c r="S22" s="330"/>
      <c r="T22" s="330"/>
      <c r="U22" s="330"/>
      <c r="V22" s="330"/>
      <c r="W22" s="330"/>
      <c r="X22" s="507"/>
      <c r="Y22" s="508"/>
      <c r="Z22" s="508"/>
      <c r="AA22" s="508"/>
      <c r="AB22" s="508"/>
      <c r="AC22" s="508"/>
      <c r="AD22" s="508"/>
      <c r="AE22" s="508"/>
      <c r="AF22" s="509"/>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7"/>
      <c r="Y23" s="508"/>
      <c r="Z23" s="508"/>
      <c r="AA23" s="508"/>
      <c r="AB23" s="508"/>
      <c r="AC23" s="508"/>
      <c r="AD23" s="508"/>
      <c r="AE23" s="508"/>
      <c r="AF23" s="509"/>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7"/>
      <c r="Y24" s="508"/>
      <c r="Z24" s="508"/>
      <c r="AA24" s="508"/>
      <c r="AB24" s="508"/>
      <c r="AC24" s="508"/>
      <c r="AD24" s="508"/>
      <c r="AE24" s="508"/>
      <c r="AF24" s="509"/>
      <c r="AG24" s="331"/>
      <c r="AH24" s="116"/>
    </row>
    <row r="25" spans="1:34" ht="18.75" customHeight="1">
      <c r="A25" s="116"/>
      <c r="B25" s="323"/>
      <c r="C25" s="330"/>
      <c r="D25" s="330"/>
      <c r="E25" s="385">
        <v>1</v>
      </c>
      <c r="F25" s="385"/>
      <c r="G25" s="385"/>
      <c r="H25" s="385"/>
      <c r="I25" s="385">
        <v>1</v>
      </c>
      <c r="J25" s="385"/>
      <c r="K25" s="330"/>
      <c r="L25" s="330"/>
      <c r="M25" s="330"/>
      <c r="N25" s="330"/>
      <c r="O25" s="330"/>
      <c r="P25" s="385">
        <v>1000</v>
      </c>
      <c r="Q25" s="330"/>
      <c r="R25" s="330"/>
      <c r="S25" s="330"/>
      <c r="T25" s="330"/>
      <c r="U25" s="330"/>
      <c r="V25" s="330"/>
      <c r="W25" s="330"/>
      <c r="X25" s="507"/>
      <c r="Y25" s="508"/>
      <c r="Z25" s="508"/>
      <c r="AA25" s="508"/>
      <c r="AB25" s="508"/>
      <c r="AC25" s="508"/>
      <c r="AD25" s="508"/>
      <c r="AE25" s="508"/>
      <c r="AF25" s="509"/>
      <c r="AG25" s="331"/>
      <c r="AH25" s="116"/>
    </row>
    <row r="26" spans="1:34" ht="18.75" customHeight="1">
      <c r="A26" s="116"/>
      <c r="B26" s="323"/>
      <c r="C26" s="548" t="s">
        <v>8</v>
      </c>
      <c r="D26" s="549"/>
      <c r="E26" s="518" t="s">
        <v>2339</v>
      </c>
      <c r="F26" s="519"/>
      <c r="G26" s="519"/>
      <c r="H26" s="519"/>
      <c r="I26" s="520"/>
      <c r="J26" s="515" t="s">
        <v>2345</v>
      </c>
      <c r="K26" s="516"/>
      <c r="L26" s="516"/>
      <c r="M26" s="516"/>
      <c r="N26" s="516"/>
      <c r="O26" s="517"/>
      <c r="P26" s="518" t="s">
        <v>2346</v>
      </c>
      <c r="Q26" s="519"/>
      <c r="R26" s="520"/>
      <c r="S26" s="330"/>
      <c r="T26" s="330"/>
      <c r="U26" s="161"/>
      <c r="V26" s="330"/>
      <c r="W26" s="330"/>
      <c r="X26" s="507"/>
      <c r="Y26" s="508"/>
      <c r="Z26" s="508"/>
      <c r="AA26" s="508"/>
      <c r="AB26" s="508"/>
      <c r="AC26" s="508"/>
      <c r="AD26" s="508"/>
      <c r="AE26" s="508"/>
      <c r="AF26" s="509"/>
      <c r="AG26" s="331"/>
      <c r="AH26" s="116"/>
    </row>
    <row r="27" spans="1:34" ht="18.75" customHeight="1">
      <c r="A27" s="116"/>
      <c r="B27" s="323"/>
      <c r="C27" s="550"/>
      <c r="D27" s="551"/>
      <c r="E27" s="394" t="s">
        <v>1960</v>
      </c>
      <c r="F27" s="388" t="s">
        <v>2347</v>
      </c>
      <c r="G27" s="397" t="s">
        <v>2348</v>
      </c>
      <c r="H27" s="399" t="s">
        <v>2461</v>
      </c>
      <c r="I27" s="395" t="s">
        <v>2330</v>
      </c>
      <c r="J27" s="394" t="s">
        <v>2340</v>
      </c>
      <c r="K27" s="387" t="s">
        <v>1960</v>
      </c>
      <c r="L27" s="388" t="s">
        <v>2347</v>
      </c>
      <c r="M27" s="397" t="s">
        <v>2348</v>
      </c>
      <c r="N27" s="399" t="s">
        <v>2461</v>
      </c>
      <c r="O27" s="395" t="s">
        <v>2330</v>
      </c>
      <c r="P27" s="394" t="s">
        <v>2340</v>
      </c>
      <c r="Q27" s="396" t="s">
        <v>1960</v>
      </c>
      <c r="R27" s="389" t="s">
        <v>2326</v>
      </c>
      <c r="S27" s="330"/>
      <c r="T27" s="330"/>
      <c r="U27" s="367"/>
      <c r="V27" s="330"/>
      <c r="W27" s="330"/>
      <c r="X27" s="507"/>
      <c r="Y27" s="508"/>
      <c r="Z27" s="508"/>
      <c r="AA27" s="508"/>
      <c r="AB27" s="508"/>
      <c r="AC27" s="508"/>
      <c r="AD27" s="508"/>
      <c r="AE27" s="508"/>
      <c r="AF27" s="509"/>
      <c r="AG27" s="331"/>
      <c r="AH27" s="116"/>
    </row>
    <row r="28" spans="1:34" ht="18.75" customHeight="1">
      <c r="A28" s="116"/>
      <c r="B28" s="323"/>
      <c r="C28" s="544" t="s">
        <v>2331</v>
      </c>
      <c r="D28" s="545"/>
      <c r="E28" s="438">
        <v>0</v>
      </c>
      <c r="F28" s="439">
        <v>0</v>
      </c>
      <c r="G28" s="440">
        <v>0</v>
      </c>
      <c r="H28" s="440">
        <v>0</v>
      </c>
      <c r="I28" s="441">
        <v>0</v>
      </c>
      <c r="J28" s="438">
        <v>0</v>
      </c>
      <c r="K28" s="440">
        <v>0</v>
      </c>
      <c r="L28" s="403">
        <v>0</v>
      </c>
      <c r="M28" s="427">
        <v>0</v>
      </c>
      <c r="N28" s="404">
        <v>0</v>
      </c>
      <c r="O28" s="428">
        <v>0</v>
      </c>
      <c r="P28" s="440">
        <v>0</v>
      </c>
      <c r="Q28" s="440">
        <f>+COUNTIFS('2. Status Detalhe Campos FY24'!$C:$C,"*Bens Imóveis*",'2. Status Detalhe Campos FY24'!$K:$K,"*"&amp;$P$25&amp;"*")</f>
        <v>0</v>
      </c>
      <c r="R28" s="441">
        <f>+Q28+P28</f>
        <v>0</v>
      </c>
      <c r="S28" s="330"/>
      <c r="T28" s="330"/>
      <c r="U28" s="367"/>
      <c r="V28" s="330"/>
      <c r="W28" s="330"/>
      <c r="X28" s="507"/>
      <c r="Y28" s="508"/>
      <c r="Z28" s="508"/>
      <c r="AA28" s="508"/>
      <c r="AB28" s="508"/>
      <c r="AC28" s="508"/>
      <c r="AD28" s="508"/>
      <c r="AE28" s="508"/>
      <c r="AF28" s="509"/>
      <c r="AG28" s="331"/>
      <c r="AH28" s="116"/>
    </row>
    <row r="29" spans="1:34" ht="18.75" customHeight="1">
      <c r="A29" s="116"/>
      <c r="B29" s="323"/>
      <c r="C29" s="386" t="s">
        <v>2356</v>
      </c>
      <c r="D29" s="391"/>
      <c r="E29" s="447">
        <v>0</v>
      </c>
      <c r="F29" s="448">
        <v>0</v>
      </c>
      <c r="G29" s="449">
        <v>0</v>
      </c>
      <c r="H29" s="449">
        <v>0</v>
      </c>
      <c r="I29" s="450">
        <v>0</v>
      </c>
      <c r="J29" s="447">
        <v>0</v>
      </c>
      <c r="K29" s="449">
        <v>0</v>
      </c>
      <c r="L29" s="451">
        <v>0</v>
      </c>
      <c r="M29" s="431">
        <v>0</v>
      </c>
      <c r="N29" s="452">
        <v>0</v>
      </c>
      <c r="O29" s="432">
        <v>0</v>
      </c>
      <c r="P29" s="449">
        <f>+COUNTIFS('2. Status Detalhe Campos FY24'!$C:$C,"*Bens Imóveis*",'2. Status Detalhe Campos FY24'!$K:$K,"*"&amp;$P$25&amp;"*",'2. Status Detalhe Campos FY24'!X:X,"*anterior*")</f>
        <v>0</v>
      </c>
      <c r="Q29" s="449">
        <f>+COUNTIFS('2. Status Detalhe Campos FY24'!$C:$C,"*Bens Imóveis*",'2. Status Detalhe Campos FY24'!$K:$K,"*"&amp;$P$25&amp;"*",'2. Status Detalhe Campos FY24'!Y:Y,"*anterior*")</f>
        <v>0</v>
      </c>
      <c r="R29" s="450">
        <f t="shared" ref="R29:R36" si="3">+Q29+P29</f>
        <v>0</v>
      </c>
      <c r="S29" s="330"/>
      <c r="T29" s="330"/>
      <c r="U29" s="330"/>
      <c r="V29" s="330"/>
      <c r="W29" s="330"/>
      <c r="X29" s="507"/>
      <c r="Y29" s="508"/>
      <c r="Z29" s="508"/>
      <c r="AA29" s="508"/>
      <c r="AB29" s="508"/>
      <c r="AC29" s="508"/>
      <c r="AD29" s="508"/>
      <c r="AE29" s="508"/>
      <c r="AF29" s="509"/>
      <c r="AG29" s="331"/>
      <c r="AH29" s="116"/>
    </row>
    <row r="30" spans="1:34" ht="18.75" customHeight="1">
      <c r="A30" s="116"/>
      <c r="B30" s="323"/>
      <c r="C30" s="390" t="s">
        <v>2355</v>
      </c>
      <c r="D30" s="392"/>
      <c r="E30" s="453">
        <v>0</v>
      </c>
      <c r="F30" s="454">
        <v>0</v>
      </c>
      <c r="G30" s="455">
        <v>0</v>
      </c>
      <c r="H30" s="455">
        <v>0</v>
      </c>
      <c r="I30" s="456">
        <v>0</v>
      </c>
      <c r="J30" s="453">
        <v>0</v>
      </c>
      <c r="K30" s="455">
        <v>0</v>
      </c>
      <c r="L30" s="457">
        <v>0</v>
      </c>
      <c r="M30" s="487">
        <v>0</v>
      </c>
      <c r="N30" s="458">
        <v>0</v>
      </c>
      <c r="O30" s="434">
        <v>0</v>
      </c>
      <c r="P30" s="449">
        <f>+COUNTIFS('2. Status Detalhe Campos FY24'!$C:$C,"*Bens Imóveis*",'2. Status Detalhe Campos FY24'!$K:$K,"*"&amp;$P$25&amp;"*",'2. Status Detalhe Campos FY24'!X:X,"*anterior*")</f>
        <v>0</v>
      </c>
      <c r="Q30" s="455">
        <f>+COUNTIFS('2. Status Detalhe Campos FY24'!$C:$C,"*Bens Imóveis*",'2. Status Detalhe Campos FY24'!$K:$K,"*"&amp;$P$25&amp;"*",'2. Status Detalhe Campos FY24'!Y:Y,"*Novo Plano*")</f>
        <v>0</v>
      </c>
      <c r="R30" s="456">
        <f t="shared" si="3"/>
        <v>0</v>
      </c>
      <c r="S30" s="330"/>
      <c r="T30" s="330"/>
      <c r="U30" s="330"/>
      <c r="V30" s="330"/>
      <c r="W30" s="330"/>
      <c r="X30" s="507"/>
      <c r="Y30" s="508"/>
      <c r="Z30" s="508"/>
      <c r="AA30" s="508"/>
      <c r="AB30" s="508"/>
      <c r="AC30" s="508"/>
      <c r="AD30" s="508"/>
      <c r="AE30" s="508"/>
      <c r="AF30" s="509"/>
      <c r="AG30" s="331"/>
      <c r="AH30" s="116"/>
    </row>
    <row r="31" spans="1:34" ht="18.75" customHeight="1">
      <c r="A31" s="116"/>
      <c r="B31" s="323"/>
      <c r="C31" s="544" t="s">
        <v>29</v>
      </c>
      <c r="D31" s="545"/>
      <c r="E31" s="438">
        <v>59</v>
      </c>
      <c r="F31" s="439">
        <v>0</v>
      </c>
      <c r="G31" s="440">
        <v>44</v>
      </c>
      <c r="H31" s="440">
        <v>13</v>
      </c>
      <c r="I31" s="441">
        <v>0</v>
      </c>
      <c r="J31" s="438">
        <v>13</v>
      </c>
      <c r="K31" s="440">
        <v>0</v>
      </c>
      <c r="L31" s="403">
        <v>0</v>
      </c>
      <c r="M31" s="429">
        <v>0</v>
      </c>
      <c r="N31" s="404">
        <v>13</v>
      </c>
      <c r="O31" s="428">
        <v>13</v>
      </c>
      <c r="P31" s="440">
        <v>13</v>
      </c>
      <c r="Q31" s="440">
        <f>+COUNTIFS('2. Status Detalhe Campos FY24'!$C:$C,"*Verde*",'2. Status Detalhe Campos FY24'!$K:$K,"*"&amp;$P$25&amp;"*")</f>
        <v>0</v>
      </c>
      <c r="R31" s="441">
        <f t="shared" si="3"/>
        <v>13</v>
      </c>
      <c r="S31" s="330"/>
      <c r="T31" s="330"/>
      <c r="U31" s="330"/>
      <c r="V31" s="330"/>
      <c r="W31" s="330"/>
      <c r="X31" s="507"/>
      <c r="Y31" s="508"/>
      <c r="Z31" s="508"/>
      <c r="AA31" s="508"/>
      <c r="AB31" s="508"/>
      <c r="AC31" s="508"/>
      <c r="AD31" s="508"/>
      <c r="AE31" s="508"/>
      <c r="AF31" s="509"/>
      <c r="AG31" s="331"/>
      <c r="AH31" s="116"/>
    </row>
    <row r="32" spans="1:34" ht="18.75" customHeight="1">
      <c r="A32" s="116"/>
      <c r="B32" s="323"/>
      <c r="C32" s="386" t="s">
        <v>2356</v>
      </c>
      <c r="D32" s="391"/>
      <c r="E32" s="447">
        <v>59</v>
      </c>
      <c r="F32" s="448">
        <v>0</v>
      </c>
      <c r="G32" s="449">
        <v>44</v>
      </c>
      <c r="H32" s="449">
        <v>13</v>
      </c>
      <c r="I32" s="450">
        <v>0</v>
      </c>
      <c r="J32" s="447">
        <v>13</v>
      </c>
      <c r="K32" s="449">
        <v>0</v>
      </c>
      <c r="L32" s="451">
        <v>0</v>
      </c>
      <c r="M32" s="431">
        <v>0</v>
      </c>
      <c r="N32" s="452">
        <v>13</v>
      </c>
      <c r="O32" s="432">
        <v>13</v>
      </c>
      <c r="P32" s="449">
        <v>13</v>
      </c>
      <c r="Q32" s="449">
        <f>+COUNTIFS('2. Status Detalhe Campos FY24'!$C:$C,"*Verde*",'2. Status Detalhe Campos FY24'!$K:$K,"*"&amp;$P$25&amp;"*",'2. Status Detalhe Campos FY24'!Y:Y,"*anterior*")</f>
        <v>0</v>
      </c>
      <c r="R32" s="450">
        <f t="shared" si="3"/>
        <v>13</v>
      </c>
      <c r="S32" s="330"/>
      <c r="T32" s="330"/>
      <c r="U32" s="330"/>
      <c r="V32" s="330"/>
      <c r="W32" s="330"/>
      <c r="X32" s="507"/>
      <c r="Y32" s="508"/>
      <c r="Z32" s="508"/>
      <c r="AA32" s="508"/>
      <c r="AB32" s="508"/>
      <c r="AC32" s="508"/>
      <c r="AD32" s="508"/>
      <c r="AE32" s="508"/>
      <c r="AF32" s="509"/>
      <c r="AG32" s="331"/>
      <c r="AH32" s="116"/>
    </row>
    <row r="33" spans="1:34" ht="18.75" customHeight="1">
      <c r="A33" s="116"/>
      <c r="B33" s="323"/>
      <c r="C33" s="390" t="s">
        <v>2355</v>
      </c>
      <c r="D33" s="392"/>
      <c r="E33" s="453">
        <v>0</v>
      </c>
      <c r="F33" s="454">
        <v>0</v>
      </c>
      <c r="G33" s="455">
        <v>0</v>
      </c>
      <c r="H33" s="455">
        <v>0</v>
      </c>
      <c r="I33" s="456">
        <v>0</v>
      </c>
      <c r="J33" s="453">
        <v>0</v>
      </c>
      <c r="K33" s="455">
        <v>0</v>
      </c>
      <c r="L33" s="457">
        <v>0</v>
      </c>
      <c r="M33" s="433">
        <v>0</v>
      </c>
      <c r="N33" s="458">
        <v>0</v>
      </c>
      <c r="O33" s="434">
        <v>0</v>
      </c>
      <c r="P33" s="449">
        <f>+COUNTIFS('2. Status Detalhe Campos FY24'!$C:$C,"*Verde*",'2. Status Detalhe Campos FY24'!$K:$K,"*"&amp;$P$25&amp;"*",'2. Status Detalhe Campos FY24'!X:X,"*anterior*")</f>
        <v>0</v>
      </c>
      <c r="Q33" s="455">
        <f>+COUNTIFS('2. Status Detalhe Campos FY24'!$C:$C,"*Verde*",'2. Status Detalhe Campos FY24'!$K:$K,"*"&amp;$P$25&amp;"*",'2. Status Detalhe Campos FY24'!Y:Y,"*Novo Plano*")</f>
        <v>0</v>
      </c>
      <c r="R33" s="456">
        <f t="shared" si="3"/>
        <v>0</v>
      </c>
      <c r="S33" s="330"/>
      <c r="T33" s="330"/>
      <c r="U33" s="330"/>
      <c r="V33" s="330"/>
      <c r="W33" s="330"/>
      <c r="X33" s="507"/>
      <c r="Y33" s="508"/>
      <c r="Z33" s="508"/>
      <c r="AA33" s="508"/>
      <c r="AB33" s="508"/>
      <c r="AC33" s="508"/>
      <c r="AD33" s="508"/>
      <c r="AE33" s="508"/>
      <c r="AF33" s="509"/>
      <c r="AG33" s="331"/>
      <c r="AH33" s="116"/>
    </row>
    <row r="34" spans="1:34" ht="18.75" customHeight="1">
      <c r="A34" s="116"/>
      <c r="B34" s="323"/>
      <c r="C34" s="544" t="s">
        <v>2332</v>
      </c>
      <c r="D34" s="545"/>
      <c r="E34" s="438">
        <v>15</v>
      </c>
      <c r="F34" s="439">
        <v>12</v>
      </c>
      <c r="G34" s="440">
        <v>2</v>
      </c>
      <c r="H34" s="440">
        <v>1</v>
      </c>
      <c r="I34" s="441">
        <v>0</v>
      </c>
      <c r="J34" s="438">
        <v>13</v>
      </c>
      <c r="K34" s="440">
        <v>9</v>
      </c>
      <c r="L34" s="403">
        <f>4+6</f>
        <v>10</v>
      </c>
      <c r="M34" s="429">
        <f>2+2</f>
        <v>4</v>
      </c>
      <c r="N34" s="404">
        <f>7+1</f>
        <v>8</v>
      </c>
      <c r="O34" s="428">
        <v>0</v>
      </c>
      <c r="P34" s="440">
        <f>+L34</f>
        <v>10</v>
      </c>
      <c r="Q34" s="440">
        <f>+COUNTIFS('2. Status Detalhe Campos FY24'!$C:$C,"*Pilar*",'2. Status Detalhe Campos FY24'!$K:$K,"*"&amp;$P$25&amp;"*")</f>
        <v>0</v>
      </c>
      <c r="R34" s="441">
        <f t="shared" si="3"/>
        <v>10</v>
      </c>
      <c r="S34" s="330"/>
      <c r="T34" s="330"/>
      <c r="U34" s="330"/>
      <c r="V34" s="330"/>
      <c r="W34" s="330"/>
      <c r="X34" s="507"/>
      <c r="Y34" s="508"/>
      <c r="Z34" s="508"/>
      <c r="AA34" s="508"/>
      <c r="AB34" s="508"/>
      <c r="AC34" s="508"/>
      <c r="AD34" s="508"/>
      <c r="AE34" s="508"/>
      <c r="AF34" s="509"/>
      <c r="AG34" s="331"/>
      <c r="AH34" s="116"/>
    </row>
    <row r="35" spans="1:34" ht="18.75" customHeight="1">
      <c r="A35" s="116"/>
      <c r="B35" s="323"/>
      <c r="C35" s="386" t="s">
        <v>2356</v>
      </c>
      <c r="D35" s="393"/>
      <c r="E35" s="447">
        <v>8</v>
      </c>
      <c r="F35" s="448">
        <v>3</v>
      </c>
      <c r="G35" s="449">
        <v>0</v>
      </c>
      <c r="H35" s="449">
        <v>1</v>
      </c>
      <c r="I35" s="450">
        <v>0</v>
      </c>
      <c r="J35" s="447">
        <v>4</v>
      </c>
      <c r="K35" s="449">
        <v>1</v>
      </c>
      <c r="L35" s="451">
        <f>4+0</f>
        <v>4</v>
      </c>
      <c r="M35" s="435">
        <f>0+0</f>
        <v>0</v>
      </c>
      <c r="N35" s="452">
        <f>4+1</f>
        <v>5</v>
      </c>
      <c r="O35" s="432">
        <v>0</v>
      </c>
      <c r="P35" s="449">
        <f>+L35</f>
        <v>4</v>
      </c>
      <c r="Q35" s="449">
        <f>+COUNTIFS('2. Status Detalhe Campos FY24'!$C:$C,"*Pilar*",'2. Status Detalhe Campos FY24'!$K:$K,"*"&amp;$P$25&amp;"*",'2. Status Detalhe Campos FY24'!Y:Y,"*anterior*")</f>
        <v>0</v>
      </c>
      <c r="R35" s="450">
        <f t="shared" si="3"/>
        <v>4</v>
      </c>
      <c r="S35" s="330"/>
      <c r="T35" s="330"/>
      <c r="U35" s="330"/>
      <c r="V35" s="330"/>
      <c r="W35" s="330"/>
      <c r="X35" s="507"/>
      <c r="Y35" s="508"/>
      <c r="Z35" s="508"/>
      <c r="AA35" s="508"/>
      <c r="AB35" s="508"/>
      <c r="AC35" s="508"/>
      <c r="AD35" s="508"/>
      <c r="AE35" s="508"/>
      <c r="AF35" s="509"/>
      <c r="AG35" s="331"/>
      <c r="AH35" s="116"/>
    </row>
    <row r="36" spans="1:34" ht="18.75" customHeight="1">
      <c r="A36" s="116"/>
      <c r="B36" s="323"/>
      <c r="C36" s="390" t="s">
        <v>2355</v>
      </c>
      <c r="D36" s="392"/>
      <c r="E36" s="453">
        <v>7</v>
      </c>
      <c r="F36" s="454">
        <v>5</v>
      </c>
      <c r="G36" s="455">
        <v>2</v>
      </c>
      <c r="H36" s="455">
        <v>0</v>
      </c>
      <c r="I36" s="456">
        <v>0</v>
      </c>
      <c r="J36" s="453">
        <v>5</v>
      </c>
      <c r="K36" s="455">
        <v>8</v>
      </c>
      <c r="L36" s="502">
        <f>0+6</f>
        <v>6</v>
      </c>
      <c r="M36" s="487">
        <f>2+2</f>
        <v>4</v>
      </c>
      <c r="N36" s="503">
        <f>3+0</f>
        <v>3</v>
      </c>
      <c r="O36" s="434">
        <v>0</v>
      </c>
      <c r="P36" s="449">
        <f>+L36</f>
        <v>6</v>
      </c>
      <c r="Q36" s="455">
        <f>+COUNTIFS('2. Status Detalhe Campos FY24'!$C:$C,"*Pilar*",'2. Status Detalhe Campos FY24'!$K:$K,"*"&amp;$P$25&amp;"*",'2. Status Detalhe Campos FY24'!Y:Y,"*Novo Plano*")</f>
        <v>0</v>
      </c>
      <c r="R36" s="456">
        <f t="shared" si="3"/>
        <v>6</v>
      </c>
      <c r="S36" s="330"/>
      <c r="T36" s="330"/>
      <c r="U36" s="330"/>
      <c r="V36" s="330"/>
      <c r="W36" s="330"/>
      <c r="X36" s="507"/>
      <c r="Y36" s="508"/>
      <c r="Z36" s="508"/>
      <c r="AA36" s="508"/>
      <c r="AB36" s="508"/>
      <c r="AC36" s="508"/>
      <c r="AD36" s="508"/>
      <c r="AE36" s="508"/>
      <c r="AF36" s="509"/>
      <c r="AG36" s="331"/>
      <c r="AH36" s="116"/>
    </row>
    <row r="37" spans="1:34" ht="18.75" customHeight="1">
      <c r="A37" s="116"/>
      <c r="B37" s="323"/>
      <c r="C37" s="546" t="s">
        <v>2326</v>
      </c>
      <c r="D37" s="547"/>
      <c r="E37" s="459">
        <v>18</v>
      </c>
      <c r="F37" s="460">
        <v>12</v>
      </c>
      <c r="G37" s="461">
        <v>46</v>
      </c>
      <c r="H37" s="465">
        <v>14</v>
      </c>
      <c r="I37" s="465">
        <v>0</v>
      </c>
      <c r="J37" s="459">
        <v>26</v>
      </c>
      <c r="K37" s="461">
        <v>9</v>
      </c>
      <c r="L37" s="462">
        <f>+L34+L31+L28</f>
        <v>10</v>
      </c>
      <c r="M37" s="463">
        <f>+M34+M31+M28</f>
        <v>4</v>
      </c>
      <c r="N37" s="464">
        <f>+N34+N31+N28</f>
        <v>21</v>
      </c>
      <c r="O37" s="465">
        <v>0</v>
      </c>
      <c r="P37" s="461">
        <f>+SUM(P28,P31,P34)</f>
        <v>23</v>
      </c>
      <c r="Q37" s="461">
        <f>+SUM(Q28,Q31,Q34)</f>
        <v>0</v>
      </c>
      <c r="R37" s="465">
        <f>+SUM(R28,R31,R34)</f>
        <v>23</v>
      </c>
      <c r="S37" s="330"/>
      <c r="T37" s="330"/>
      <c r="U37" s="330"/>
      <c r="V37" s="330"/>
      <c r="W37" s="330"/>
      <c r="X37" s="507"/>
      <c r="Y37" s="508"/>
      <c r="Z37" s="508"/>
      <c r="AA37" s="508"/>
      <c r="AB37" s="508"/>
      <c r="AC37" s="508"/>
      <c r="AD37" s="508"/>
      <c r="AE37" s="508"/>
      <c r="AF37" s="509"/>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7"/>
      <c r="Y38" s="508"/>
      <c r="Z38" s="508"/>
      <c r="AA38" s="508"/>
      <c r="AB38" s="508"/>
      <c r="AC38" s="508"/>
      <c r="AD38" s="508"/>
      <c r="AE38" s="508"/>
      <c r="AF38" s="509"/>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7"/>
      <c r="Y39" s="508"/>
      <c r="Z39" s="508"/>
      <c r="AA39" s="508"/>
      <c r="AB39" s="508"/>
      <c r="AC39" s="508"/>
      <c r="AD39" s="508"/>
      <c r="AE39" s="508"/>
      <c r="AF39" s="509"/>
      <c r="AG39" s="331"/>
      <c r="AH39" s="116"/>
    </row>
    <row r="40" spans="1:34" ht="19.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7"/>
      <c r="Y40" s="508"/>
      <c r="Z40" s="508"/>
      <c r="AA40" s="508"/>
      <c r="AB40" s="508"/>
      <c r="AC40" s="508"/>
      <c r="AD40" s="508"/>
      <c r="AE40" s="508"/>
      <c r="AF40" s="509"/>
      <c r="AG40" s="331"/>
      <c r="AH40" s="116"/>
    </row>
    <row r="41" spans="1:34" ht="19.75"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07"/>
      <c r="Y41" s="508"/>
      <c r="Z41" s="508"/>
      <c r="AA41" s="508"/>
      <c r="AB41" s="508"/>
      <c r="AC41" s="508"/>
      <c r="AD41" s="508"/>
      <c r="AE41" s="508"/>
      <c r="AF41" s="509"/>
      <c r="AG41" s="331"/>
      <c r="AH41" s="116"/>
    </row>
    <row r="42" spans="1:34" ht="19.75"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07"/>
      <c r="Y42" s="508"/>
      <c r="Z42" s="508"/>
      <c r="AA42" s="508"/>
      <c r="AB42" s="508"/>
      <c r="AC42" s="508"/>
      <c r="AD42" s="508"/>
      <c r="AE42" s="508"/>
      <c r="AF42" s="509"/>
      <c r="AG42" s="331"/>
      <c r="AH42" s="116"/>
    </row>
    <row r="43" spans="1:34" ht="19.75"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07"/>
      <c r="Y43" s="508"/>
      <c r="Z43" s="508"/>
      <c r="AA43" s="508"/>
      <c r="AB43" s="508"/>
      <c r="AC43" s="508"/>
      <c r="AD43" s="508"/>
      <c r="AE43" s="508"/>
      <c r="AF43" s="509"/>
      <c r="AG43" s="331"/>
      <c r="AH43" s="116"/>
    </row>
    <row r="44" spans="1:34" ht="19.75" customHeight="1">
      <c r="A44" s="116"/>
      <c r="B44" s="323"/>
      <c r="C44" s="330"/>
      <c r="D44" s="330"/>
      <c r="E44" s="330"/>
      <c r="F44" s="330"/>
      <c r="G44" s="330"/>
      <c r="H44" s="330"/>
      <c r="I44" s="330"/>
      <c r="J44" s="330"/>
      <c r="K44" s="330"/>
      <c r="L44" s="330"/>
      <c r="M44" s="330"/>
      <c r="N44" s="330"/>
      <c r="O44" s="330"/>
      <c r="P44" s="330"/>
      <c r="Q44" s="330"/>
      <c r="R44" s="330"/>
      <c r="S44" s="330"/>
      <c r="T44" s="330"/>
      <c r="U44" s="330"/>
      <c r="V44" s="330"/>
      <c r="W44" s="330"/>
      <c r="X44" s="507"/>
      <c r="Y44" s="508"/>
      <c r="Z44" s="508"/>
      <c r="AA44" s="508"/>
      <c r="AB44" s="508"/>
      <c r="AC44" s="508"/>
      <c r="AD44" s="508"/>
      <c r="AE44" s="508"/>
      <c r="AF44" s="509"/>
      <c r="AG44" s="331"/>
      <c r="AH44" s="116"/>
    </row>
    <row r="45" spans="1:34" ht="18.75" customHeight="1">
      <c r="A45" s="116"/>
      <c r="B45" s="323"/>
      <c r="C45" s="330"/>
      <c r="D45" s="330"/>
      <c r="E45" s="330"/>
      <c r="F45" s="330"/>
      <c r="G45" s="330"/>
      <c r="H45" s="330"/>
      <c r="I45" s="330"/>
      <c r="J45" s="330"/>
      <c r="K45" s="330"/>
      <c r="L45" s="330"/>
      <c r="M45" s="330"/>
      <c r="N45" s="330"/>
      <c r="O45" s="330"/>
      <c r="P45" s="330"/>
      <c r="Q45" s="330"/>
      <c r="R45" s="330"/>
      <c r="S45" s="330"/>
      <c r="T45" s="330"/>
      <c r="U45" s="330"/>
      <c r="V45" s="330"/>
      <c r="W45" s="330"/>
      <c r="X45" s="510"/>
      <c r="Y45" s="511"/>
      <c r="Z45" s="511"/>
      <c r="AA45" s="511"/>
      <c r="AB45" s="511"/>
      <c r="AC45" s="511"/>
      <c r="AD45" s="511"/>
      <c r="AE45" s="511"/>
      <c r="AF45" s="512"/>
      <c r="AG45" s="331"/>
      <c r="AH45" s="116"/>
    </row>
    <row r="46" spans="1:34">
      <c r="A46" s="116"/>
      <c r="B46" s="381">
        <v>1</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82">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3">
      <c r="A48" s="116"/>
      <c r="B48" s="126" t="s">
        <v>2327</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15"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45744</v>
      </c>
      <c r="U51" s="131">
        <f>T51+7</f>
        <v>45751</v>
      </c>
      <c r="V51" s="132" t="s">
        <v>609</v>
      </c>
      <c r="X51" s="155" t="s">
        <v>610</v>
      </c>
      <c r="AG51" s="122"/>
      <c r="AH51" s="116"/>
    </row>
    <row r="52" spans="1:34" ht="17.899999999999999" customHeight="1">
      <c r="A52" s="116"/>
      <c r="B52" s="121"/>
      <c r="P52" s="371" t="s">
        <v>611</v>
      </c>
      <c r="Q52" s="371"/>
      <c r="R52" s="371"/>
      <c r="S52" s="371"/>
      <c r="T52" s="371">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1">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1">
        <f t="shared" ref="V52:V78" si="4">U52-T52</f>
        <v>0</v>
      </c>
      <c r="X52" s="521" t="s">
        <v>2466</v>
      </c>
      <c r="Y52" s="522"/>
      <c r="Z52" s="522"/>
      <c r="AA52" s="522"/>
      <c r="AB52" s="522"/>
      <c r="AC52" s="522"/>
      <c r="AD52" s="522"/>
      <c r="AE52" s="522"/>
      <c r="AF52" s="523"/>
      <c r="AG52" s="163"/>
      <c r="AH52" s="116"/>
    </row>
    <row r="53" spans="1:34" ht="17.899999999999999" customHeight="1">
      <c r="A53" s="116"/>
      <c r="B53" s="121"/>
      <c r="P53" s="372" t="s">
        <v>2356</v>
      </c>
      <c r="Q53" s="373"/>
      <c r="R53" s="373"/>
      <c r="S53" s="373"/>
      <c r="T53" s="442">
        <f>COUNTIFS('2. Status Detalhe Campos FY24'!$H$7:$H$740,'1. Status Resumo FY24'!$P52,'2. Status Detalhe Campos FY24'!$C$7:$C$740,'1. Status Resumo FY24'!$G$48,'2. Status Detalhe Campos FY24'!$D$7:$D$740,"2. Campo",'2. Status Detalhe Campos FY24'!$Y$7:$Y$740,"*Plano anterior*")
+COUNTIFS('2. Status Detalhe Campos FY24'!$H$7:$H$740,'1. Status Resumo FY24'!$P52,'2. Status Detalhe Campos FY24'!$C$7:$C$740,'1. Status Resumo FY24'!$H$48,'2. Status Detalhe Campos FY24'!$D$7:$D$740,"2. Campo",'2. Status Detalhe Campos FY24'!$Y$7:$Y$740,"*Plano anterior*")</f>
        <v>12</v>
      </c>
      <c r="U53" s="442">
        <f>COUNTIFS('2. Status Detalhe Campos FY24'!$G$7:$G$740,'1. Status Resumo FY24'!$P52,'2. Status Detalhe Campos FY24'!$C$7:$C$740,'1. Status Resumo FY24'!$G$48,'2. Status Detalhe Campos FY24'!$D$7:$D$740,"2. Campo",'2. Status Detalhe Campos FY24'!$Y$7:$Y$740,"*Plano anterior*")
+COUNTIFS('2. Status Detalhe Campos FY24'!$G$7:$G$740,'1. Status Resumo FY24'!$P52,'2. Status Detalhe Campos FY24'!$C$7:$C$740,'1. Status Resumo FY24'!$H$48,'2. Status Detalhe Campos FY24'!$D$7:$D$740,"2. Campo",'2. Status Detalhe Campos FY24'!$Y$7:$Y$740,"*Plano anterior*")</f>
        <v>12</v>
      </c>
      <c r="V53" s="442">
        <f t="shared" si="4"/>
        <v>0</v>
      </c>
      <c r="X53" s="524"/>
      <c r="Y53" s="525"/>
      <c r="Z53" s="525"/>
      <c r="AA53" s="525"/>
      <c r="AB53" s="525"/>
      <c r="AC53" s="525"/>
      <c r="AD53" s="525"/>
      <c r="AE53" s="525"/>
      <c r="AF53" s="526"/>
      <c r="AG53" s="163"/>
      <c r="AH53" s="116"/>
    </row>
    <row r="54" spans="1:34" ht="17.899999999999999" customHeight="1">
      <c r="A54" s="116"/>
      <c r="B54" s="121"/>
      <c r="P54" s="372" t="s">
        <v>2355</v>
      </c>
      <c r="Q54" s="373"/>
      <c r="R54" s="373"/>
      <c r="S54" s="373"/>
      <c r="T54" s="442">
        <f>COUNTIFS('2. Status Detalhe Campos FY24'!$H$7:$H$740,'1. Status Resumo FY24'!$P53,'2. Status Detalhe Campos FY24'!$C$7:$C$740,'1. Status Resumo FY24'!$G$48,'2. Status Detalhe Campos FY24'!$D$7:$D$740,"2. Campo",'2. Status Detalhe Campos FY24'!$Y$7:$Y$740,"*Novo Plano*")
+COUNTIFS('2. Status Detalhe Campos FY24'!$H$7:$H$740,'1. Status Resumo FY24'!$P53,'2. Status Detalhe Campos FY24'!$C$7:$C$740,'1. Status Resumo FY24'!$H$48,'2. Status Detalhe Campos FY24'!$D$7:$D$740,"2. Campo",'2. Status Detalhe Campos FY24'!$Y$7:$Y$740,"*Novo Plano*")</f>
        <v>0</v>
      </c>
      <c r="U54" s="442">
        <f>COUNTIFS('2. Status Detalhe Campos FY24'!$G$7:$G$740,'1. Status Resumo FY24'!$P52,'2. Status Detalhe Campos FY24'!$C$7:$C$740,'1. Status Resumo FY24'!$G$48,'2. Status Detalhe Campos FY24'!$D$7:$D$740,"2. Campo",'2. Status Detalhe Campos FY24'!$Y$7:$Y$740,"*Novo Plano*")
+COUNTIFS('2. Status Detalhe Campos FY24'!$G$7:$G$740,'1. Status Resumo FY24'!$P52,'2. Status Detalhe Campos FY24'!$C$7:$C$740,'1. Status Resumo FY24'!$H$48,'2. Status Detalhe Campos FY24'!$D$7:$D$740,"2. Campo",'2. Status Detalhe Campos FY24'!$Y$7:$Y$740,"*Novo Plano*")</f>
        <v>0</v>
      </c>
      <c r="V54" s="442">
        <f t="shared" si="4"/>
        <v>0</v>
      </c>
      <c r="X54" s="524"/>
      <c r="Y54" s="525"/>
      <c r="Z54" s="525"/>
      <c r="AA54" s="525"/>
      <c r="AB54" s="525"/>
      <c r="AC54" s="525"/>
      <c r="AD54" s="525"/>
      <c r="AE54" s="525"/>
      <c r="AF54" s="526"/>
      <c r="AG54" s="163"/>
      <c r="AH54" s="116"/>
    </row>
    <row r="55" spans="1:34">
      <c r="A55" s="116"/>
      <c r="B55" s="121"/>
      <c r="P55" s="370" t="s">
        <v>612</v>
      </c>
      <c r="Q55" s="370"/>
      <c r="R55" s="370"/>
      <c r="S55" s="370"/>
      <c r="T55" s="370">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195</v>
      </c>
      <c r="U55" s="370">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195</v>
      </c>
      <c r="V55" s="370">
        <f t="shared" si="4"/>
        <v>0</v>
      </c>
      <c r="X55" s="524"/>
      <c r="Y55" s="525"/>
      <c r="Z55" s="525"/>
      <c r="AA55" s="525"/>
      <c r="AB55" s="525"/>
      <c r="AC55" s="525"/>
      <c r="AD55" s="525"/>
      <c r="AE55" s="525"/>
      <c r="AF55" s="526"/>
      <c r="AG55" s="163"/>
      <c r="AH55" s="116"/>
    </row>
    <row r="56" spans="1:34">
      <c r="A56" s="116"/>
      <c r="B56" s="121"/>
      <c r="P56" s="372" t="s">
        <v>2356</v>
      </c>
      <c r="Q56" s="373"/>
      <c r="R56" s="373"/>
      <c r="S56" s="373"/>
      <c r="T56" s="442">
        <f>COUNTIFS('2. Status Detalhe Campos FY24'!$H$7:$H$740,'1. Status Resumo FY24'!$P55,'2. Status Detalhe Campos FY24'!$C$7:$C$740,'1. Status Resumo FY24'!$G$48,'2. Status Detalhe Campos FY24'!$D$7:$D$740,"2. Campo",'2. Status Detalhe Campos FY24'!$Y$7:$Y$740,"*Plano anterior*")
+COUNTIFS('2. Status Detalhe Campos FY24'!$H$7:$H$740,'1. Status Resumo FY24'!$P55,'2. Status Detalhe Campos FY24'!$C$7:$C$740,'1. Status Resumo FY24'!$H$48,'2. Status Detalhe Campos FY24'!$D$7:$D$740,"2. Campo",'2. Status Detalhe Campos FY24'!$Y$7:$Y$740,"*Plano anterior*")</f>
        <v>195</v>
      </c>
      <c r="U56" s="442">
        <f>COUNTIFS('2. Status Detalhe Campos FY24'!$G$7:$G$740,'1. Status Resumo FY24'!$P55,'2. Status Detalhe Campos FY24'!$C$7:$C$740,'1. Status Resumo FY24'!$G$48,'2. Status Detalhe Campos FY24'!$D$7:$D$740,"2. Campo",'2. Status Detalhe Campos FY24'!$Y$7:$Y$740,"*Plano anterior*")
+COUNTIFS('2. Status Detalhe Campos FY24'!$G$7:$G$740,'1. Status Resumo FY24'!$P55,'2. Status Detalhe Campos FY24'!$C$7:$C$740,'1. Status Resumo FY24'!$H$48,'2. Status Detalhe Campos FY24'!$D$7:$D$740,"2. Campo",'2. Status Detalhe Campos FY24'!$Y$7:$Y$740,"*Plano anterior*")</f>
        <v>195</v>
      </c>
      <c r="V56" s="442">
        <f t="shared" si="4"/>
        <v>0</v>
      </c>
      <c r="X56" s="524"/>
      <c r="Y56" s="525"/>
      <c r="Z56" s="525"/>
      <c r="AA56" s="525"/>
      <c r="AB56" s="525"/>
      <c r="AC56" s="525"/>
      <c r="AD56" s="525"/>
      <c r="AE56" s="525"/>
      <c r="AF56" s="526"/>
      <c r="AG56" s="163"/>
      <c r="AH56" s="116"/>
    </row>
    <row r="57" spans="1:34">
      <c r="A57" s="116"/>
      <c r="B57" s="121"/>
      <c r="P57" s="372" t="s">
        <v>2355</v>
      </c>
      <c r="Q57" s="375"/>
      <c r="R57" s="375"/>
      <c r="S57" s="375"/>
      <c r="T57" s="443">
        <f>COUNTIFS('2. Status Detalhe Campos FY24'!$H$7:$H$740,'1. Status Resumo FY24'!$P56,'2. Status Detalhe Campos FY24'!$C$7:$C$740,'1. Status Resumo FY24'!$G$48,'2. Status Detalhe Campos FY24'!$D$7:$D$740,"2. Campo",'2. Status Detalhe Campos FY24'!$Y$7:$Y$740,"*Novo Plano*")
+COUNTIFS('2. Status Detalhe Campos FY24'!$H$7:$H$740,'1. Status Resumo FY24'!$P56,'2. Status Detalhe Campos FY24'!$C$7:$C$740,'1. Status Resumo FY24'!$H$48,'2. Status Detalhe Campos FY24'!$D$7:$D$740,"2. Campo",'2. Status Detalhe Campos FY24'!$Y$7:$Y$740,"*Novo Plano*")</f>
        <v>0</v>
      </c>
      <c r="U57" s="443">
        <f>COUNTIFS('2. Status Detalhe Campos FY24'!$G$7:$G$740,'1. Status Resumo FY24'!$P55,'2. Status Detalhe Campos FY24'!$C$7:$C$740,'1. Status Resumo FY24'!$G$48,'2. Status Detalhe Campos FY24'!$D$7:$D$740,"2. Campo",'2. Status Detalhe Campos FY24'!$Y$7:$Y$740,"*Novo Plano*")
+COUNTIFS('2. Status Detalhe Campos FY24'!$G$7:$G$740,'1. Status Resumo FY24'!$P55,'2. Status Detalhe Campos FY24'!$C$7:$C$740,'1. Status Resumo FY24'!$H$48,'2. Status Detalhe Campos FY24'!$D$7:$D$740,"2. Campo",'2. Status Detalhe Campos FY24'!$Y$7:$Y$740,"*Novo Plano*")</f>
        <v>0</v>
      </c>
      <c r="V57" s="443">
        <f t="shared" si="4"/>
        <v>0</v>
      </c>
      <c r="X57" s="524"/>
      <c r="Y57" s="525"/>
      <c r="Z57" s="525"/>
      <c r="AA57" s="525"/>
      <c r="AB57" s="525"/>
      <c r="AC57" s="525"/>
      <c r="AD57" s="525"/>
      <c r="AE57" s="525"/>
      <c r="AF57" s="526"/>
      <c r="AG57" s="163"/>
      <c r="AH57" s="116"/>
    </row>
    <row r="58" spans="1:34">
      <c r="A58" s="116"/>
      <c r="B58" s="121"/>
      <c r="P58" s="370" t="s">
        <v>1840</v>
      </c>
      <c r="Q58" s="370"/>
      <c r="R58" s="370"/>
      <c r="S58" s="370"/>
      <c r="T58" s="370">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0</v>
      </c>
      <c r="U58" s="370">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0</v>
      </c>
      <c r="V58" s="370">
        <f t="shared" si="4"/>
        <v>0</v>
      </c>
      <c r="X58" s="524"/>
      <c r="Y58" s="525"/>
      <c r="Z58" s="525"/>
      <c r="AA58" s="525"/>
      <c r="AB58" s="525"/>
      <c r="AC58" s="525"/>
      <c r="AD58" s="525"/>
      <c r="AE58" s="525"/>
      <c r="AF58" s="526"/>
      <c r="AG58" s="163"/>
      <c r="AH58" s="116"/>
    </row>
    <row r="59" spans="1:34">
      <c r="A59" s="116"/>
      <c r="B59" s="121"/>
      <c r="P59" s="372" t="s">
        <v>2356</v>
      </c>
      <c r="Q59" s="373"/>
      <c r="R59" s="373"/>
      <c r="S59" s="373"/>
      <c r="T59" s="442">
        <f>COUNTIFS('2. Status Detalhe Campos FY24'!$H$7:$H$740,'1. Status Resumo FY24'!$P58,'2. Status Detalhe Campos FY24'!$C$7:$C$740,'1. Status Resumo FY24'!$G$48,'2. Status Detalhe Campos FY24'!$D$7:$D$740,"2. Campo",'2. Status Detalhe Campos FY24'!$Y$7:$Y$740,"*Plano anterior*")
+COUNTIFS('2. Status Detalhe Campos FY24'!$H$7:$H$740,'1. Status Resumo FY24'!$P58,'2. Status Detalhe Campos FY24'!$C$7:$C$740,'1. Status Resumo FY24'!$H$48,'2. Status Detalhe Campos FY24'!$D$7:$D$740,"2. Campo",'2. Status Detalhe Campos FY24'!$Y$7:$Y$740,"*Plano anterior*")</f>
        <v>0</v>
      </c>
      <c r="U59" s="442">
        <f>COUNTIFS('2. Status Detalhe Campos FY24'!$G$7:$G$740,'1. Status Resumo FY24'!$P58,'2. Status Detalhe Campos FY24'!$C$7:$C$740,'1. Status Resumo FY24'!$G$48,'2. Status Detalhe Campos FY24'!$D$7:$D$740,"2. Campo",'2. Status Detalhe Campos FY24'!$Y$7:$Y$740,"*Plano anterior*")
+COUNTIFS('2. Status Detalhe Campos FY24'!$G$7:$G$740,'1. Status Resumo FY24'!$P58,'2. Status Detalhe Campos FY24'!$C$7:$C$740,'1. Status Resumo FY24'!$H$48,'2. Status Detalhe Campos FY24'!$D$7:$D$740,"2. Campo",'2. Status Detalhe Campos FY24'!$Y$7:$Y$740,"*Plano anterior*")</f>
        <v>0</v>
      </c>
      <c r="V59" s="442">
        <f t="shared" si="4"/>
        <v>0</v>
      </c>
      <c r="X59" s="524"/>
      <c r="Y59" s="525"/>
      <c r="Z59" s="525"/>
      <c r="AA59" s="525"/>
      <c r="AB59" s="525"/>
      <c r="AC59" s="525"/>
      <c r="AD59" s="525"/>
      <c r="AE59" s="525"/>
      <c r="AF59" s="526"/>
      <c r="AG59" s="163"/>
      <c r="AH59" s="116"/>
    </row>
    <row r="60" spans="1:34">
      <c r="A60" s="116"/>
      <c r="B60" s="121"/>
      <c r="P60" s="372" t="s">
        <v>2355</v>
      </c>
      <c r="Q60" s="375"/>
      <c r="R60" s="375"/>
      <c r="S60" s="375"/>
      <c r="T60" s="443">
        <f>COUNTIFS('2. Status Detalhe Campos FY24'!$H$7:$H$740,'1. Status Resumo FY24'!$P59,'2. Status Detalhe Campos FY24'!$C$7:$C$740,'1. Status Resumo FY24'!$G$48,'2. Status Detalhe Campos FY24'!$D$7:$D$740,"2. Campo",'2. Status Detalhe Campos FY24'!$Y$7:$Y$740,"*Novo Plano*")
+COUNTIFS('2. Status Detalhe Campos FY24'!$H$7:$H$740,'1. Status Resumo FY24'!$P59,'2. Status Detalhe Campos FY24'!$C$7:$C$740,'1. Status Resumo FY24'!$H$48,'2. Status Detalhe Campos FY24'!$D$7:$D$740,"2. Campo",'2. Status Detalhe Campos FY24'!$Y$7:$Y$740,"*Novo Plano*")</f>
        <v>0</v>
      </c>
      <c r="U60" s="443">
        <f>COUNTIFS('2. Status Detalhe Campos FY24'!$G$7:$G$740,'1. Status Resumo FY24'!$P58,'2. Status Detalhe Campos FY24'!$C$7:$C$740,'1. Status Resumo FY24'!$G$48,'2. Status Detalhe Campos FY24'!$D$7:$D$740,"2. Campo",'2. Status Detalhe Campos FY24'!$Y$7:$Y$740,"*Novo Plano*")
+COUNTIFS('2. Status Detalhe Campos FY24'!$G$7:$G$740,'1. Status Resumo FY24'!$P58,'2. Status Detalhe Campos FY24'!$C$7:$C$740,'1. Status Resumo FY24'!$H$48,'2. Status Detalhe Campos FY24'!$D$7:$D$740,"2. Campo",'2. Status Detalhe Campos FY24'!$Y$7:$Y$740,"*Novo Plano*")</f>
        <v>0</v>
      </c>
      <c r="V60" s="443">
        <f t="shared" si="4"/>
        <v>0</v>
      </c>
      <c r="X60" s="524"/>
      <c r="Y60" s="525"/>
      <c r="Z60" s="525"/>
      <c r="AA60" s="525"/>
      <c r="AB60" s="525"/>
      <c r="AC60" s="525"/>
      <c r="AD60" s="525"/>
      <c r="AE60" s="525"/>
      <c r="AF60" s="526"/>
      <c r="AG60" s="163"/>
      <c r="AH60" s="116"/>
    </row>
    <row r="61" spans="1:34">
      <c r="A61" s="116"/>
      <c r="B61" s="121"/>
      <c r="D61" s="530" t="str">
        <f>"# "&amp;U79</f>
        <v># 208</v>
      </c>
      <c r="E61" s="530"/>
      <c r="P61" s="370" t="s">
        <v>2319</v>
      </c>
      <c r="Q61" s="370"/>
      <c r="R61" s="370"/>
      <c r="S61" s="370"/>
      <c r="T61" s="370">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0">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0">
        <f t="shared" si="4"/>
        <v>0</v>
      </c>
      <c r="X61" s="524"/>
      <c r="Y61" s="525"/>
      <c r="Z61" s="525"/>
      <c r="AA61" s="525"/>
      <c r="AB61" s="525"/>
      <c r="AC61" s="525"/>
      <c r="AD61" s="525"/>
      <c r="AE61" s="525"/>
      <c r="AF61" s="526"/>
      <c r="AG61" s="163"/>
      <c r="AH61" s="116"/>
    </row>
    <row r="62" spans="1:34">
      <c r="A62" s="116"/>
      <c r="B62" s="121"/>
      <c r="D62" s="530"/>
      <c r="E62" s="530"/>
      <c r="P62" s="372" t="s">
        <v>2356</v>
      </c>
      <c r="Q62" s="373"/>
      <c r="R62" s="373"/>
      <c r="S62" s="373"/>
      <c r="T62" s="442">
        <f>COUNTIFS('2. Status Detalhe Campos FY24'!$H$7:$H$740,'1. Status Resumo FY24'!$P61,'2. Status Detalhe Campos FY24'!$C$7:$C$740,'1. Status Resumo FY24'!$G$48,'2. Status Detalhe Campos FY24'!$D$7:$D$740,"2. Campo",'2. Status Detalhe Campos FY24'!$Y$7:$Y$740,"*Plano anterior*")
+COUNTIFS('2. Status Detalhe Campos FY24'!$H$7:$H$740,'1. Status Resumo FY24'!$P61,'2. Status Detalhe Campos FY24'!$C$7:$C$740,'1. Status Resumo FY24'!$H$48,'2. Status Detalhe Campos FY24'!$D$7:$D$740,"2. Campo",'2. Status Detalhe Campos FY24'!$Y$7:$Y$740,"*Plano anterior*")</f>
        <v>0</v>
      </c>
      <c r="U62" s="442">
        <f>COUNTIFS('2. Status Detalhe Campos FY24'!$G$7:$G$740,'1. Status Resumo FY24'!$P61,'2. Status Detalhe Campos FY24'!$C$7:$C$740,'1. Status Resumo FY24'!$G$48,'2. Status Detalhe Campos FY24'!$D$7:$D$740,"2. Campo",'2. Status Detalhe Campos FY24'!$Y$7:$Y$740,"*Plano anterior*")
+COUNTIFS('2. Status Detalhe Campos FY24'!$G$7:$G$740,'1. Status Resumo FY24'!$P61,'2. Status Detalhe Campos FY24'!$C$7:$C$740,'1. Status Resumo FY24'!$H$48,'2. Status Detalhe Campos FY24'!$D$7:$D$740,"2. Campo",'2. Status Detalhe Campos FY24'!$Y$7:$Y$740,"*Plano anterior*")</f>
        <v>0</v>
      </c>
      <c r="V62" s="442">
        <f t="shared" si="4"/>
        <v>0</v>
      </c>
      <c r="X62" s="524"/>
      <c r="Y62" s="525"/>
      <c r="Z62" s="525"/>
      <c r="AA62" s="525"/>
      <c r="AB62" s="525"/>
      <c r="AC62" s="525"/>
      <c r="AD62" s="525"/>
      <c r="AE62" s="525"/>
      <c r="AF62" s="526"/>
      <c r="AG62" s="163"/>
      <c r="AH62" s="116"/>
    </row>
    <row r="63" spans="1:34">
      <c r="A63" s="116"/>
      <c r="B63" s="121"/>
      <c r="D63" s="530"/>
      <c r="E63" s="530"/>
      <c r="P63" s="372" t="s">
        <v>2355</v>
      </c>
      <c r="Q63" s="375"/>
      <c r="R63" s="375"/>
      <c r="S63" s="375"/>
      <c r="T63" s="443">
        <f>COUNTIFS('2. Status Detalhe Campos FY24'!$H$7:$H$740,'1. Status Resumo FY24'!$P62,'2. Status Detalhe Campos FY24'!$C$7:$C$740,'1. Status Resumo FY24'!$G$48,'2. Status Detalhe Campos FY24'!$D$7:$D$740,"2. Campo",'2. Status Detalhe Campos FY24'!$Y$7:$Y$740,"*Novo Plano*")
+COUNTIFS('2. Status Detalhe Campos FY24'!$H$7:$H$740,'1. Status Resumo FY24'!$P62,'2. Status Detalhe Campos FY24'!$C$7:$C$740,'1. Status Resumo FY24'!$H$48,'2. Status Detalhe Campos FY24'!$D$7:$D$740,"2. Campo",'2. Status Detalhe Campos FY24'!$Y$7:$Y$740,"*Novo Plano*")</f>
        <v>0</v>
      </c>
      <c r="U63" s="443">
        <f>COUNTIFS('2. Status Detalhe Campos FY24'!$G$7:$G$740,'1. Status Resumo FY24'!$P61,'2. Status Detalhe Campos FY24'!$C$7:$C$740,'1. Status Resumo FY24'!$G$48,'2. Status Detalhe Campos FY24'!$D$7:$D$740,"2. Campo",'2. Status Detalhe Campos FY24'!$Y$7:$Y$740,"*Novo Plano*")
+COUNTIFS('2. Status Detalhe Campos FY24'!$G$7:$G$740,'1. Status Resumo FY24'!$P61,'2. Status Detalhe Campos FY24'!$C$7:$C$740,'1. Status Resumo FY24'!$H$48,'2. Status Detalhe Campos FY24'!$D$7:$D$740,"2. Campo",'2. Status Detalhe Campos FY24'!$Y$7:$Y$740,"*Novo Plano*")</f>
        <v>0</v>
      </c>
      <c r="V63" s="443">
        <f t="shared" si="4"/>
        <v>0</v>
      </c>
      <c r="X63" s="524"/>
      <c r="Y63" s="525"/>
      <c r="Z63" s="525"/>
      <c r="AA63" s="525"/>
      <c r="AB63" s="525"/>
      <c r="AC63" s="525"/>
      <c r="AD63" s="525"/>
      <c r="AE63" s="525"/>
      <c r="AF63" s="526"/>
      <c r="AG63" s="163"/>
      <c r="AH63" s="116"/>
    </row>
    <row r="64" spans="1:34" ht="17.899999999999999" customHeight="1">
      <c r="A64" s="116"/>
      <c r="B64" s="121"/>
      <c r="D64" s="530"/>
      <c r="E64" s="530"/>
      <c r="P64" s="370" t="s">
        <v>613</v>
      </c>
      <c r="Q64" s="370"/>
      <c r="R64" s="370"/>
      <c r="S64" s="370"/>
      <c r="T64" s="370">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0">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0">
        <f t="shared" si="4"/>
        <v>0</v>
      </c>
      <c r="X64" s="524"/>
      <c r="Y64" s="525"/>
      <c r="Z64" s="525"/>
      <c r="AA64" s="525"/>
      <c r="AB64" s="525"/>
      <c r="AC64" s="525"/>
      <c r="AD64" s="525"/>
      <c r="AE64" s="525"/>
      <c r="AF64" s="526"/>
      <c r="AG64" s="163"/>
      <c r="AH64" s="116"/>
    </row>
    <row r="65" spans="1:34" ht="17.899999999999999" customHeight="1">
      <c r="A65" s="116"/>
      <c r="B65" s="121"/>
      <c r="D65" s="530"/>
      <c r="E65" s="530"/>
      <c r="P65" s="372" t="s">
        <v>2356</v>
      </c>
      <c r="Q65" s="373"/>
      <c r="R65" s="373"/>
      <c r="S65" s="373"/>
      <c r="T65" s="442">
        <f>COUNTIFS('2. Status Detalhe Campos FY24'!$H$7:$H$740,'1. Status Resumo FY24'!$P64,'2. Status Detalhe Campos FY24'!$C$7:$C$740,'1. Status Resumo FY24'!$G$48,'2. Status Detalhe Campos FY24'!$D$7:$D$740,"2. Campo",'2. Status Detalhe Campos FY24'!$Y$7:$Y$740,"*Plano anterior*")
+COUNTIFS('2. Status Detalhe Campos FY24'!$H$7:$H$740,'1. Status Resumo FY24'!$P64,'2. Status Detalhe Campos FY24'!$C$7:$C$740,'1. Status Resumo FY24'!$H$48,'2. Status Detalhe Campos FY24'!$D$7:$D$740,"2. Campo",'2. Status Detalhe Campos FY24'!$Y$7:$Y$740,"*Plano anterior*")</f>
        <v>0</v>
      </c>
      <c r="U65" s="442">
        <f>COUNTIFS('2. Status Detalhe Campos FY24'!$G$7:$G$740,'1. Status Resumo FY24'!$P64,'2. Status Detalhe Campos FY24'!$C$7:$C$740,'1. Status Resumo FY24'!$G$48,'2. Status Detalhe Campos FY24'!$D$7:$D$740,"2. Campo",'2. Status Detalhe Campos FY24'!$Y$7:$Y$740,"*Plano anterior*")
+COUNTIFS('2. Status Detalhe Campos FY24'!$G$7:$G$740,'1. Status Resumo FY24'!$P64,'2. Status Detalhe Campos FY24'!$C$7:$C$740,'1. Status Resumo FY24'!$H$48,'2. Status Detalhe Campos FY24'!$D$7:$D$740,"2. Campo",'2. Status Detalhe Campos FY24'!$Y$7:$Y$740,"*Plano anterior*")</f>
        <v>0</v>
      </c>
      <c r="V65" s="442">
        <f t="shared" si="4"/>
        <v>0</v>
      </c>
      <c r="X65" s="524"/>
      <c r="Y65" s="525"/>
      <c r="Z65" s="525"/>
      <c r="AA65" s="525"/>
      <c r="AB65" s="525"/>
      <c r="AC65" s="525"/>
      <c r="AD65" s="525"/>
      <c r="AE65" s="525"/>
      <c r="AF65" s="526"/>
      <c r="AG65" s="163"/>
      <c r="AH65" s="116"/>
    </row>
    <row r="66" spans="1:34" ht="17.899999999999999" customHeight="1">
      <c r="A66" s="116"/>
      <c r="B66" s="121"/>
      <c r="D66" s="530"/>
      <c r="E66" s="530"/>
      <c r="P66" s="372" t="s">
        <v>2355</v>
      </c>
      <c r="Q66" s="375"/>
      <c r="R66" s="375"/>
      <c r="S66" s="375"/>
      <c r="T66" s="443">
        <f>COUNTIFS('2. Status Detalhe Campos FY24'!$H$7:$H$740,'1. Status Resumo FY24'!$P65,'2. Status Detalhe Campos FY24'!$C$7:$C$740,'1. Status Resumo FY24'!$G$48,'2. Status Detalhe Campos FY24'!$D$7:$D$740,"2. Campo",'2. Status Detalhe Campos FY24'!$Y$7:$Y$740,"*Novo Plano*")
+COUNTIFS('2. Status Detalhe Campos FY24'!$H$7:$H$740,'1. Status Resumo FY24'!$P65,'2. Status Detalhe Campos FY24'!$C$7:$C$740,'1. Status Resumo FY24'!$H$48,'2. Status Detalhe Campos FY24'!$D$7:$D$740,"2. Campo",'2. Status Detalhe Campos FY24'!$Y$7:$Y$740,"*Novo Plano*")</f>
        <v>0</v>
      </c>
      <c r="U66" s="443">
        <f>COUNTIFS('2. Status Detalhe Campos FY24'!$G$7:$G$740,'1. Status Resumo FY24'!$P64,'2. Status Detalhe Campos FY24'!$C$7:$C$740,'1. Status Resumo FY24'!$G$48,'2. Status Detalhe Campos FY24'!$D$7:$D$740,"2. Campo",'2. Status Detalhe Campos FY24'!$Y$7:$Y$740,"*Novo Plano*")
+COUNTIFS('2. Status Detalhe Campos FY24'!$G$7:$G$740,'1. Status Resumo FY24'!$P64,'2. Status Detalhe Campos FY24'!$C$7:$C$740,'1. Status Resumo FY24'!$H$48,'2. Status Detalhe Campos FY24'!$D$7:$D$740,"2. Campo",'2. Status Detalhe Campos FY24'!$Y$7:$Y$740,"*Novo Plano*")</f>
        <v>0</v>
      </c>
      <c r="V66" s="443">
        <f t="shared" si="4"/>
        <v>0</v>
      </c>
      <c r="X66" s="524"/>
      <c r="Y66" s="525"/>
      <c r="Z66" s="525"/>
      <c r="AA66" s="525"/>
      <c r="AB66" s="525"/>
      <c r="AC66" s="525"/>
      <c r="AD66" s="525"/>
      <c r="AE66" s="525"/>
      <c r="AF66" s="526"/>
      <c r="AG66" s="163"/>
      <c r="AH66" s="116"/>
    </row>
    <row r="67" spans="1:34" ht="17.899999999999999" customHeight="1">
      <c r="A67" s="116"/>
      <c r="B67" s="121"/>
      <c r="D67" s="530"/>
      <c r="E67" s="530"/>
      <c r="P67" s="370" t="s">
        <v>614</v>
      </c>
      <c r="Q67" s="370"/>
      <c r="R67" s="370"/>
      <c r="S67" s="370"/>
      <c r="T67" s="370">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1</v>
      </c>
      <c r="U67" s="370">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1</v>
      </c>
      <c r="V67" s="370">
        <f t="shared" si="4"/>
        <v>0</v>
      </c>
      <c r="X67" s="524"/>
      <c r="Y67" s="525"/>
      <c r="Z67" s="525"/>
      <c r="AA67" s="525"/>
      <c r="AB67" s="525"/>
      <c r="AC67" s="525"/>
      <c r="AD67" s="525"/>
      <c r="AE67" s="525"/>
      <c r="AF67" s="526"/>
      <c r="AG67" s="163"/>
      <c r="AH67" s="116"/>
    </row>
    <row r="68" spans="1:34" ht="17.899999999999999" customHeight="1">
      <c r="A68" s="116"/>
      <c r="B68" s="121"/>
      <c r="D68" s="368"/>
      <c r="E68" s="368"/>
      <c r="P68" s="372" t="s">
        <v>2356</v>
      </c>
      <c r="Q68" s="373"/>
      <c r="R68" s="373"/>
      <c r="S68" s="373"/>
      <c r="T68" s="442">
        <f>COUNTIFS('2. Status Detalhe Campos FY24'!$H$7:$H$740,'1. Status Resumo FY24'!$P67,'2. Status Detalhe Campos FY24'!$C$7:$C$740,'1. Status Resumo FY24'!$G$48,'2. Status Detalhe Campos FY24'!$D$7:$D$740,"2. Campo",'2. Status Detalhe Campos FY24'!$Y$7:$Y$740,"*Plano anterior*")
+COUNTIFS('2. Status Detalhe Campos FY24'!$H$7:$H$740,'1. Status Resumo FY24'!$P67,'2. Status Detalhe Campos FY24'!$C$7:$C$740,'1. Status Resumo FY24'!$H$48,'2. Status Detalhe Campos FY24'!$D$7:$D$740,"2. Campo",'2. Status Detalhe Campos FY24'!$Y$7:$Y$740,"*Plano anterior*")</f>
        <v>1</v>
      </c>
      <c r="U68" s="442">
        <f>COUNTIFS('2. Status Detalhe Campos FY24'!$G$7:$G$740,'1. Status Resumo FY24'!$P67,'2. Status Detalhe Campos FY24'!$C$7:$C$740,'1. Status Resumo FY24'!$G$48,'2. Status Detalhe Campos FY24'!$D$7:$D$740,"2. Campo",'2. Status Detalhe Campos FY24'!$Y$7:$Y$740,"*Plano anterior*")
+COUNTIFS('2. Status Detalhe Campos FY24'!$G$7:$G$740,'1. Status Resumo FY24'!$P67,'2. Status Detalhe Campos FY24'!$C$7:$C$740,'1. Status Resumo FY24'!$H$48,'2. Status Detalhe Campos FY24'!$D$7:$D$740,"2. Campo",'2. Status Detalhe Campos FY24'!$Y$7:$Y$740,"*Plano anterior*")</f>
        <v>1</v>
      </c>
      <c r="V68" s="442">
        <f t="shared" si="4"/>
        <v>0</v>
      </c>
      <c r="X68" s="524"/>
      <c r="Y68" s="525"/>
      <c r="Z68" s="525"/>
      <c r="AA68" s="525"/>
      <c r="AB68" s="525"/>
      <c r="AC68" s="525"/>
      <c r="AD68" s="525"/>
      <c r="AE68" s="525"/>
      <c r="AF68" s="526"/>
      <c r="AG68" s="163"/>
      <c r="AH68" s="116"/>
    </row>
    <row r="69" spans="1:34" ht="17.899999999999999" customHeight="1">
      <c r="A69" s="116"/>
      <c r="B69" s="121"/>
      <c r="D69" s="368"/>
      <c r="E69" s="368"/>
      <c r="P69" s="372" t="s">
        <v>2355</v>
      </c>
      <c r="Q69" s="375"/>
      <c r="R69" s="375"/>
      <c r="S69" s="375"/>
      <c r="T69" s="443">
        <f>COUNTIFS('2. Status Detalhe Campos FY24'!$H$7:$H$740,'1. Status Resumo FY24'!$P68,'2. Status Detalhe Campos FY24'!$C$7:$C$740,'1. Status Resumo FY24'!$G$48,'2. Status Detalhe Campos FY24'!$D$7:$D$740,"2. Campo",'2. Status Detalhe Campos FY24'!$Y$7:$Y$740,"*Novo Plano*")
+COUNTIFS('2. Status Detalhe Campos FY24'!$H$7:$H$740,'1. Status Resumo FY24'!$P68,'2. Status Detalhe Campos FY24'!$C$7:$C$740,'1. Status Resumo FY24'!$H$48,'2. Status Detalhe Campos FY24'!$D$7:$D$740,"2. Campo",'2. Status Detalhe Campos FY24'!$Y$7:$Y$740,"*Novo Plano*")</f>
        <v>0</v>
      </c>
      <c r="U69" s="443">
        <f>COUNTIFS('2. Status Detalhe Campos FY24'!$G$7:$G$740,'1. Status Resumo FY24'!$P67,'2. Status Detalhe Campos FY24'!$C$7:$C$740,'1. Status Resumo FY24'!$G$48,'2. Status Detalhe Campos FY24'!$D$7:$D$740,"2. Campo",'2. Status Detalhe Campos FY24'!$Y$7:$Y$740,"*Novo Plano*")
+COUNTIFS('2. Status Detalhe Campos FY24'!$G$7:$G$740,'1. Status Resumo FY24'!$P67,'2. Status Detalhe Campos FY24'!$C$7:$C$740,'1. Status Resumo FY24'!$H$48,'2. Status Detalhe Campos FY24'!$D$7:$D$740,"2. Campo",'2. Status Detalhe Campos FY24'!$Y$7:$Y$740,"*Novo Plano*")</f>
        <v>0</v>
      </c>
      <c r="V69" s="443">
        <f t="shared" si="4"/>
        <v>0</v>
      </c>
      <c r="X69" s="524"/>
      <c r="Y69" s="525"/>
      <c r="Z69" s="525"/>
      <c r="AA69" s="525"/>
      <c r="AB69" s="525"/>
      <c r="AC69" s="525"/>
      <c r="AD69" s="525"/>
      <c r="AE69" s="525"/>
      <c r="AF69" s="526"/>
      <c r="AG69" s="163"/>
      <c r="AH69" s="116"/>
    </row>
    <row r="70" spans="1:34">
      <c r="A70" s="116"/>
      <c r="B70" s="121"/>
      <c r="P70" s="370" t="s">
        <v>615</v>
      </c>
      <c r="Q70" s="370"/>
      <c r="R70" s="370" t="s">
        <v>616</v>
      </c>
      <c r="S70" s="370"/>
      <c r="T70" s="370">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0">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0">
        <f t="shared" si="4"/>
        <v>0</v>
      </c>
      <c r="X70" s="524"/>
      <c r="Y70" s="525"/>
      <c r="Z70" s="525"/>
      <c r="AA70" s="525"/>
      <c r="AB70" s="525"/>
      <c r="AC70" s="525"/>
      <c r="AD70" s="525"/>
      <c r="AE70" s="525"/>
      <c r="AF70" s="526"/>
      <c r="AG70" s="163"/>
      <c r="AH70" s="116"/>
    </row>
    <row r="71" spans="1:34">
      <c r="A71" s="116"/>
      <c r="B71" s="121"/>
      <c r="P71" s="372" t="s">
        <v>2356</v>
      </c>
      <c r="Q71" s="373"/>
      <c r="R71" s="373"/>
      <c r="S71" s="373"/>
      <c r="T71" s="442">
        <f>COUNTIFS('2. Status Detalhe Campos FY24'!$H$7:$H$740,'1. Status Resumo FY24'!$P70,'2. Status Detalhe Campos FY24'!$C$7:$C$740,'1. Status Resumo FY24'!$G$48,'2. Status Detalhe Campos FY24'!$D$7:$D$740,"2. Campo",'2. Status Detalhe Campos FY24'!$Y$7:$Y$740,"*Plano anterior*")
+COUNTIFS('2. Status Detalhe Campos FY24'!$H$7:$H$740,'1. Status Resumo FY24'!$P70,'2. Status Detalhe Campos FY24'!$C$7:$C$740,'1. Status Resumo FY24'!$H$48,'2. Status Detalhe Campos FY24'!$D$7:$D$740,"2. Campo",'2. Status Detalhe Campos FY24'!$Y$7:$Y$740,"*Plano anterior*")</f>
        <v>0</v>
      </c>
      <c r="U71" s="442">
        <f>COUNTIFS('2. Status Detalhe Campos FY24'!$G$7:$G$740,'1. Status Resumo FY24'!$P70,'2. Status Detalhe Campos FY24'!$C$7:$C$740,'1. Status Resumo FY24'!$G$48,'2. Status Detalhe Campos FY24'!$D$7:$D$740,"2. Campo",'2. Status Detalhe Campos FY24'!$Y$7:$Y$740,"*Plano anterior*")
+COUNTIFS('2. Status Detalhe Campos FY24'!$G$7:$G$740,'1. Status Resumo FY24'!$P70,'2. Status Detalhe Campos FY24'!$C$7:$C$740,'1. Status Resumo FY24'!$H$48,'2. Status Detalhe Campos FY24'!$D$7:$D$740,"2. Campo",'2. Status Detalhe Campos FY24'!$Y$7:$Y$740,"*Plano anterior*")</f>
        <v>0</v>
      </c>
      <c r="V71" s="442">
        <f t="shared" si="4"/>
        <v>0</v>
      </c>
      <c r="X71" s="524"/>
      <c r="Y71" s="525"/>
      <c r="Z71" s="525"/>
      <c r="AA71" s="525"/>
      <c r="AB71" s="525"/>
      <c r="AC71" s="525"/>
      <c r="AD71" s="525"/>
      <c r="AE71" s="525"/>
      <c r="AF71" s="526"/>
      <c r="AG71" s="163"/>
      <c r="AH71" s="116"/>
    </row>
    <row r="72" spans="1:34">
      <c r="A72" s="116"/>
      <c r="B72" s="121"/>
      <c r="P72" s="372" t="s">
        <v>2355</v>
      </c>
      <c r="Q72" s="375"/>
      <c r="R72" s="375"/>
      <c r="S72" s="375"/>
      <c r="T72" s="443">
        <f>COUNTIFS('2. Status Detalhe Campos FY24'!$H$7:$H$740,'1. Status Resumo FY24'!$P71,'2. Status Detalhe Campos FY24'!$C$7:$C$740,'1. Status Resumo FY24'!$G$48,'2. Status Detalhe Campos FY24'!$D$7:$D$740,"2. Campo",'2. Status Detalhe Campos FY24'!$Y$7:$Y$740,"*Novo Plano*")
+COUNTIFS('2. Status Detalhe Campos FY24'!$H$7:$H$740,'1. Status Resumo FY24'!$P71,'2. Status Detalhe Campos FY24'!$C$7:$C$740,'1. Status Resumo FY24'!$H$48,'2. Status Detalhe Campos FY24'!$D$7:$D$740,"2. Campo",'2. Status Detalhe Campos FY24'!$Y$7:$Y$740,"*Novo Plano*")</f>
        <v>0</v>
      </c>
      <c r="U72" s="443">
        <f>COUNTIFS('2. Status Detalhe Campos FY24'!$G$7:$G$740,'1. Status Resumo FY24'!$P70,'2. Status Detalhe Campos FY24'!$C$7:$C$740,'1. Status Resumo FY24'!$G$48,'2. Status Detalhe Campos FY24'!$D$7:$D$740,"2. Campo",'2. Status Detalhe Campos FY24'!$Y$7:$Y$740,"*Novo Plano*")
+COUNTIFS('2. Status Detalhe Campos FY24'!$G$7:$G$740,'1. Status Resumo FY24'!$P70,'2. Status Detalhe Campos FY24'!$C$7:$C$740,'1. Status Resumo FY24'!$H$48,'2. Status Detalhe Campos FY24'!$D$7:$D$740,"2. Campo",'2. Status Detalhe Campos FY24'!$Y$7:$Y$740,"*Novo Plano*")</f>
        <v>0</v>
      </c>
      <c r="V72" s="443">
        <f t="shared" si="4"/>
        <v>0</v>
      </c>
      <c r="X72" s="524"/>
      <c r="Y72" s="525"/>
      <c r="Z72" s="525"/>
      <c r="AA72" s="525"/>
      <c r="AB72" s="525"/>
      <c r="AC72" s="525"/>
      <c r="AD72" s="525"/>
      <c r="AE72" s="525"/>
      <c r="AF72" s="526"/>
      <c r="AG72" s="163"/>
      <c r="AH72" s="116"/>
    </row>
    <row r="73" spans="1:34">
      <c r="A73" s="116"/>
      <c r="B73" s="121"/>
      <c r="P73" s="370" t="s">
        <v>2320</v>
      </c>
      <c r="Q73" s="370"/>
      <c r="R73" s="370"/>
      <c r="S73" s="370"/>
      <c r="T73" s="370">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0</v>
      </c>
      <c r="U73" s="370">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0">
        <f t="shared" si="4"/>
        <v>0</v>
      </c>
      <c r="X73" s="524"/>
      <c r="Y73" s="525"/>
      <c r="Z73" s="525"/>
      <c r="AA73" s="525"/>
      <c r="AB73" s="525"/>
      <c r="AC73" s="525"/>
      <c r="AD73" s="525"/>
      <c r="AE73" s="525"/>
      <c r="AF73" s="526"/>
      <c r="AG73" s="163"/>
      <c r="AH73" s="116"/>
    </row>
    <row r="74" spans="1:34">
      <c r="A74" s="116"/>
      <c r="B74" s="121"/>
      <c r="P74" s="372" t="s">
        <v>2356</v>
      </c>
      <c r="Q74" s="373"/>
      <c r="R74" s="373"/>
      <c r="S74" s="373"/>
      <c r="T74" s="442">
        <f>COUNTIFS('2. Status Detalhe Campos FY24'!$H$7:$H$740,'1. Status Resumo FY24'!$P73,'2. Status Detalhe Campos FY24'!$C$7:$C$740,'1. Status Resumo FY24'!$G$48,'2. Status Detalhe Campos FY24'!$D$7:$D$740,"2. Campo",'2. Status Detalhe Campos FY24'!$Y$7:$Y$740,"*Plano anterior*")
+COUNTIFS('2. Status Detalhe Campos FY24'!$H$7:$H$740,'1. Status Resumo FY24'!$P73,'2. Status Detalhe Campos FY24'!$C$7:$C$740,'1. Status Resumo FY24'!$H$48,'2. Status Detalhe Campos FY24'!$D$7:$D$740,"2. Campo",'2. Status Detalhe Campos FY24'!$Y$7:$Y$740,"*Plano anterior*")</f>
        <v>0</v>
      </c>
      <c r="U74" s="442">
        <f>COUNTIFS('2. Status Detalhe Campos FY24'!$G$7:$G$740,'1. Status Resumo FY24'!$P73,'2. Status Detalhe Campos FY24'!$C$7:$C$740,'1. Status Resumo FY24'!$G$48,'2. Status Detalhe Campos FY24'!$D$7:$D$740,"2. Campo",'2. Status Detalhe Campos FY24'!$Y$7:$Y$740,"*Plano anterior*")
+COUNTIFS('2. Status Detalhe Campos FY24'!$G$7:$G$740,'1. Status Resumo FY24'!$P73,'2. Status Detalhe Campos FY24'!$C$7:$C$740,'1. Status Resumo FY24'!$H$48,'2. Status Detalhe Campos FY24'!$D$7:$D$740,"2. Campo",'2. Status Detalhe Campos FY24'!$Y$7:$Y$740,"*Plano anterior*")</f>
        <v>0</v>
      </c>
      <c r="V74" s="442">
        <f t="shared" si="4"/>
        <v>0</v>
      </c>
      <c r="X74" s="524"/>
      <c r="Y74" s="525"/>
      <c r="Z74" s="525"/>
      <c r="AA74" s="525"/>
      <c r="AB74" s="525"/>
      <c r="AC74" s="525"/>
      <c r="AD74" s="525"/>
      <c r="AE74" s="525"/>
      <c r="AF74" s="526"/>
      <c r="AG74" s="163"/>
      <c r="AH74" s="116"/>
    </row>
    <row r="75" spans="1:34">
      <c r="A75" s="116"/>
      <c r="B75" s="121"/>
      <c r="P75" s="372" t="s">
        <v>2355</v>
      </c>
      <c r="Q75" s="375"/>
      <c r="R75" s="375"/>
      <c r="S75" s="375"/>
      <c r="T75" s="443">
        <f>COUNTIFS('2. Status Detalhe Campos FY24'!$H$7:$H$740,'1. Status Resumo FY24'!$P74,'2. Status Detalhe Campos FY24'!$C$7:$C$740,'1. Status Resumo FY24'!$G$48,'2. Status Detalhe Campos FY24'!$D$7:$D$740,"2. Campo",'2. Status Detalhe Campos FY24'!$Y$7:$Y$740,"*Novo Plano*")
+COUNTIFS('2. Status Detalhe Campos FY24'!$H$7:$H$740,'1. Status Resumo FY24'!$P74,'2. Status Detalhe Campos FY24'!$C$7:$C$740,'1. Status Resumo FY24'!$H$48,'2. Status Detalhe Campos FY24'!$D$7:$D$740,"2. Campo",'2. Status Detalhe Campos FY24'!$Y$7:$Y$740,"*Novo Plano*")</f>
        <v>0</v>
      </c>
      <c r="U75" s="443">
        <f>COUNTIFS('2. Status Detalhe Campos FY24'!$G$7:$G$740,'1. Status Resumo FY24'!$P73,'2. Status Detalhe Campos FY24'!$C$7:$C$740,'1. Status Resumo FY24'!$G$48,'2. Status Detalhe Campos FY24'!$D$7:$D$740,"2. Campo",'2. Status Detalhe Campos FY24'!$Y$7:$Y$740,"*Novo Plano*")
+COUNTIFS('2. Status Detalhe Campos FY24'!$G$7:$G$740,'1. Status Resumo FY24'!$P73,'2. Status Detalhe Campos FY24'!$C$7:$C$740,'1. Status Resumo FY24'!$H$48,'2. Status Detalhe Campos FY24'!$D$7:$D$740,"2. Campo",'2. Status Detalhe Campos FY24'!$Y$7:$Y$740,"*Novo Plano*")</f>
        <v>0</v>
      </c>
      <c r="V75" s="443">
        <f t="shared" si="4"/>
        <v>0</v>
      </c>
      <c r="X75" s="524"/>
      <c r="Y75" s="525"/>
      <c r="Z75" s="525"/>
      <c r="AA75" s="525"/>
      <c r="AB75" s="525"/>
      <c r="AC75" s="525"/>
      <c r="AD75" s="525"/>
      <c r="AE75" s="525"/>
      <c r="AF75" s="526"/>
      <c r="AG75" s="163"/>
      <c r="AH75" s="116"/>
    </row>
    <row r="76" spans="1:34">
      <c r="A76" s="116"/>
      <c r="B76" s="121"/>
      <c r="P76" s="370" t="s">
        <v>28</v>
      </c>
      <c r="Q76" s="370"/>
      <c r="R76" s="370"/>
      <c r="S76" s="370"/>
      <c r="T76" s="370">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0">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0">
        <f t="shared" si="4"/>
        <v>0</v>
      </c>
      <c r="X76" s="524"/>
      <c r="Y76" s="525"/>
      <c r="Z76" s="525"/>
      <c r="AA76" s="525"/>
      <c r="AB76" s="525"/>
      <c r="AC76" s="525"/>
      <c r="AD76" s="525"/>
      <c r="AE76" s="525"/>
      <c r="AF76" s="526"/>
      <c r="AG76" s="163"/>
      <c r="AH76" s="116"/>
    </row>
    <row r="77" spans="1:34">
      <c r="A77" s="116"/>
      <c r="B77" s="121"/>
      <c r="P77" s="372" t="s">
        <v>2356</v>
      </c>
      <c r="Q77" s="373"/>
      <c r="R77" s="373"/>
      <c r="S77" s="373"/>
      <c r="T77" s="442">
        <f>COUNTIFS('2. Status Detalhe Campos FY24'!$H$7:$H$740,'1. Status Resumo FY24'!$P76,'2. Status Detalhe Campos FY24'!$C$7:$C$740,'1. Status Resumo FY24'!$G$48,'2. Status Detalhe Campos FY24'!$D$7:$D$740,"2. Campo",'2. Status Detalhe Campos FY24'!$Y$7:$Y$740,"*Plano anterior*")
+COUNTIFS('2. Status Detalhe Campos FY24'!$H$7:$H$740,'1. Status Resumo FY24'!$P76,'2. Status Detalhe Campos FY24'!$C$7:$C$740,'1. Status Resumo FY24'!$H$48,'2. Status Detalhe Campos FY24'!$D$7:$D$740,"2. Campo",'2. Status Detalhe Campos FY24'!$Y$7:$Y$740,"*Plano anterior*")</f>
        <v>0</v>
      </c>
      <c r="U77" s="442">
        <f>COUNTIFS('2. Status Detalhe Campos FY24'!$G$7:$G$740,'1. Status Resumo FY24'!$P76,'2. Status Detalhe Campos FY24'!$C$7:$C$740,'1. Status Resumo FY24'!$G$48,'2. Status Detalhe Campos FY24'!$D$7:$D$740,"2. Campo",'2. Status Detalhe Campos FY24'!$Y$7:$Y$740,"*Plano anterior*")
+COUNTIFS('2. Status Detalhe Campos FY24'!$G$7:$G$740,'1. Status Resumo FY24'!$P76,'2. Status Detalhe Campos FY24'!$C$7:$C$740,'1. Status Resumo FY24'!$H$48,'2. Status Detalhe Campos FY24'!$D$7:$D$740,"2. Campo",'2. Status Detalhe Campos FY24'!$Y$7:$Y$740,"*Plano anterior*")</f>
        <v>0</v>
      </c>
      <c r="V77" s="442">
        <f t="shared" si="4"/>
        <v>0</v>
      </c>
      <c r="X77" s="524"/>
      <c r="Y77" s="525"/>
      <c r="Z77" s="525"/>
      <c r="AA77" s="525"/>
      <c r="AB77" s="525"/>
      <c r="AC77" s="525"/>
      <c r="AD77" s="525"/>
      <c r="AE77" s="525"/>
      <c r="AF77" s="526"/>
      <c r="AG77" s="163"/>
      <c r="AH77" s="116"/>
    </row>
    <row r="78" spans="1:34">
      <c r="A78" s="116"/>
      <c r="B78" s="121"/>
      <c r="P78" s="376" t="s">
        <v>2355</v>
      </c>
      <c r="Q78" s="377"/>
      <c r="R78" s="377"/>
      <c r="S78" s="377"/>
      <c r="T78" s="444">
        <f>COUNTIFS('2. Status Detalhe Campos FY24'!$H$7:$H$740,'1. Status Resumo FY24'!$P77,'2. Status Detalhe Campos FY24'!$C$7:$C$740,'1. Status Resumo FY24'!$G$48,'2. Status Detalhe Campos FY24'!$D$7:$D$740,"2. Campo",'2. Status Detalhe Campos FY24'!$Y$7:$Y$740,"*Novo Plano*")
+COUNTIFS('2. Status Detalhe Campos FY24'!$H$7:$H$740,'1. Status Resumo FY24'!$P77,'2. Status Detalhe Campos FY24'!$C$7:$C$740,'1. Status Resumo FY24'!$H$48,'2. Status Detalhe Campos FY24'!$D$7:$D$740,"2. Campo",'2. Status Detalhe Campos FY24'!$Y$7:$Y$740,"*Novo Plano*")</f>
        <v>0</v>
      </c>
      <c r="U78" s="444">
        <f>COUNTIFS('2. Status Detalhe Campos FY24'!$G$7:$G$740,'1. Status Resumo FY24'!$P76,'2. Status Detalhe Campos FY24'!$C$7:$C$740,'1. Status Resumo FY24'!$G$48,'2. Status Detalhe Campos FY24'!$D$7:$D$740,"2. Campo",'2. Status Detalhe Campos FY24'!$Y$7:$Y$740,"*Novo Plano*")
+COUNTIFS('2. Status Detalhe Campos FY24'!$G$7:$G$740,'1. Status Resumo FY24'!$P76,'2. Status Detalhe Campos FY24'!$C$7:$C$740,'1. Status Resumo FY24'!$H$48,'2. Status Detalhe Campos FY24'!$D$7:$D$740,"2. Campo",'2. Status Detalhe Campos FY24'!$Y$7:$Y$740,"*Novo Plano*")</f>
        <v>0</v>
      </c>
      <c r="V78" s="444">
        <f t="shared" si="4"/>
        <v>0</v>
      </c>
      <c r="X78" s="524"/>
      <c r="Y78" s="525"/>
      <c r="Z78" s="525"/>
      <c r="AA78" s="525"/>
      <c r="AB78" s="525"/>
      <c r="AC78" s="525"/>
      <c r="AD78" s="525"/>
      <c r="AE78" s="525"/>
      <c r="AF78" s="526"/>
      <c r="AG78" s="163"/>
      <c r="AH78" s="116"/>
    </row>
    <row r="79" spans="1:34">
      <c r="A79" s="116"/>
      <c r="B79" s="121"/>
      <c r="P79" s="127" t="s">
        <v>2326</v>
      </c>
      <c r="T79" s="127">
        <f>+SUM(T52,T55,T58,T64,T67,T70,T73,T76,T61)</f>
        <v>208</v>
      </c>
      <c r="U79" s="127">
        <f>+SUM(U52,U55,U58,U64,U67,U70,U73,U76,U61)</f>
        <v>208</v>
      </c>
      <c r="V79" s="127">
        <f>+U79-T79</f>
        <v>0</v>
      </c>
      <c r="X79" s="524"/>
      <c r="Y79" s="525"/>
      <c r="Z79" s="525"/>
      <c r="AA79" s="525"/>
      <c r="AB79" s="525"/>
      <c r="AC79" s="525"/>
      <c r="AD79" s="525"/>
      <c r="AE79" s="525"/>
      <c r="AF79" s="526"/>
      <c r="AG79" s="163"/>
      <c r="AH79" s="116"/>
    </row>
    <row r="80" spans="1:34">
      <c r="A80" s="116"/>
      <c r="B80" s="121"/>
      <c r="P80" s="378" t="s">
        <v>2356</v>
      </c>
      <c r="T80" s="445">
        <f>+SUM(T53,T56,T59,T62,T65,T68,T71,T74,T77)</f>
        <v>208</v>
      </c>
      <c r="U80" s="445">
        <f>+SUM(U53,U56,U59,U62,U65,U68,U71,U74,U77)</f>
        <v>208</v>
      </c>
      <c r="V80" s="445">
        <f>+U80-T80</f>
        <v>0</v>
      </c>
      <c r="X80" s="524"/>
      <c r="Y80" s="525"/>
      <c r="Z80" s="525"/>
      <c r="AA80" s="525"/>
      <c r="AB80" s="525"/>
      <c r="AC80" s="525"/>
      <c r="AD80" s="525"/>
      <c r="AE80" s="525"/>
      <c r="AF80" s="526"/>
      <c r="AG80" s="163"/>
      <c r="AH80" s="116"/>
    </row>
    <row r="81" spans="1:34">
      <c r="A81" s="116"/>
      <c r="B81" s="121"/>
      <c r="P81" s="379" t="s">
        <v>2355</v>
      </c>
      <c r="Q81" s="130"/>
      <c r="R81" s="130"/>
      <c r="S81" s="130"/>
      <c r="T81" s="446">
        <f>+SUM(T54,T57,T60,T63,T66,T69,T72,T75,T78)</f>
        <v>0</v>
      </c>
      <c r="U81" s="446">
        <f>+SUM(U54,U57,U60,U63,U66,U69,U72,U75,U78)</f>
        <v>0</v>
      </c>
      <c r="V81" s="446">
        <f>+U81-T81</f>
        <v>0</v>
      </c>
      <c r="X81" s="524"/>
      <c r="Y81" s="525"/>
      <c r="Z81" s="525"/>
      <c r="AA81" s="525"/>
      <c r="AB81" s="525"/>
      <c r="AC81" s="525"/>
      <c r="AD81" s="525"/>
      <c r="AE81" s="525"/>
      <c r="AF81" s="526"/>
      <c r="AG81" s="163"/>
      <c r="AH81" s="116"/>
    </row>
    <row r="82" spans="1:34">
      <c r="A82" s="116"/>
      <c r="B82" s="121"/>
      <c r="T82" s="127"/>
      <c r="U82" s="127"/>
      <c r="X82" s="524"/>
      <c r="Y82" s="525"/>
      <c r="Z82" s="525"/>
      <c r="AA82" s="525"/>
      <c r="AB82" s="525"/>
      <c r="AC82" s="525"/>
      <c r="AD82" s="525"/>
      <c r="AE82" s="525"/>
      <c r="AF82" s="526"/>
      <c r="AG82" s="163"/>
      <c r="AH82" s="116"/>
    </row>
    <row r="83" spans="1:34">
      <c r="A83" s="116"/>
      <c r="B83" s="121"/>
      <c r="G83" s="129" t="s">
        <v>617</v>
      </c>
      <c r="H83" s="130"/>
      <c r="I83" s="130"/>
      <c r="J83" s="130"/>
      <c r="K83" s="130"/>
      <c r="L83" s="130"/>
      <c r="M83" s="130"/>
      <c r="P83" s="129" t="s">
        <v>618</v>
      </c>
      <c r="Q83" s="130"/>
      <c r="R83" s="130"/>
      <c r="S83" s="130"/>
      <c r="T83" s="130"/>
      <c r="U83" s="130"/>
      <c r="V83" s="130"/>
      <c r="X83" s="524"/>
      <c r="Y83" s="525"/>
      <c r="Z83" s="525"/>
      <c r="AA83" s="525"/>
      <c r="AB83" s="525"/>
      <c r="AC83" s="525"/>
      <c r="AD83" s="525"/>
      <c r="AE83" s="525"/>
      <c r="AF83" s="526"/>
      <c r="AG83" s="163"/>
      <c r="AH83" s="116"/>
    </row>
    <row r="84" spans="1:34">
      <c r="A84" s="116"/>
      <c r="B84" s="121"/>
      <c r="F84" s="159" t="s">
        <v>619</v>
      </c>
      <c r="G84" s="25" t="s">
        <v>620</v>
      </c>
      <c r="L84" s="161" t="s">
        <v>621</v>
      </c>
      <c r="O84" s="159" t="s">
        <v>619</v>
      </c>
      <c r="P84" s="25" t="s">
        <v>622</v>
      </c>
      <c r="T84" s="161" t="s">
        <v>621</v>
      </c>
      <c r="X84" s="524"/>
      <c r="Y84" s="525"/>
      <c r="Z84" s="525"/>
      <c r="AA84" s="525"/>
      <c r="AB84" s="525"/>
      <c r="AC84" s="525"/>
      <c r="AD84" s="525"/>
      <c r="AE84" s="525"/>
      <c r="AF84" s="526"/>
      <c r="AG84" s="163"/>
      <c r="AH84" s="116"/>
    </row>
    <row r="85" spans="1:34">
      <c r="A85" s="116"/>
      <c r="B85" s="121"/>
      <c r="F85" s="159" t="s">
        <v>619</v>
      </c>
      <c r="G85" s="25" t="s">
        <v>623</v>
      </c>
      <c r="L85" s="161" t="s">
        <v>621</v>
      </c>
      <c r="O85" s="159" t="s">
        <v>619</v>
      </c>
      <c r="P85" s="25" t="s">
        <v>624</v>
      </c>
      <c r="T85" s="161" t="s">
        <v>621</v>
      </c>
      <c r="X85" s="524"/>
      <c r="Y85" s="525"/>
      <c r="Z85" s="525"/>
      <c r="AA85" s="525"/>
      <c r="AB85" s="525"/>
      <c r="AC85" s="525"/>
      <c r="AD85" s="525"/>
      <c r="AE85" s="525"/>
      <c r="AF85" s="526"/>
      <c r="AG85" s="163"/>
      <c r="AH85" s="116"/>
    </row>
    <row r="86" spans="1:34">
      <c r="A86" s="116"/>
      <c r="B86" s="121"/>
      <c r="F86" s="159" t="s">
        <v>619</v>
      </c>
      <c r="G86" s="25" t="s">
        <v>625</v>
      </c>
      <c r="L86" s="161" t="s">
        <v>621</v>
      </c>
      <c r="O86" s="159" t="s">
        <v>619</v>
      </c>
      <c r="P86" s="25" t="s">
        <v>626</v>
      </c>
      <c r="T86" s="164" t="s">
        <v>627</v>
      </c>
      <c r="X86" s="524"/>
      <c r="Y86" s="525"/>
      <c r="Z86" s="525"/>
      <c r="AA86" s="525"/>
      <c r="AB86" s="525"/>
      <c r="AC86" s="525"/>
      <c r="AD86" s="525"/>
      <c r="AE86" s="525"/>
      <c r="AF86" s="526"/>
      <c r="AG86" s="163"/>
      <c r="AH86" s="116"/>
    </row>
    <row r="87" spans="1:34">
      <c r="A87" s="116"/>
      <c r="B87" s="121"/>
      <c r="F87" s="159" t="s">
        <v>619</v>
      </c>
      <c r="G87" s="25" t="s">
        <v>628</v>
      </c>
      <c r="L87" s="161" t="s">
        <v>621</v>
      </c>
      <c r="O87" s="159"/>
      <c r="T87" s="164"/>
      <c r="X87" s="524"/>
      <c r="Y87" s="525"/>
      <c r="Z87" s="525"/>
      <c r="AA87" s="525"/>
      <c r="AB87" s="525"/>
      <c r="AC87" s="525"/>
      <c r="AD87" s="525"/>
      <c r="AE87" s="525"/>
      <c r="AF87" s="526"/>
      <c r="AG87" s="163"/>
      <c r="AH87" s="116"/>
    </row>
    <row r="88" spans="1:34">
      <c r="A88" s="116"/>
      <c r="B88" s="121"/>
      <c r="F88" s="159" t="s">
        <v>619</v>
      </c>
      <c r="G88" s="25" t="s">
        <v>629</v>
      </c>
      <c r="L88" s="161" t="s">
        <v>621</v>
      </c>
      <c r="O88" s="159"/>
      <c r="T88" s="164"/>
      <c r="X88" s="524"/>
      <c r="Y88" s="525"/>
      <c r="Z88" s="525"/>
      <c r="AA88" s="525"/>
      <c r="AB88" s="525"/>
      <c r="AC88" s="525"/>
      <c r="AD88" s="525"/>
      <c r="AE88" s="525"/>
      <c r="AF88" s="526"/>
      <c r="AG88" s="163"/>
      <c r="AH88" s="116"/>
    </row>
    <row r="89" spans="1:34">
      <c r="A89" s="116"/>
      <c r="B89" s="121"/>
      <c r="F89" s="159" t="s">
        <v>619</v>
      </c>
      <c r="G89" s="25" t="s">
        <v>630</v>
      </c>
      <c r="L89" s="498" t="s">
        <v>1915</v>
      </c>
      <c r="O89" s="159"/>
      <c r="T89" s="161"/>
      <c r="X89" s="524"/>
      <c r="Y89" s="525"/>
      <c r="Z89" s="525"/>
      <c r="AA89" s="525"/>
      <c r="AB89" s="525"/>
      <c r="AC89" s="525"/>
      <c r="AD89" s="525"/>
      <c r="AE89" s="525"/>
      <c r="AF89" s="526"/>
      <c r="AG89" s="163"/>
      <c r="AH89" s="116"/>
    </row>
    <row r="90" spans="1:34">
      <c r="A90" s="116"/>
      <c r="B90" s="121"/>
      <c r="O90" s="159"/>
      <c r="X90" s="527"/>
      <c r="Y90" s="528"/>
      <c r="Z90" s="528"/>
      <c r="AA90" s="528"/>
      <c r="AB90" s="528"/>
      <c r="AC90" s="528"/>
      <c r="AD90" s="528"/>
      <c r="AE90" s="528"/>
      <c r="AF90" s="529"/>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3">
      <c r="A93" s="116"/>
      <c r="B93" s="126" t="s">
        <v>2328</v>
      </c>
      <c r="C93" s="116"/>
      <c r="D93" s="116"/>
      <c r="E93" s="116"/>
      <c r="F93" s="116"/>
      <c r="G93" s="128" t="s">
        <v>181</v>
      </c>
      <c r="H93" s="128" t="s">
        <v>310</v>
      </c>
      <c r="I93" s="116"/>
      <c r="J93" s="116"/>
      <c r="K93" s="116"/>
      <c r="L93" s="116"/>
      <c r="M93" s="116"/>
      <c r="N93" s="116"/>
      <c r="O93" s="116"/>
      <c r="P93" s="116"/>
      <c r="Q93" s="479"/>
      <c r="R93" s="116"/>
      <c r="S93" s="116"/>
      <c r="T93" s="116"/>
      <c r="U93" s="116"/>
      <c r="V93" s="116"/>
      <c r="W93" s="116"/>
      <c r="X93" s="116"/>
      <c r="Y93" s="116"/>
      <c r="Z93" s="116"/>
      <c r="AA93" s="116"/>
      <c r="AB93" s="116"/>
      <c r="AC93" s="116"/>
      <c r="AD93" s="116"/>
      <c r="AE93" s="116"/>
      <c r="AF93" s="116"/>
      <c r="AG93" s="116"/>
      <c r="AH93" s="116"/>
    </row>
    <row r="94" spans="1:34" ht="5.1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45744</v>
      </c>
      <c r="U96" s="131">
        <f>U51</f>
        <v>45751</v>
      </c>
      <c r="V96" s="132" t="s">
        <v>609</v>
      </c>
      <c r="X96" s="155" t="s">
        <v>610</v>
      </c>
      <c r="AG96" s="122"/>
      <c r="AH96" s="116"/>
    </row>
    <row r="97" spans="1:34" ht="17.899999999999999" customHeight="1">
      <c r="A97" s="116"/>
      <c r="B97" s="121"/>
      <c r="P97" s="371" t="s">
        <v>611</v>
      </c>
      <c r="Q97" s="371"/>
      <c r="R97" s="371"/>
      <c r="S97" s="371"/>
      <c r="T97" s="371">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19</v>
      </c>
      <c r="U97" s="371">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19</v>
      </c>
      <c r="V97" s="371">
        <f t="shared" ref="V97:V123" si="5">U97-T97</f>
        <v>0</v>
      </c>
      <c r="W97" s="156"/>
      <c r="X97" s="533" t="s">
        <v>2465</v>
      </c>
      <c r="Y97" s="534"/>
      <c r="Z97" s="534"/>
      <c r="AA97" s="534"/>
      <c r="AB97" s="534"/>
      <c r="AC97" s="534"/>
      <c r="AD97" s="534"/>
      <c r="AE97" s="534"/>
      <c r="AF97" s="535"/>
      <c r="AG97" s="157" t="s">
        <v>631</v>
      </c>
      <c r="AH97" s="116"/>
    </row>
    <row r="98" spans="1:34" ht="17.899999999999999" customHeight="1">
      <c r="A98" s="116"/>
      <c r="B98" s="121"/>
      <c r="P98" s="372" t="s">
        <v>2365</v>
      </c>
      <c r="Q98" s="373"/>
      <c r="R98" s="373"/>
      <c r="S98" s="373"/>
      <c r="T98" s="442">
        <f>COUNTIFS('2. Status Detalhe Campos FY24'!$H$7:$H$740,'1. Status Resumo FY24'!$P97,'2. Status Detalhe Campos FY24'!$C$7:$C$740,'1. Status Resumo FY24'!$G$93,'2. Status Detalhe Campos FY24'!$D$7:$D$740,"2. Campo",'2. Status Detalhe Campos FY24'!$Y$7:$Y$740,"*Plano anterior*")
+COUNTIFS('2. Status Detalhe Campos FY24'!$H$7:$H$740,'1. Status Resumo FY24'!$P97,'2. Status Detalhe Campos FY24'!$C$7:$C$740,'1. Status Resumo FY24'!$H$93,'2. Status Detalhe Campos FY24'!$D$7:$D$740,"2. Campo",'2. Status Detalhe Campos FY24'!$Y$7:$Y$740,"*Plano anterior*")</f>
        <v>19</v>
      </c>
      <c r="U98" s="442">
        <f>COUNTIFS('2. Status Detalhe Campos FY24'!$G$7:$G$740,'1. Status Resumo FY24'!$P97,'2. Status Detalhe Campos FY24'!$C$7:$C$740,'1. Status Resumo FY24'!$G$93,'2. Status Detalhe Campos FY24'!$D$7:$D$740,"2. Campo",'2. Status Detalhe Campos FY24'!$Y$7:$Y$740,"*Plano anterior*")
+COUNTIFS('2. Status Detalhe Campos FY24'!$G$7:$G$740,'1. Status Resumo FY24'!$P97,'2. Status Detalhe Campos FY24'!$C$7:$C$740,'1. Status Resumo FY24'!$H$93,'2. Status Detalhe Campos FY24'!$D$7:$D$740,"2. Campo",'2. Status Detalhe Campos FY24'!$Y$7:$Y$740,"*Plano anterior*")</f>
        <v>19</v>
      </c>
      <c r="V98" s="442">
        <f t="shared" si="5"/>
        <v>0</v>
      </c>
      <c r="W98" s="156"/>
      <c r="X98" s="536"/>
      <c r="Y98" s="537"/>
      <c r="Z98" s="537"/>
      <c r="AA98" s="537"/>
      <c r="AB98" s="537"/>
      <c r="AC98" s="537"/>
      <c r="AD98" s="537"/>
      <c r="AE98" s="537"/>
      <c r="AF98" s="538"/>
      <c r="AG98" s="157"/>
      <c r="AH98" s="116"/>
    </row>
    <row r="99" spans="1:34" ht="17.25" customHeight="1">
      <c r="A99" s="116"/>
      <c r="B99" s="121"/>
      <c r="P99" s="372" t="s">
        <v>2355</v>
      </c>
      <c r="Q99" s="373"/>
      <c r="R99" s="373"/>
      <c r="S99" s="373"/>
      <c r="T99" s="442">
        <f>COUNTIFS('2. Status Detalhe Campos FY24'!$H$7:$H$740,'1. Status Resumo FY24'!$P97,'2. Status Detalhe Campos FY24'!$C$7:$C$740,'1. Status Resumo FY24'!$G$93,'2. Status Detalhe Campos FY24'!$D$7:$D$740,"2. Campo",'2. Status Detalhe Campos FY24'!$Y$7:$Y$740,"*Novo Plano*")
+COUNTIFS('2. Status Detalhe Campos FY24'!$H$7:$H$740,'1. Status Resumo FY24'!$P97,'2. Status Detalhe Campos FY24'!$C$7:$C$740,'1. Status Resumo FY24'!$H$93,'2. Status Detalhe Campos FY24'!$D$7:$D$740,"2. Campo",'2. Status Detalhe Campos FY24'!$Y$7:$Y$740,"*Novo Plano*")</f>
        <v>0</v>
      </c>
      <c r="U99" s="442">
        <f>COUNTIFS('2. Status Detalhe Campos FY24'!$G$7:$G$740,'1. Status Resumo FY24'!$P97,'2. Status Detalhe Campos FY24'!$C$7:$C$740,'1. Status Resumo FY24'!$G$93,'2. Status Detalhe Campos FY24'!$D$7:$D$740,"2. Campo",'2. Status Detalhe Campos FY24'!$Y$7:$Y$740,"*Novo Plano*")
+COUNTIFS('2. Status Detalhe Campos FY24'!$G$7:$G$740,'1. Status Resumo FY24'!$P97,'2. Status Detalhe Campos FY24'!$C$7:$C$740,'1. Status Resumo FY24'!$H$93,'2. Status Detalhe Campos FY24'!$D$7:$D$740,"2. Campo",'2. Status Detalhe Campos FY24'!$Y$7:$Y$740,"*Novo Plano*")</f>
        <v>0</v>
      </c>
      <c r="V99" s="442">
        <f t="shared" si="5"/>
        <v>0</v>
      </c>
      <c r="W99" s="156"/>
      <c r="X99" s="536"/>
      <c r="Y99" s="537"/>
      <c r="Z99" s="537"/>
      <c r="AA99" s="537"/>
      <c r="AB99" s="537"/>
      <c r="AC99" s="537"/>
      <c r="AD99" s="537"/>
      <c r="AE99" s="537"/>
      <c r="AF99" s="538"/>
      <c r="AG99" s="157"/>
      <c r="AH99" s="116"/>
    </row>
    <row r="100" spans="1:34">
      <c r="A100" s="116"/>
      <c r="B100" s="121"/>
      <c r="P100" s="370" t="s">
        <v>612</v>
      </c>
      <c r="Q100" s="370"/>
      <c r="R100" s="370"/>
      <c r="S100" s="370"/>
      <c r="T100" s="370">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270</v>
      </c>
      <c r="U100" s="370">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270</v>
      </c>
      <c r="V100" s="370">
        <f t="shared" si="5"/>
        <v>0</v>
      </c>
      <c r="W100" s="156"/>
      <c r="X100" s="536"/>
      <c r="Y100" s="537"/>
      <c r="Z100" s="537"/>
      <c r="AA100" s="537"/>
      <c r="AB100" s="537"/>
      <c r="AC100" s="537"/>
      <c r="AD100" s="537"/>
      <c r="AE100" s="537"/>
      <c r="AF100" s="538"/>
      <c r="AG100" s="157"/>
      <c r="AH100" s="116"/>
    </row>
    <row r="101" spans="1:34">
      <c r="A101" s="116"/>
      <c r="B101" s="121"/>
      <c r="P101" s="372" t="s">
        <v>2365</v>
      </c>
      <c r="Q101" s="373"/>
      <c r="R101" s="373"/>
      <c r="S101" s="373"/>
      <c r="T101" s="442">
        <f>COUNTIFS('2. Status Detalhe Campos FY24'!$H$7:$H$740,'1. Status Resumo FY24'!$P100,'2. Status Detalhe Campos FY24'!$C$7:$C$740,'1. Status Resumo FY24'!$G$93,'2. Status Detalhe Campos FY24'!$D$7:$D$740,"2. Campo",'2. Status Detalhe Campos FY24'!$Y$7:$Y$740,"*Plano anterior*")
+COUNTIFS('2. Status Detalhe Campos FY24'!$H$7:$H$740,'1. Status Resumo FY24'!$P100,'2. Status Detalhe Campos FY24'!$C$7:$C$740,'1. Status Resumo FY24'!$H$93,'2. Status Detalhe Campos FY24'!$D$7:$D$740,"2. Campo",'2. Status Detalhe Campos FY24'!$Y$7:$Y$740,"*Plano anterior*")</f>
        <v>245</v>
      </c>
      <c r="U101" s="442">
        <f>COUNTIFS('2. Status Detalhe Campos FY24'!$G$7:$G$740,'1. Status Resumo FY24'!$P100,'2. Status Detalhe Campos FY24'!$C$7:$C$740,'1. Status Resumo FY24'!$G$93,'2. Status Detalhe Campos FY24'!$D$7:$D$740,"2. Campo",'2. Status Detalhe Campos FY24'!$Y$7:$Y$740,"*Plano anterior*")
+COUNTIFS('2. Status Detalhe Campos FY24'!$G$7:$G$740,'1. Status Resumo FY24'!$P100,'2. Status Detalhe Campos FY24'!$C$7:$C$740,'1. Status Resumo FY24'!$H$93,'2. Status Detalhe Campos FY24'!$D$7:$D$740,"2. Campo",'2. Status Detalhe Campos FY24'!$Y$7:$Y$740,"*Plano anterior*")</f>
        <v>245</v>
      </c>
      <c r="V101" s="442">
        <f t="shared" si="5"/>
        <v>0</v>
      </c>
      <c r="W101" s="156"/>
      <c r="X101" s="536"/>
      <c r="Y101" s="537"/>
      <c r="Z101" s="537"/>
      <c r="AA101" s="537"/>
      <c r="AB101" s="537"/>
      <c r="AC101" s="537"/>
      <c r="AD101" s="537"/>
      <c r="AE101" s="537"/>
      <c r="AF101" s="538"/>
      <c r="AG101" s="157"/>
      <c r="AH101" s="116"/>
    </row>
    <row r="102" spans="1:34">
      <c r="A102" s="116"/>
      <c r="B102" s="121"/>
      <c r="P102" s="372" t="s">
        <v>2355</v>
      </c>
      <c r="Q102" s="375"/>
      <c r="R102" s="375"/>
      <c r="S102" s="375"/>
      <c r="T102" s="443">
        <f>COUNTIFS('2. Status Detalhe Campos FY24'!$H$7:$H$740,'1. Status Resumo FY24'!$P100,'2. Status Detalhe Campos FY24'!$C$7:$C$740,'1. Status Resumo FY24'!$G$93,'2. Status Detalhe Campos FY24'!$D$7:$D$740,"2. Campo",'2. Status Detalhe Campos FY24'!$Y$7:$Y$740,"*Novo Plano*")
+COUNTIFS('2. Status Detalhe Campos FY24'!$H$7:$H$740,'1. Status Resumo FY24'!$P100,'2. Status Detalhe Campos FY24'!$C$7:$C$740,'1. Status Resumo FY24'!$H$93,'2. Status Detalhe Campos FY24'!$D$7:$D$740,"2. Campo",'2. Status Detalhe Campos FY24'!$Y$7:$Y$740,"*Novo Plano*")</f>
        <v>25</v>
      </c>
      <c r="U102" s="443">
        <f>COUNTIFS('2. Status Detalhe Campos FY24'!$G$7:$G$740,'1. Status Resumo FY24'!$P100,'2. Status Detalhe Campos FY24'!$C$7:$C$740,'1. Status Resumo FY24'!$G$93,'2. Status Detalhe Campos FY24'!$D$7:$D$740,"2. Campo",'2. Status Detalhe Campos FY24'!$Y$7:$Y$740,"*Novo Plano*")
+COUNTIFS('2. Status Detalhe Campos FY24'!$G$7:$G$740,'1. Status Resumo FY24'!$P100,'2. Status Detalhe Campos FY24'!$C$7:$C$740,'1. Status Resumo FY24'!$H$93,'2. Status Detalhe Campos FY24'!$D$7:$D$740,"2. Campo",'2. Status Detalhe Campos FY24'!$Y$7:$Y$740,"*Novo Plano*")</f>
        <v>25</v>
      </c>
      <c r="V102" s="443">
        <f t="shared" si="5"/>
        <v>0</v>
      </c>
      <c r="W102" s="156"/>
      <c r="X102" s="536"/>
      <c r="Y102" s="537"/>
      <c r="Z102" s="537"/>
      <c r="AA102" s="537"/>
      <c r="AB102" s="537"/>
      <c r="AC102" s="537"/>
      <c r="AD102" s="537"/>
      <c r="AE102" s="537"/>
      <c r="AF102" s="538"/>
      <c r="AG102" s="157"/>
      <c r="AH102" s="116"/>
    </row>
    <row r="103" spans="1:34">
      <c r="A103" s="116"/>
      <c r="B103" s="121"/>
      <c r="P103" s="370" t="s">
        <v>1840</v>
      </c>
      <c r="Q103" s="370"/>
      <c r="R103" s="370"/>
      <c r="S103" s="370"/>
      <c r="T103" s="370">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13</v>
      </c>
      <c r="U103" s="370">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13</v>
      </c>
      <c r="V103" s="370">
        <f t="shared" si="5"/>
        <v>0</v>
      </c>
      <c r="W103" s="156"/>
      <c r="X103" s="536"/>
      <c r="Y103" s="537"/>
      <c r="Z103" s="537"/>
      <c r="AA103" s="537"/>
      <c r="AB103" s="537"/>
      <c r="AC103" s="537"/>
      <c r="AD103" s="537"/>
      <c r="AE103" s="537"/>
      <c r="AF103" s="538"/>
      <c r="AG103" s="157"/>
      <c r="AH103" s="116"/>
    </row>
    <row r="104" spans="1:34">
      <c r="A104" s="116"/>
      <c r="B104" s="121"/>
      <c r="P104" s="372" t="s">
        <v>2365</v>
      </c>
      <c r="Q104" s="373"/>
      <c r="R104" s="373"/>
      <c r="S104" s="373"/>
      <c r="T104" s="442">
        <f>COUNTIFS('2. Status Detalhe Campos FY24'!$H$7:$H$740,'1. Status Resumo FY24'!$P103,'2. Status Detalhe Campos FY24'!$C$7:$C$740,'1. Status Resumo FY24'!$G$93,'2. Status Detalhe Campos FY24'!$D$7:$D$740,"2. Campo",'2. Status Detalhe Campos FY24'!$Y$7:$Y$740,"*Plano anterior*")
+COUNTIFS('2. Status Detalhe Campos FY24'!$H$7:$H$740,'1. Status Resumo FY24'!$P103,'2. Status Detalhe Campos FY24'!$C$7:$C$740,'1. Status Resumo FY24'!$H$93,'2. Status Detalhe Campos FY24'!$D$7:$D$740,"2. Campo",'2. Status Detalhe Campos FY24'!$Y$7:$Y$740,"*Plano anterior*")</f>
        <v>13</v>
      </c>
      <c r="U104" s="442">
        <f>COUNTIFS('2. Status Detalhe Campos FY24'!$G$7:$G$740,'1. Status Resumo FY24'!$P103,'2. Status Detalhe Campos FY24'!$C$7:$C$740,'1. Status Resumo FY24'!$G$93,'2. Status Detalhe Campos FY24'!$D$7:$D$740,"2. Campo",'2. Status Detalhe Campos FY24'!$Y$7:$Y$740,"*Plano anterior*")
+COUNTIFS('2. Status Detalhe Campos FY24'!$G$7:$G$740,'1. Status Resumo FY24'!$P103,'2. Status Detalhe Campos FY24'!$C$7:$C$740,'1. Status Resumo FY24'!$H$93,'2. Status Detalhe Campos FY24'!$D$7:$D$740,"2. Campo",'2. Status Detalhe Campos FY24'!$Y$7:$Y$740,"*Plano anterior*")</f>
        <v>13</v>
      </c>
      <c r="V104" s="442">
        <f t="shared" si="5"/>
        <v>0</v>
      </c>
      <c r="W104" s="156"/>
      <c r="X104" s="536"/>
      <c r="Y104" s="537"/>
      <c r="Z104" s="537"/>
      <c r="AA104" s="537"/>
      <c r="AB104" s="537"/>
      <c r="AC104" s="537"/>
      <c r="AD104" s="537"/>
      <c r="AE104" s="537"/>
      <c r="AF104" s="538"/>
      <c r="AG104" s="157"/>
      <c r="AH104" s="116"/>
    </row>
    <row r="105" spans="1:34">
      <c r="A105" s="116"/>
      <c r="B105" s="121"/>
      <c r="P105" s="372" t="s">
        <v>2355</v>
      </c>
      <c r="Q105" s="375"/>
      <c r="R105" s="375"/>
      <c r="S105" s="375"/>
      <c r="T105" s="443">
        <f>COUNTIFS('2. Status Detalhe Campos FY24'!$H$7:$H$740,'1. Status Resumo FY24'!$P103,'2. Status Detalhe Campos FY24'!$C$7:$C$740,'1. Status Resumo FY24'!$G$93,'2. Status Detalhe Campos FY24'!$D$7:$D$740,"2. Campo",'2. Status Detalhe Campos FY24'!$Y$7:$Y$740,"*Novo Plano*")
+COUNTIFS('2. Status Detalhe Campos FY24'!$H$7:$H$740,'1. Status Resumo FY24'!$P103,'2. Status Detalhe Campos FY24'!$C$7:$C$740,'1. Status Resumo FY24'!$H$93,'2. Status Detalhe Campos FY24'!$D$7:$D$740,"2. Campo",'2. Status Detalhe Campos FY24'!$Y$7:$Y$740,"*Novo Plano*")</f>
        <v>0</v>
      </c>
      <c r="U105" s="443">
        <f>COUNTIFS('2. Status Detalhe Campos FY24'!$G$7:$G$740,'1. Status Resumo FY24'!$P103,'2. Status Detalhe Campos FY24'!$C$7:$C$740,'1. Status Resumo FY24'!$G$93,'2. Status Detalhe Campos FY24'!$D$7:$D$740,"2. Campo",'2. Status Detalhe Campos FY24'!$Y$7:$Y$740,"*Novo Plano*")
+COUNTIFS('2. Status Detalhe Campos FY24'!$G$7:$G$740,'1. Status Resumo FY24'!$P103,'2. Status Detalhe Campos FY24'!$C$7:$C$740,'1. Status Resumo FY24'!$H$93,'2. Status Detalhe Campos FY24'!$D$7:$D$740,"2. Campo",'2. Status Detalhe Campos FY24'!$Y$7:$Y$740,"*Novo Plano*")</f>
        <v>0</v>
      </c>
      <c r="V105" s="443">
        <f t="shared" si="5"/>
        <v>0</v>
      </c>
      <c r="W105" s="156"/>
      <c r="X105" s="536"/>
      <c r="Y105" s="537"/>
      <c r="Z105" s="537"/>
      <c r="AA105" s="537"/>
      <c r="AB105" s="537"/>
      <c r="AC105" s="537"/>
      <c r="AD105" s="537"/>
      <c r="AE105" s="537"/>
      <c r="AF105" s="538"/>
      <c r="AG105" s="157"/>
      <c r="AH105" s="116"/>
    </row>
    <row r="106" spans="1:34" ht="18.75" customHeight="1">
      <c r="A106" s="116"/>
      <c r="B106" s="121"/>
      <c r="D106" s="423"/>
      <c r="E106" s="423"/>
      <c r="P106" s="370" t="s">
        <v>2319</v>
      </c>
      <c r="Q106" s="370"/>
      <c r="R106" s="370"/>
      <c r="S106" s="370"/>
      <c r="T106" s="370">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0</v>
      </c>
      <c r="U106" s="370">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0</v>
      </c>
      <c r="V106" s="370">
        <f t="shared" si="5"/>
        <v>0</v>
      </c>
      <c r="W106" s="156"/>
      <c r="X106" s="536"/>
      <c r="Y106" s="537"/>
      <c r="Z106" s="537"/>
      <c r="AA106" s="537"/>
      <c r="AB106" s="537"/>
      <c r="AC106" s="537"/>
      <c r="AD106" s="537"/>
      <c r="AE106" s="537"/>
      <c r="AF106" s="538"/>
      <c r="AG106" s="157"/>
      <c r="AH106" s="116"/>
    </row>
    <row r="107" spans="1:34" ht="18.75" customHeight="1">
      <c r="A107" s="116"/>
      <c r="B107" s="121"/>
      <c r="D107" s="423"/>
      <c r="E107" s="423"/>
      <c r="P107" s="372" t="s">
        <v>2365</v>
      </c>
      <c r="Q107" s="373"/>
      <c r="R107" s="373"/>
      <c r="S107" s="373"/>
      <c r="T107" s="442">
        <f>COUNTIFS('2. Status Detalhe Campos FY24'!$H$7:$H$740,'1. Status Resumo FY24'!$P106,'2. Status Detalhe Campos FY24'!$C$7:$C$740,'1. Status Resumo FY24'!$G$93,'2. Status Detalhe Campos FY24'!$D$7:$D$740,"2. Campo",'2. Status Detalhe Campos FY24'!$Y$7:$Y$740,"*Plano anterior*")
+COUNTIFS('2. Status Detalhe Campos FY24'!$H$7:$H$740,'1. Status Resumo FY24'!$P106,'2. Status Detalhe Campos FY24'!$C$7:$C$740,'1. Status Resumo FY24'!$H$93,'2. Status Detalhe Campos FY24'!$D$7:$D$740,"2. Campo",'2. Status Detalhe Campos FY24'!$Y$7:$Y$740,"*Plano anterior*")</f>
        <v>0</v>
      </c>
      <c r="U107" s="442">
        <f>COUNTIFS('2. Status Detalhe Campos FY24'!$G$7:$G$740,'1. Status Resumo FY24'!$P106,'2. Status Detalhe Campos FY24'!$C$7:$C$740,'1. Status Resumo FY24'!$G$93,'2. Status Detalhe Campos FY24'!$D$7:$D$740,"2. Campo",'2. Status Detalhe Campos FY24'!$Y$7:$Y$740,"*Plano anterior*")
+COUNTIFS('2. Status Detalhe Campos FY24'!$G$7:$G$740,'1. Status Resumo FY24'!$P106,'2. Status Detalhe Campos FY24'!$C$7:$C$740,'1. Status Resumo FY24'!$H$93,'2. Status Detalhe Campos FY24'!$D$7:$D$740,"2. Campo",'2. Status Detalhe Campos FY24'!$Y$7:$Y$740,"*Plano anterior*")</f>
        <v>0</v>
      </c>
      <c r="V107" s="442">
        <f t="shared" si="5"/>
        <v>0</v>
      </c>
      <c r="W107" s="156"/>
      <c r="X107" s="536"/>
      <c r="Y107" s="537"/>
      <c r="Z107" s="537"/>
      <c r="AA107" s="537"/>
      <c r="AB107" s="537"/>
      <c r="AC107" s="537"/>
      <c r="AD107" s="537"/>
      <c r="AE107" s="537"/>
      <c r="AF107" s="538"/>
      <c r="AG107" s="157"/>
      <c r="AH107" s="116"/>
    </row>
    <row r="108" spans="1:34" ht="18.75" customHeight="1">
      <c r="A108" s="116"/>
      <c r="B108" s="121"/>
      <c r="D108" s="423"/>
      <c r="E108" s="423"/>
      <c r="P108" s="372" t="s">
        <v>2355</v>
      </c>
      <c r="Q108" s="375"/>
      <c r="R108" s="375"/>
      <c r="S108" s="375"/>
      <c r="T108" s="443">
        <f>COUNTIFS('2. Status Detalhe Campos FY24'!$H$7:$H$740,'1. Status Resumo FY24'!$P106,'2. Status Detalhe Campos FY24'!$C$7:$C$740,'1. Status Resumo FY24'!$G$93,'2. Status Detalhe Campos FY24'!$D$7:$D$740,"2. Campo",'2. Status Detalhe Campos FY24'!$Y$7:$Y$740,"*Novo Plano*")
+COUNTIFS('2. Status Detalhe Campos FY24'!$H$7:$H$740,'1. Status Resumo FY24'!$P106,'2. Status Detalhe Campos FY24'!$C$7:$C$740,'1. Status Resumo FY24'!$H$93,'2. Status Detalhe Campos FY24'!$D$7:$D$740,"2. Campo",'2. Status Detalhe Campos FY24'!$Y$7:$Y$740,"*Novo Plano*")</f>
        <v>0</v>
      </c>
      <c r="U108" s="443">
        <f>COUNTIFS('2. Status Detalhe Campos FY24'!$G$7:$G$740,'1. Status Resumo FY24'!$P106,'2. Status Detalhe Campos FY24'!$C$7:$C$740,'1. Status Resumo FY24'!$G$93,'2. Status Detalhe Campos FY24'!$D$7:$D$740,"2. Campo",'2. Status Detalhe Campos FY24'!$Y$7:$Y$740,"*Novo Plano*")
+COUNTIFS('2. Status Detalhe Campos FY24'!$G$7:$G$740,'1. Status Resumo FY24'!$P106,'2. Status Detalhe Campos FY24'!$C$7:$C$740,'1. Status Resumo FY24'!$H$93,'2. Status Detalhe Campos FY24'!$D$7:$D$740,"2. Campo",'2. Status Detalhe Campos FY24'!$Y$7:$Y$740,"*Novo Plano*")</f>
        <v>0</v>
      </c>
      <c r="V108" s="443">
        <f t="shared" si="5"/>
        <v>0</v>
      </c>
      <c r="W108" s="156"/>
      <c r="X108" s="536"/>
      <c r="Y108" s="537"/>
      <c r="Z108" s="537"/>
      <c r="AA108" s="537"/>
      <c r="AB108" s="537"/>
      <c r="AC108" s="537"/>
      <c r="AD108" s="537"/>
      <c r="AE108" s="537"/>
      <c r="AF108" s="538"/>
      <c r="AG108" s="157"/>
      <c r="AH108" s="116"/>
    </row>
    <row r="109" spans="1:34" ht="17.899999999999999" customHeight="1">
      <c r="A109" s="116"/>
      <c r="B109" s="121"/>
      <c r="D109" s="514" t="str">
        <f>+"#"&amp;$U$124</f>
        <v>#302</v>
      </c>
      <c r="P109" s="370" t="s">
        <v>613</v>
      </c>
      <c r="Q109" s="370"/>
      <c r="R109" s="370"/>
      <c r="S109" s="370"/>
      <c r="T109" s="370">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0">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0">
        <f t="shared" si="5"/>
        <v>0</v>
      </c>
      <c r="W109" s="156"/>
      <c r="X109" s="536"/>
      <c r="Y109" s="537"/>
      <c r="Z109" s="537"/>
      <c r="AA109" s="537"/>
      <c r="AB109" s="537"/>
      <c r="AC109" s="537"/>
      <c r="AD109" s="537"/>
      <c r="AE109" s="537"/>
      <c r="AF109" s="538"/>
      <c r="AG109" s="157"/>
      <c r="AH109" s="116"/>
    </row>
    <row r="110" spans="1:34" ht="17.899999999999999" customHeight="1">
      <c r="A110" s="116"/>
      <c r="B110" s="121"/>
      <c r="D110" s="514"/>
      <c r="P110" s="372" t="s">
        <v>2365</v>
      </c>
      <c r="Q110" s="373"/>
      <c r="R110" s="373"/>
      <c r="S110" s="373"/>
      <c r="T110" s="442">
        <f>COUNTIFS('2. Status Detalhe Campos FY24'!$H$7:$H$740,'1. Status Resumo FY24'!$P109,'2. Status Detalhe Campos FY24'!$C$7:$C$740,'1. Status Resumo FY24'!$G$93,'2. Status Detalhe Campos FY24'!$D$7:$D$740,"2. Campo",'2. Status Detalhe Campos FY24'!$Y$7:$Y$740,"*Plano anterior*")
+COUNTIFS('2. Status Detalhe Campos FY24'!$H$7:$H$740,'1. Status Resumo FY24'!$P109,'2. Status Detalhe Campos FY24'!$C$7:$C$740,'1. Status Resumo FY24'!$H$93,'2. Status Detalhe Campos FY24'!$D$7:$D$740,"2. Campo",'2. Status Detalhe Campos FY24'!$Y$7:$Y$740,"*Plano anterior*")</f>
        <v>0</v>
      </c>
      <c r="U110" s="442">
        <f>COUNTIFS('2. Status Detalhe Campos FY24'!$G$7:$G$740,'1. Status Resumo FY24'!$P109,'2. Status Detalhe Campos FY24'!$C$7:$C$740,'1. Status Resumo FY24'!$G$93,'2. Status Detalhe Campos FY24'!$D$7:$D$740,"2. Campo",'2. Status Detalhe Campos FY24'!$Y$7:$Y$740,"*Plano anterior*")
+COUNTIFS('2. Status Detalhe Campos FY24'!$G$7:$G$740,'1. Status Resumo FY24'!$P109,'2. Status Detalhe Campos FY24'!$C$7:$C$740,'1. Status Resumo FY24'!$H$93,'2. Status Detalhe Campos FY24'!$D$7:$D$740,"2. Campo",'2. Status Detalhe Campos FY24'!$Y$7:$Y$740,"*Plano anterior*")</f>
        <v>0</v>
      </c>
      <c r="V110" s="442">
        <f t="shared" si="5"/>
        <v>0</v>
      </c>
      <c r="W110" s="156"/>
      <c r="X110" s="536"/>
      <c r="Y110" s="537"/>
      <c r="Z110" s="537"/>
      <c r="AA110" s="537"/>
      <c r="AB110" s="537"/>
      <c r="AC110" s="537"/>
      <c r="AD110" s="537"/>
      <c r="AE110" s="537"/>
      <c r="AF110" s="538"/>
      <c r="AG110" s="157"/>
      <c r="AH110" s="116"/>
    </row>
    <row r="111" spans="1:34" ht="17.899999999999999" customHeight="1">
      <c r="A111" s="116"/>
      <c r="B111" s="121"/>
      <c r="D111" s="514"/>
      <c r="P111" s="372" t="s">
        <v>2355</v>
      </c>
      <c r="Q111" s="375"/>
      <c r="R111" s="375"/>
      <c r="S111" s="375"/>
      <c r="T111" s="443">
        <f>COUNTIFS('2. Status Detalhe Campos FY24'!$H$7:$H$740,'1. Status Resumo FY24'!$P109,'2. Status Detalhe Campos FY24'!$C$7:$C$740,'1. Status Resumo FY24'!$G$93,'2. Status Detalhe Campos FY24'!$D$7:$D$740,"2. Campo",'2. Status Detalhe Campos FY24'!$Y$7:$Y$740,"*Novo Plano*")
+COUNTIFS('2. Status Detalhe Campos FY24'!$H$7:$H$740,'1. Status Resumo FY24'!$P109,'2. Status Detalhe Campos FY24'!$C$7:$C$740,'1. Status Resumo FY24'!$H$93,'2. Status Detalhe Campos FY24'!$D$7:$D$740,"2. Campo",'2. Status Detalhe Campos FY24'!$Y$7:$Y$740,"*Novo Plano*")</f>
        <v>0</v>
      </c>
      <c r="U111" s="443">
        <f>COUNTIFS('2. Status Detalhe Campos FY24'!$G$7:$G$740,'1. Status Resumo FY24'!$P109,'2. Status Detalhe Campos FY24'!$C$7:$C$740,'1. Status Resumo FY24'!$G$93,'2. Status Detalhe Campos FY24'!$D$7:$D$740,"2. Campo",'2. Status Detalhe Campos FY24'!$Y$7:$Y$740,"*Novo Plano*")
+COUNTIFS('2. Status Detalhe Campos FY24'!$G$7:$G$740,'1. Status Resumo FY24'!$P109,'2. Status Detalhe Campos FY24'!$C$7:$C$740,'1. Status Resumo FY24'!$H$93,'2. Status Detalhe Campos FY24'!$D$7:$D$740,"2. Campo",'2. Status Detalhe Campos FY24'!$Y$7:$Y$740,"*Novo Plano*")</f>
        <v>0</v>
      </c>
      <c r="V111" s="443">
        <f t="shared" si="5"/>
        <v>0</v>
      </c>
      <c r="W111" s="156"/>
      <c r="X111" s="536"/>
      <c r="Y111" s="537"/>
      <c r="Z111" s="537"/>
      <c r="AA111" s="537"/>
      <c r="AB111" s="537"/>
      <c r="AC111" s="537"/>
      <c r="AD111" s="537"/>
      <c r="AE111" s="537"/>
      <c r="AF111" s="538"/>
      <c r="AG111" s="157"/>
      <c r="AH111" s="116"/>
    </row>
    <row r="112" spans="1:34" ht="17.899999999999999" customHeight="1">
      <c r="A112" s="116"/>
      <c r="B112" s="121"/>
      <c r="D112" s="423"/>
      <c r="P112" s="370" t="s">
        <v>614</v>
      </c>
      <c r="Q112" s="370"/>
      <c r="R112" s="370"/>
      <c r="S112" s="370"/>
      <c r="T112" s="370">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0">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0">
        <f t="shared" si="5"/>
        <v>0</v>
      </c>
      <c r="W112" s="156"/>
      <c r="X112" s="536"/>
      <c r="Y112" s="537"/>
      <c r="Z112" s="537"/>
      <c r="AA112" s="537"/>
      <c r="AB112" s="537"/>
      <c r="AC112" s="537"/>
      <c r="AD112" s="537"/>
      <c r="AE112" s="537"/>
      <c r="AF112" s="538"/>
      <c r="AG112" s="157"/>
      <c r="AH112" s="116"/>
    </row>
    <row r="113" spans="1:34" ht="17.899999999999999" customHeight="1">
      <c r="A113" s="116"/>
      <c r="B113" s="121"/>
      <c r="D113" s="368"/>
      <c r="E113" s="368"/>
      <c r="P113" s="372" t="s">
        <v>2365</v>
      </c>
      <c r="Q113" s="373"/>
      <c r="R113" s="373"/>
      <c r="S113" s="373"/>
      <c r="T113" s="442">
        <f>COUNTIFS('2. Status Detalhe Campos FY24'!$H$7:$H$740,'1. Status Resumo FY24'!$P112,'2. Status Detalhe Campos FY24'!$C$7:$C$740,'1. Status Resumo FY24'!$G$93,'2. Status Detalhe Campos FY24'!$D$7:$D$740,"2. Campo",'2. Status Detalhe Campos FY24'!$Y$7:$Y$740,"*Plano anterior*")
+COUNTIFS('2. Status Detalhe Campos FY24'!$H$7:$H$740,'1. Status Resumo FY24'!$P112,'2. Status Detalhe Campos FY24'!$C$7:$C$740,'1. Status Resumo FY24'!$H$93,'2. Status Detalhe Campos FY24'!$D$7:$D$740,"2. Campo",'2. Status Detalhe Campos FY24'!$Y$7:$Y$740,"*Plano anterior*")</f>
        <v>0</v>
      </c>
      <c r="U113" s="442">
        <f>COUNTIFS('2. Status Detalhe Campos FY24'!$G$7:$G$740,'1. Status Resumo FY24'!$P112,'2. Status Detalhe Campos FY24'!$C$7:$C$740,'1. Status Resumo FY24'!$G$93,'2. Status Detalhe Campos FY24'!$D$7:$D$740,"2. Campo",'2. Status Detalhe Campos FY24'!$Y$7:$Y$740,"*Plano anterior*")
+COUNTIFS('2. Status Detalhe Campos FY24'!$G$7:$G$740,'1. Status Resumo FY24'!$P112,'2. Status Detalhe Campos FY24'!$C$7:$C$740,'1. Status Resumo FY24'!$H$93,'2. Status Detalhe Campos FY24'!$D$7:$D$740,"2. Campo",'2. Status Detalhe Campos FY24'!$Y$7:$Y$740,"*Plano anterior*")</f>
        <v>0</v>
      </c>
      <c r="V113" s="442">
        <f t="shared" si="5"/>
        <v>0</v>
      </c>
      <c r="W113" s="156"/>
      <c r="X113" s="536"/>
      <c r="Y113" s="537"/>
      <c r="Z113" s="537"/>
      <c r="AA113" s="537"/>
      <c r="AB113" s="537"/>
      <c r="AC113" s="537"/>
      <c r="AD113" s="537"/>
      <c r="AE113" s="537"/>
      <c r="AF113" s="538"/>
      <c r="AG113" s="157"/>
      <c r="AH113" s="116"/>
    </row>
    <row r="114" spans="1:34" ht="17.899999999999999" customHeight="1">
      <c r="A114" s="116"/>
      <c r="B114" s="121"/>
      <c r="D114" s="368"/>
      <c r="E114" s="368"/>
      <c r="P114" s="372" t="s">
        <v>2355</v>
      </c>
      <c r="Q114" s="375"/>
      <c r="R114" s="375"/>
      <c r="S114" s="375"/>
      <c r="T114" s="443">
        <f>COUNTIFS('2. Status Detalhe Campos FY24'!$H$7:$H$740,'1. Status Resumo FY24'!$P112,'2. Status Detalhe Campos FY24'!$C$7:$C$740,'1. Status Resumo FY24'!$G$93,'2. Status Detalhe Campos FY24'!$D$7:$D$740,"2. Campo",'2. Status Detalhe Campos FY24'!$Y$7:$Y$740,"*Novo Plano*")
+COUNTIFS('2. Status Detalhe Campos FY24'!$H$7:$H$740,'1. Status Resumo FY24'!$P112,'2. Status Detalhe Campos FY24'!$C$7:$C$740,'1. Status Resumo FY24'!$H$93,'2. Status Detalhe Campos FY24'!$D$7:$D$740,"2. Campo",'2. Status Detalhe Campos FY24'!$Y$7:$Y$740,"*Novo Plano*")</f>
        <v>0</v>
      </c>
      <c r="U114" s="443">
        <f>COUNTIFS('2. Status Detalhe Campos FY24'!$G$7:$G$740,'1. Status Resumo FY24'!$P112,'2. Status Detalhe Campos FY24'!$C$7:$C$740,'1. Status Resumo FY24'!$G$93,'2. Status Detalhe Campos FY24'!$D$7:$D$740,"2. Campo",'2. Status Detalhe Campos FY24'!$Y$7:$Y$740,"*Novo Plano*")
+COUNTIFS('2. Status Detalhe Campos FY24'!$G$7:$G$740,'1. Status Resumo FY24'!$P112,'2. Status Detalhe Campos FY24'!$C$7:$C$740,'1. Status Resumo FY24'!$H$93,'2. Status Detalhe Campos FY24'!$D$7:$D$740,"2. Campo",'2. Status Detalhe Campos FY24'!$Y$7:$Y$740,"*Novo Plano*")</f>
        <v>0</v>
      </c>
      <c r="V114" s="443">
        <f t="shared" si="5"/>
        <v>0</v>
      </c>
      <c r="W114" s="156"/>
      <c r="X114" s="536"/>
      <c r="Y114" s="537"/>
      <c r="Z114" s="537"/>
      <c r="AA114" s="537"/>
      <c r="AB114" s="537"/>
      <c r="AC114" s="537"/>
      <c r="AD114" s="537"/>
      <c r="AE114" s="537"/>
      <c r="AF114" s="538"/>
      <c r="AG114" s="157"/>
      <c r="AH114" s="116"/>
    </row>
    <row r="115" spans="1:34" ht="17.899999999999999" customHeight="1">
      <c r="A115" s="116"/>
      <c r="B115" s="121"/>
      <c r="P115" s="370" t="s">
        <v>615</v>
      </c>
      <c r="Q115" s="370"/>
      <c r="R115" s="370" t="s">
        <v>616</v>
      </c>
      <c r="S115" s="370"/>
      <c r="T115" s="370">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0">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0">
        <f t="shared" si="5"/>
        <v>0</v>
      </c>
      <c r="W115" s="156"/>
      <c r="X115" s="536"/>
      <c r="Y115" s="537"/>
      <c r="Z115" s="537"/>
      <c r="AA115" s="537"/>
      <c r="AB115" s="537"/>
      <c r="AC115" s="537"/>
      <c r="AD115" s="537"/>
      <c r="AE115" s="537"/>
      <c r="AF115" s="538"/>
      <c r="AG115" s="157"/>
      <c r="AH115" s="116"/>
    </row>
    <row r="116" spans="1:34" ht="17.899999999999999" customHeight="1">
      <c r="A116" s="116"/>
      <c r="B116" s="121"/>
      <c r="P116" s="372" t="s">
        <v>2365</v>
      </c>
      <c r="Q116" s="373"/>
      <c r="R116" s="373"/>
      <c r="S116" s="373"/>
      <c r="T116" s="442">
        <f>COUNTIFS('2. Status Detalhe Campos FY24'!$H$7:$H$740,'1. Status Resumo FY24'!$P115,'2. Status Detalhe Campos FY24'!$C$7:$C$740,'1. Status Resumo FY24'!$G$93,'2. Status Detalhe Campos FY24'!$D$7:$D$740,"2. Campo",'2. Status Detalhe Campos FY24'!$Y$7:$Y$740,"*Plano anterior*")
+COUNTIFS('2. Status Detalhe Campos FY24'!$H$7:$H$740,'1. Status Resumo FY24'!$P115,'2. Status Detalhe Campos FY24'!$C$7:$C$740,'1. Status Resumo FY24'!$H$93,'2. Status Detalhe Campos FY24'!$D$7:$D$740,"2. Campo",'2. Status Detalhe Campos FY24'!$Y$7:$Y$740,"*Plano anterior*")</f>
        <v>0</v>
      </c>
      <c r="U116" s="442">
        <f>COUNTIFS('2. Status Detalhe Campos FY24'!$G$7:$G$740,'1. Status Resumo FY24'!$P115,'2. Status Detalhe Campos FY24'!$C$7:$C$740,'1. Status Resumo FY24'!$G$93,'2. Status Detalhe Campos FY24'!$D$7:$D$740,"2. Campo",'2. Status Detalhe Campos FY24'!$Y$7:$Y$740,"*Plano anterior*")
+COUNTIFS('2. Status Detalhe Campos FY24'!$G$7:$G$740,'1. Status Resumo FY24'!$P115,'2. Status Detalhe Campos FY24'!$C$7:$C$740,'1. Status Resumo FY24'!$H$93,'2. Status Detalhe Campos FY24'!$D$7:$D$740,"2. Campo",'2. Status Detalhe Campos FY24'!$Y$7:$Y$740,"*Plano anterior*")</f>
        <v>0</v>
      </c>
      <c r="V116" s="442">
        <f t="shared" si="5"/>
        <v>0</v>
      </c>
      <c r="W116" s="156"/>
      <c r="X116" s="536"/>
      <c r="Y116" s="537"/>
      <c r="Z116" s="537"/>
      <c r="AA116" s="537"/>
      <c r="AB116" s="537"/>
      <c r="AC116" s="537"/>
      <c r="AD116" s="537"/>
      <c r="AE116" s="537"/>
      <c r="AF116" s="538"/>
      <c r="AG116" s="157"/>
      <c r="AH116" s="116"/>
    </row>
    <row r="117" spans="1:34" ht="17.899999999999999" customHeight="1">
      <c r="A117" s="116"/>
      <c r="B117" s="121"/>
      <c r="P117" s="372" t="s">
        <v>2355</v>
      </c>
      <c r="Q117" s="375"/>
      <c r="R117" s="375"/>
      <c r="S117" s="375"/>
      <c r="T117" s="443">
        <f>COUNTIFS('2. Status Detalhe Campos FY24'!$H$7:$H$740,'1. Status Resumo FY24'!$P115,'2. Status Detalhe Campos FY24'!$C$7:$C$740,'1. Status Resumo FY24'!$G$93,'2. Status Detalhe Campos FY24'!$D$7:$D$740,"2. Campo",'2. Status Detalhe Campos FY24'!$Y$7:$Y$740,"*Novo Plano*")
+COUNTIFS('2. Status Detalhe Campos FY24'!$H$7:$H$740,'1. Status Resumo FY24'!$P115,'2. Status Detalhe Campos FY24'!$C$7:$C$740,'1. Status Resumo FY24'!$H$93,'2. Status Detalhe Campos FY24'!$D$7:$D$740,"2. Campo",'2. Status Detalhe Campos FY24'!$Y$7:$Y$740,"*Novo Plano*")</f>
        <v>0</v>
      </c>
      <c r="U117" s="443">
        <f>COUNTIFS('2. Status Detalhe Campos FY24'!$G$7:$G$740,'1. Status Resumo FY24'!$P115,'2. Status Detalhe Campos FY24'!$C$7:$C$740,'1. Status Resumo FY24'!$G$93,'2. Status Detalhe Campos FY24'!$D$7:$D$740,"2. Campo",'2. Status Detalhe Campos FY24'!$Y$7:$Y$740,"*Novo Plano*")
+COUNTIFS('2. Status Detalhe Campos FY24'!$G$7:$G$740,'1. Status Resumo FY24'!$P115,'2. Status Detalhe Campos FY24'!$C$7:$C$740,'1. Status Resumo FY24'!$H$93,'2. Status Detalhe Campos FY24'!$D$7:$D$740,"2. Campo",'2. Status Detalhe Campos FY24'!$Y$7:$Y$740,"*Novo Plano*")</f>
        <v>0</v>
      </c>
      <c r="V117" s="443">
        <f t="shared" si="5"/>
        <v>0</v>
      </c>
      <c r="W117" s="156"/>
      <c r="X117" s="536"/>
      <c r="Y117" s="537"/>
      <c r="Z117" s="537"/>
      <c r="AA117" s="537"/>
      <c r="AB117" s="537"/>
      <c r="AC117" s="537"/>
      <c r="AD117" s="537"/>
      <c r="AE117" s="537"/>
      <c r="AF117" s="538"/>
      <c r="AG117" s="157"/>
      <c r="AH117" s="116"/>
    </row>
    <row r="118" spans="1:34">
      <c r="A118" s="116"/>
      <c r="B118" s="121"/>
      <c r="P118" s="370" t="s">
        <v>2320</v>
      </c>
      <c r="Q118" s="370"/>
      <c r="R118" s="370"/>
      <c r="S118" s="370"/>
      <c r="T118" s="370">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0</v>
      </c>
      <c r="U118" s="370">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0</v>
      </c>
      <c r="V118" s="370">
        <f t="shared" si="5"/>
        <v>0</v>
      </c>
      <c r="X118" s="536"/>
      <c r="Y118" s="537"/>
      <c r="Z118" s="537"/>
      <c r="AA118" s="537"/>
      <c r="AB118" s="537"/>
      <c r="AC118" s="537"/>
      <c r="AD118" s="537"/>
      <c r="AE118" s="537"/>
      <c r="AF118" s="538"/>
      <c r="AG118" s="157"/>
      <c r="AH118" s="116"/>
    </row>
    <row r="119" spans="1:34">
      <c r="A119" s="116"/>
      <c r="B119" s="121"/>
      <c r="P119" s="372" t="s">
        <v>2365</v>
      </c>
      <c r="Q119" s="373"/>
      <c r="R119" s="373"/>
      <c r="S119" s="373"/>
      <c r="T119" s="442">
        <f>COUNTIFS('2. Status Detalhe Campos FY24'!$H$7:$H$740,'1. Status Resumo FY24'!$P118,'2. Status Detalhe Campos FY24'!$C$7:$C$740,'1. Status Resumo FY24'!$G$93,'2. Status Detalhe Campos FY24'!$D$7:$D$740,"2. Campo",'2. Status Detalhe Campos FY24'!$Y$7:$Y$740,"*Plano anterior*")
+COUNTIFS('2. Status Detalhe Campos FY24'!$H$7:$H$740,'1. Status Resumo FY24'!$P118,'2. Status Detalhe Campos FY24'!$C$7:$C$740,'1. Status Resumo FY24'!$H$93,'2. Status Detalhe Campos FY24'!$D$7:$D$740,"2. Campo",'2. Status Detalhe Campos FY24'!$Y$7:$Y$740,"*Plano anterior*")</f>
        <v>0</v>
      </c>
      <c r="U119" s="442">
        <f>COUNTIFS('2. Status Detalhe Campos FY24'!$G$7:$G$740,'1. Status Resumo FY24'!$P118,'2. Status Detalhe Campos FY24'!$C$7:$C$740,'1. Status Resumo FY24'!$G$93,'2. Status Detalhe Campos FY24'!$D$7:$D$740,"2. Campo",'2. Status Detalhe Campos FY24'!$Y$7:$Y$740,"*Plano anterior*")
+COUNTIFS('2. Status Detalhe Campos FY24'!$G$7:$G$740,'1. Status Resumo FY24'!$P118,'2. Status Detalhe Campos FY24'!$C$7:$C$740,'1. Status Resumo FY24'!$H$93,'2. Status Detalhe Campos FY24'!$D$7:$D$740,"2. Campo",'2. Status Detalhe Campos FY24'!$Y$7:$Y$740,"*Plano anterior*")</f>
        <v>0</v>
      </c>
      <c r="V119" s="442">
        <f t="shared" si="5"/>
        <v>0</v>
      </c>
      <c r="X119" s="536"/>
      <c r="Y119" s="537"/>
      <c r="Z119" s="537"/>
      <c r="AA119" s="537"/>
      <c r="AB119" s="537"/>
      <c r="AC119" s="537"/>
      <c r="AD119" s="537"/>
      <c r="AE119" s="537"/>
      <c r="AF119" s="538"/>
      <c r="AG119" s="157"/>
      <c r="AH119" s="116"/>
    </row>
    <row r="120" spans="1:34">
      <c r="A120" s="116"/>
      <c r="B120" s="121"/>
      <c r="P120" s="372" t="s">
        <v>2355</v>
      </c>
      <c r="Q120" s="375"/>
      <c r="R120" s="375"/>
      <c r="S120" s="375"/>
      <c r="T120" s="443">
        <f>COUNTIFS('2. Status Detalhe Campos FY24'!$H$7:$H$740,'1. Status Resumo FY24'!$P118,'2. Status Detalhe Campos FY24'!$C$7:$C$740,'1. Status Resumo FY24'!$G$93,'2. Status Detalhe Campos FY24'!$D$7:$D$740,"2. Campo",'2. Status Detalhe Campos FY24'!$Y$7:$Y$740,"*Novo Plano*")
+COUNTIFS('2. Status Detalhe Campos FY24'!$H$7:$H$740,'1. Status Resumo FY24'!$P118,'2. Status Detalhe Campos FY24'!$C$7:$C$740,'1. Status Resumo FY24'!$H$93,'2. Status Detalhe Campos FY24'!$D$7:$D$740,"2. Campo",'2. Status Detalhe Campos FY24'!$Y$7:$Y$740,"*Novo Plano*")</f>
        <v>0</v>
      </c>
      <c r="U120" s="443">
        <f>COUNTIFS('2. Status Detalhe Campos FY24'!$G$7:$G$740,'1. Status Resumo FY24'!$P118,'2. Status Detalhe Campos FY24'!$C$7:$C$740,'1. Status Resumo FY24'!$G$93,'2. Status Detalhe Campos FY24'!$D$7:$D$740,"2. Campo",'2. Status Detalhe Campos FY24'!$Y$7:$Y$740,"*Novo Plano*")
+COUNTIFS('2. Status Detalhe Campos FY24'!$G$7:$G$740,'1. Status Resumo FY24'!$P118,'2. Status Detalhe Campos FY24'!$C$7:$C$740,'1. Status Resumo FY24'!$H$93,'2. Status Detalhe Campos FY24'!$D$7:$D$740,"2. Campo",'2. Status Detalhe Campos FY24'!$Y$7:$Y$740,"*Novo Plano*")</f>
        <v>0</v>
      </c>
      <c r="V120" s="443">
        <f t="shared" si="5"/>
        <v>0</v>
      </c>
      <c r="X120" s="536"/>
      <c r="Y120" s="537"/>
      <c r="Z120" s="537"/>
      <c r="AA120" s="537"/>
      <c r="AB120" s="537"/>
      <c r="AC120" s="537"/>
      <c r="AD120" s="537"/>
      <c r="AE120" s="537"/>
      <c r="AF120" s="538"/>
      <c r="AG120" s="157"/>
      <c r="AH120" s="116"/>
    </row>
    <row r="121" spans="1:34">
      <c r="A121" s="116"/>
      <c r="B121" s="121"/>
      <c r="P121" s="370" t="s">
        <v>28</v>
      </c>
      <c r="Q121" s="370"/>
      <c r="R121" s="370"/>
      <c r="S121" s="370"/>
      <c r="T121" s="370">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0">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0">
        <f t="shared" si="5"/>
        <v>0</v>
      </c>
      <c r="X121" s="536"/>
      <c r="Y121" s="537"/>
      <c r="Z121" s="537"/>
      <c r="AA121" s="537"/>
      <c r="AB121" s="537"/>
      <c r="AC121" s="537"/>
      <c r="AD121" s="537"/>
      <c r="AE121" s="537"/>
      <c r="AF121" s="538"/>
      <c r="AG121" s="157"/>
      <c r="AH121" s="116"/>
    </row>
    <row r="122" spans="1:34">
      <c r="A122" s="116"/>
      <c r="B122" s="121"/>
      <c r="P122" s="372" t="s">
        <v>2365</v>
      </c>
      <c r="Q122" s="373"/>
      <c r="R122" s="373"/>
      <c r="S122" s="373"/>
      <c r="T122" s="442">
        <f>COUNTIFS('2. Status Detalhe Campos FY24'!$H$7:$H$740,'1. Status Resumo FY24'!$P121,'2. Status Detalhe Campos FY24'!$C$7:$C$740,'1. Status Resumo FY24'!$G$93,'2. Status Detalhe Campos FY24'!$D$7:$D$740,"2. Campo",'2. Status Detalhe Campos FY24'!$Y$7:$Y$740,"*Plano anterior*")
+COUNTIFS('2. Status Detalhe Campos FY24'!$H$7:$H$740,'1. Status Resumo FY24'!$P121,'2. Status Detalhe Campos FY24'!$C$7:$C$740,'1. Status Resumo FY24'!$H$93,'2. Status Detalhe Campos FY24'!$D$7:$D$740,"2. Campo",'2. Status Detalhe Campos FY24'!$Y$7:$Y$740,"*Plano anterior*")</f>
        <v>0</v>
      </c>
      <c r="U122" s="442">
        <f>COUNTIFS('2. Status Detalhe Campos FY24'!$G$7:$G$740,'1. Status Resumo FY24'!$P121,'2. Status Detalhe Campos FY24'!$C$7:$C$740,'1. Status Resumo FY24'!$G$93,'2. Status Detalhe Campos FY24'!$D$7:$D$740,"2. Campo",'2. Status Detalhe Campos FY24'!$Y$7:$Y$740,"*Plano anterior*")
+COUNTIFS('2. Status Detalhe Campos FY24'!$G$7:$G$740,'1. Status Resumo FY24'!$P121,'2. Status Detalhe Campos FY24'!$C$7:$C$740,'1. Status Resumo FY24'!$H$93,'2. Status Detalhe Campos FY24'!$D$7:$D$740,"2. Campo",'2. Status Detalhe Campos FY24'!$Y$7:$Y$740,"*Plano anterior*")</f>
        <v>0</v>
      </c>
      <c r="V122" s="442">
        <f t="shared" si="5"/>
        <v>0</v>
      </c>
      <c r="X122" s="536"/>
      <c r="Y122" s="537"/>
      <c r="Z122" s="537"/>
      <c r="AA122" s="537"/>
      <c r="AB122" s="537"/>
      <c r="AC122" s="537"/>
      <c r="AD122" s="537"/>
      <c r="AE122" s="537"/>
      <c r="AF122" s="538"/>
      <c r="AG122" s="157"/>
      <c r="AH122" s="116"/>
    </row>
    <row r="123" spans="1:34">
      <c r="A123" s="116"/>
      <c r="B123" s="121"/>
      <c r="P123" s="376" t="s">
        <v>2355</v>
      </c>
      <c r="Q123" s="377"/>
      <c r="R123" s="377"/>
      <c r="S123" s="377"/>
      <c r="T123" s="444">
        <f>COUNTIFS('2. Status Detalhe Campos FY24'!$H$7:$H$740,'1. Status Resumo FY24'!$P121,'2. Status Detalhe Campos FY24'!$C$7:$C$740,'1. Status Resumo FY24'!$G$93,'2. Status Detalhe Campos FY24'!$D$7:$D$740,"2. Campo",'2. Status Detalhe Campos FY24'!$Y$7:$Y$740,"*Novo Plano*")
+COUNTIFS('2. Status Detalhe Campos FY24'!$H$7:$H$740,'1. Status Resumo FY24'!$P121,'2. Status Detalhe Campos FY24'!$C$7:$C$740,'1. Status Resumo FY24'!$H$93,'2. Status Detalhe Campos FY24'!$D$7:$D$740,"2. Campo",'2. Status Detalhe Campos FY24'!$Y$7:$Y$740,"*Novo Plano*")</f>
        <v>0</v>
      </c>
      <c r="U123" s="444">
        <f>COUNTIFS('2. Status Detalhe Campos FY24'!$G$7:$G$740,'1. Status Resumo FY24'!$P121,'2. Status Detalhe Campos FY24'!$C$7:$C$740,'1. Status Resumo FY24'!$G$93,'2. Status Detalhe Campos FY24'!$D$7:$D$740,"2. Campo",'2. Status Detalhe Campos FY24'!$Y$7:$Y$740,"*Novo Plano*")
+COUNTIFS('2. Status Detalhe Campos FY24'!$G$7:$G$740,'1. Status Resumo FY24'!$P121,'2. Status Detalhe Campos FY24'!$C$7:$C$740,'1. Status Resumo FY24'!$H$93,'2. Status Detalhe Campos FY24'!$D$7:$D$740,"2. Campo",'2. Status Detalhe Campos FY24'!$Y$7:$Y$740,"*Novo Plano*")</f>
        <v>0</v>
      </c>
      <c r="V123" s="444">
        <f t="shared" si="5"/>
        <v>0</v>
      </c>
      <c r="X123" s="536"/>
      <c r="Y123" s="537"/>
      <c r="Z123" s="537"/>
      <c r="AA123" s="537"/>
      <c r="AB123" s="537"/>
      <c r="AC123" s="537"/>
      <c r="AD123" s="537"/>
      <c r="AE123" s="537"/>
      <c r="AF123" s="538"/>
      <c r="AG123" s="157"/>
      <c r="AH123" s="116"/>
    </row>
    <row r="124" spans="1:34">
      <c r="A124" s="116"/>
      <c r="B124" s="121"/>
      <c r="P124" s="127" t="s">
        <v>2326</v>
      </c>
      <c r="T124" s="127">
        <f>+SUM(T97,T100,T103,T109,T112,T115,T118,T121,T106)</f>
        <v>302</v>
      </c>
      <c r="U124" s="127">
        <f>+SUM(U97,U100,U103,U109,U112,U115,U118,U121,U106)</f>
        <v>302</v>
      </c>
      <c r="V124" s="127">
        <f>+U124-T124</f>
        <v>0</v>
      </c>
      <c r="X124" s="536"/>
      <c r="Y124" s="537"/>
      <c r="Z124" s="537"/>
      <c r="AA124" s="537"/>
      <c r="AB124" s="537"/>
      <c r="AC124" s="537"/>
      <c r="AD124" s="537"/>
      <c r="AE124" s="537"/>
      <c r="AF124" s="538"/>
      <c r="AG124" s="157"/>
      <c r="AH124" s="116"/>
    </row>
    <row r="125" spans="1:34">
      <c r="A125" s="116"/>
      <c r="B125" s="121"/>
      <c r="P125" s="378" t="s">
        <v>2365</v>
      </c>
      <c r="T125" s="445">
        <f>+SUM(T98,T101,T104,T107,T110,T113,T116,T119,T122)</f>
        <v>277</v>
      </c>
      <c r="U125" s="445">
        <f>+SUM(U98,U101,U104,U107,U110,U113,U116,U119,U122)</f>
        <v>277</v>
      </c>
      <c r="V125" s="445">
        <f>+U125-T125</f>
        <v>0</v>
      </c>
      <c r="X125" s="536"/>
      <c r="Y125" s="537"/>
      <c r="Z125" s="537"/>
      <c r="AA125" s="537"/>
      <c r="AB125" s="537"/>
      <c r="AC125" s="537"/>
      <c r="AD125" s="537"/>
      <c r="AE125" s="537"/>
      <c r="AF125" s="538"/>
      <c r="AG125" s="157"/>
      <c r="AH125" s="116"/>
    </row>
    <row r="126" spans="1:34">
      <c r="A126" s="116"/>
      <c r="B126" s="121"/>
      <c r="P126" s="379" t="s">
        <v>2355</v>
      </c>
      <c r="Q126" s="130"/>
      <c r="R126" s="130"/>
      <c r="S126" s="130"/>
      <c r="T126" s="446">
        <f>+SUM(T99,T102,T105,T108,T111,T114,T117,T120,T123)</f>
        <v>25</v>
      </c>
      <c r="U126" s="446">
        <f>+SUM(U99,U102,U105,U108,U111,U114,U117,U120,U123)</f>
        <v>25</v>
      </c>
      <c r="V126" s="446">
        <f>+U126-T126</f>
        <v>0</v>
      </c>
      <c r="X126" s="536"/>
      <c r="Y126" s="537"/>
      <c r="Z126" s="537"/>
      <c r="AA126" s="537"/>
      <c r="AB126" s="537"/>
      <c r="AC126" s="537"/>
      <c r="AD126" s="537"/>
      <c r="AE126" s="537"/>
      <c r="AF126" s="538"/>
      <c r="AG126" s="157"/>
      <c r="AH126" s="116"/>
    </row>
    <row r="127" spans="1:34">
      <c r="A127" s="116"/>
      <c r="B127" s="121"/>
      <c r="X127" s="536"/>
      <c r="Y127" s="537"/>
      <c r="Z127" s="537"/>
      <c r="AA127" s="537"/>
      <c r="AB127" s="537"/>
      <c r="AC127" s="537"/>
      <c r="AD127" s="537"/>
      <c r="AE127" s="537"/>
      <c r="AF127" s="538"/>
      <c r="AG127" s="157"/>
      <c r="AH127" s="116"/>
    </row>
    <row r="128" spans="1:34">
      <c r="A128" s="116"/>
      <c r="B128" s="121"/>
      <c r="P128" s="129" t="s">
        <v>632</v>
      </c>
      <c r="Q128" s="130"/>
      <c r="R128" s="130"/>
      <c r="S128" s="130"/>
      <c r="T128" s="130"/>
      <c r="U128" s="130"/>
      <c r="V128" s="130"/>
      <c r="X128" s="536"/>
      <c r="Y128" s="537"/>
      <c r="Z128" s="537"/>
      <c r="AA128" s="537"/>
      <c r="AB128" s="537"/>
      <c r="AC128" s="537"/>
      <c r="AD128" s="537"/>
      <c r="AE128" s="537"/>
      <c r="AF128" s="538"/>
      <c r="AG128" s="157"/>
      <c r="AH128" s="116"/>
    </row>
    <row r="129" spans="1:34">
      <c r="A129" s="116"/>
      <c r="B129" s="121"/>
      <c r="O129" s="159" t="s">
        <v>619</v>
      </c>
      <c r="P129" s="25" t="s">
        <v>216</v>
      </c>
      <c r="T129" s="161" t="s">
        <v>621</v>
      </c>
      <c r="X129" s="536"/>
      <c r="Y129" s="537"/>
      <c r="Z129" s="537"/>
      <c r="AA129" s="537"/>
      <c r="AB129" s="537"/>
      <c r="AC129" s="537"/>
      <c r="AD129" s="537"/>
      <c r="AE129" s="537"/>
      <c r="AF129" s="538"/>
      <c r="AG129" s="157"/>
      <c r="AH129" s="116"/>
    </row>
    <row r="130" spans="1:34">
      <c r="A130" s="116"/>
      <c r="B130" s="121"/>
      <c r="O130" s="159" t="s">
        <v>619</v>
      </c>
      <c r="P130" s="25" t="s">
        <v>215</v>
      </c>
      <c r="T130" s="161" t="s">
        <v>621</v>
      </c>
      <c r="X130" s="536"/>
      <c r="Y130" s="537"/>
      <c r="Z130" s="537"/>
      <c r="AA130" s="537"/>
      <c r="AB130" s="537"/>
      <c r="AC130" s="537"/>
      <c r="AD130" s="537"/>
      <c r="AE130" s="537"/>
      <c r="AF130" s="538"/>
      <c r="AG130" s="157"/>
      <c r="AH130" s="116"/>
    </row>
    <row r="131" spans="1:34">
      <c r="A131" s="116"/>
      <c r="B131" s="121"/>
      <c r="O131" s="159" t="s">
        <v>619</v>
      </c>
      <c r="P131" s="25" t="s">
        <v>213</v>
      </c>
      <c r="T131" s="161" t="s">
        <v>621</v>
      </c>
      <c r="X131" s="536"/>
      <c r="Y131" s="537"/>
      <c r="Z131" s="537"/>
      <c r="AA131" s="537"/>
      <c r="AB131" s="537"/>
      <c r="AC131" s="537"/>
      <c r="AD131" s="537"/>
      <c r="AE131" s="537"/>
      <c r="AF131" s="538"/>
      <c r="AG131" s="157"/>
      <c r="AH131" s="116"/>
    </row>
    <row r="132" spans="1:34">
      <c r="A132" s="116"/>
      <c r="B132" s="121"/>
      <c r="O132" s="159" t="s">
        <v>619</v>
      </c>
      <c r="P132" s="25" t="s">
        <v>212</v>
      </c>
      <c r="T132" s="161" t="s">
        <v>621</v>
      </c>
      <c r="X132" s="536"/>
      <c r="Y132" s="537"/>
      <c r="Z132" s="537"/>
      <c r="AA132" s="537"/>
      <c r="AB132" s="537"/>
      <c r="AC132" s="537"/>
      <c r="AD132" s="537"/>
      <c r="AE132" s="537"/>
      <c r="AF132" s="538"/>
      <c r="AG132" s="157"/>
      <c r="AH132" s="116"/>
    </row>
    <row r="133" spans="1:34">
      <c r="A133" s="116"/>
      <c r="B133" s="121"/>
      <c r="O133" s="159" t="s">
        <v>619</v>
      </c>
      <c r="P133" s="25" t="s">
        <v>217</v>
      </c>
      <c r="T133" s="161" t="s">
        <v>621</v>
      </c>
      <c r="X133" s="536"/>
      <c r="Y133" s="537"/>
      <c r="Z133" s="537"/>
      <c r="AA133" s="537"/>
      <c r="AB133" s="537"/>
      <c r="AC133" s="537"/>
      <c r="AD133" s="537"/>
      <c r="AE133" s="537"/>
      <c r="AF133" s="538"/>
      <c r="AG133" s="157"/>
      <c r="AH133" s="116"/>
    </row>
    <row r="134" spans="1:34">
      <c r="A134" s="116"/>
      <c r="B134" s="121"/>
      <c r="O134" s="159" t="s">
        <v>619</v>
      </c>
      <c r="P134" s="25" t="s">
        <v>218</v>
      </c>
      <c r="T134" s="161" t="s">
        <v>621</v>
      </c>
      <c r="X134" s="536"/>
      <c r="Y134" s="537"/>
      <c r="Z134" s="537"/>
      <c r="AA134" s="537"/>
      <c r="AB134" s="537"/>
      <c r="AC134" s="537"/>
      <c r="AD134" s="537"/>
      <c r="AE134" s="537"/>
      <c r="AF134" s="538"/>
      <c r="AG134" s="157"/>
      <c r="AH134" s="116"/>
    </row>
    <row r="135" spans="1:34">
      <c r="A135" s="116"/>
      <c r="B135" s="121"/>
      <c r="O135" s="159" t="s">
        <v>619</v>
      </c>
      <c r="P135" s="25" t="s">
        <v>219</v>
      </c>
      <c r="T135" s="161" t="s">
        <v>621</v>
      </c>
      <c r="X135" s="536"/>
      <c r="Y135" s="537"/>
      <c r="Z135" s="537"/>
      <c r="AA135" s="537"/>
      <c r="AB135" s="537"/>
      <c r="AC135" s="537"/>
      <c r="AD135" s="537"/>
      <c r="AE135" s="537"/>
      <c r="AF135" s="538"/>
      <c r="AG135" s="157"/>
      <c r="AH135" s="116"/>
    </row>
    <row r="136" spans="1:34">
      <c r="A136" s="116"/>
      <c r="B136" s="121"/>
      <c r="O136" s="159" t="s">
        <v>619</v>
      </c>
      <c r="P136" s="25" t="s">
        <v>214</v>
      </c>
      <c r="T136" s="161" t="s">
        <v>621</v>
      </c>
      <c r="X136" s="536"/>
      <c r="Y136" s="537"/>
      <c r="Z136" s="537"/>
      <c r="AA136" s="537"/>
      <c r="AB136" s="537"/>
      <c r="AC136" s="537"/>
      <c r="AD136" s="537"/>
      <c r="AE136" s="537"/>
      <c r="AF136" s="538"/>
      <c r="AG136" s="157"/>
      <c r="AH136" s="116"/>
    </row>
    <row r="137" spans="1:34">
      <c r="A137" s="116"/>
      <c r="B137" s="121"/>
      <c r="O137" s="159" t="s">
        <v>619</v>
      </c>
      <c r="P137" s="25" t="s">
        <v>182</v>
      </c>
      <c r="T137" s="480" t="s">
        <v>2426</v>
      </c>
      <c r="X137" s="536"/>
      <c r="Y137" s="537"/>
      <c r="Z137" s="537"/>
      <c r="AA137" s="537"/>
      <c r="AB137" s="537"/>
      <c r="AC137" s="537"/>
      <c r="AD137" s="537"/>
      <c r="AE137" s="537"/>
      <c r="AF137" s="538"/>
      <c r="AG137" s="157"/>
      <c r="AH137" s="116"/>
    </row>
    <row r="138" spans="1:34">
      <c r="A138" s="116"/>
      <c r="B138" s="121"/>
      <c r="O138" s="159" t="s">
        <v>619</v>
      </c>
      <c r="P138" s="168" t="s">
        <v>2318</v>
      </c>
      <c r="T138" s="161" t="s">
        <v>621</v>
      </c>
      <c r="X138" s="536"/>
      <c r="Y138" s="537"/>
      <c r="Z138" s="537"/>
      <c r="AA138" s="537"/>
      <c r="AB138" s="537"/>
      <c r="AC138" s="537"/>
      <c r="AD138" s="537"/>
      <c r="AE138" s="537"/>
      <c r="AF138" s="538"/>
      <c r="AG138" s="157"/>
      <c r="AH138" s="116"/>
    </row>
    <row r="139" spans="1:34">
      <c r="A139" s="116"/>
      <c r="B139" s="121"/>
      <c r="O139" s="159" t="s">
        <v>619</v>
      </c>
      <c r="P139" s="168" t="s">
        <v>2317</v>
      </c>
      <c r="T139" s="161" t="s">
        <v>621</v>
      </c>
      <c r="X139" s="536"/>
      <c r="Y139" s="537"/>
      <c r="Z139" s="537"/>
      <c r="AA139" s="537"/>
      <c r="AB139" s="537"/>
      <c r="AC139" s="537"/>
      <c r="AD139" s="537"/>
      <c r="AE139" s="537"/>
      <c r="AF139" s="538"/>
      <c r="AG139" s="157"/>
      <c r="AH139" s="116"/>
    </row>
    <row r="140" spans="1:34">
      <c r="A140" s="116"/>
      <c r="B140" s="121"/>
      <c r="P140" s="158"/>
      <c r="X140" s="536"/>
      <c r="Y140" s="537"/>
      <c r="Z140" s="537"/>
      <c r="AA140" s="537"/>
      <c r="AB140" s="537"/>
      <c r="AC140" s="537"/>
      <c r="AD140" s="537"/>
      <c r="AE140" s="537"/>
      <c r="AF140" s="538"/>
      <c r="AG140" s="157"/>
      <c r="AH140" s="116"/>
    </row>
    <row r="141" spans="1:34">
      <c r="A141" s="116"/>
      <c r="B141" s="121"/>
      <c r="O141" s="159" t="s">
        <v>619</v>
      </c>
      <c r="P141" s="129" t="s">
        <v>633</v>
      </c>
      <c r="Q141" s="130"/>
      <c r="R141" s="130"/>
      <c r="S141" s="130"/>
      <c r="T141" s="130"/>
      <c r="U141" s="130"/>
      <c r="V141" s="130"/>
      <c r="X141" s="536"/>
      <c r="Y141" s="537"/>
      <c r="Z141" s="537"/>
      <c r="AA141" s="537"/>
      <c r="AB141" s="537"/>
      <c r="AC141" s="537"/>
      <c r="AD141" s="537"/>
      <c r="AE141" s="537"/>
      <c r="AF141" s="538"/>
      <c r="AG141" s="157"/>
      <c r="AH141" s="116"/>
    </row>
    <row r="142" spans="1:34">
      <c r="A142" s="116"/>
      <c r="B142" s="121"/>
      <c r="O142" s="159" t="s">
        <v>619</v>
      </c>
      <c r="P142" s="25" t="s">
        <v>634</v>
      </c>
      <c r="T142" s="161" t="s">
        <v>621</v>
      </c>
      <c r="X142" s="536"/>
      <c r="Y142" s="537"/>
      <c r="Z142" s="537"/>
      <c r="AA142" s="537"/>
      <c r="AB142" s="537"/>
      <c r="AC142" s="537"/>
      <c r="AD142" s="537"/>
      <c r="AE142" s="537"/>
      <c r="AF142" s="538"/>
      <c r="AG142" s="157"/>
      <c r="AH142" s="116"/>
    </row>
    <row r="143" spans="1:34">
      <c r="A143" s="116"/>
      <c r="B143" s="121"/>
      <c r="O143" s="159" t="s">
        <v>619</v>
      </c>
      <c r="P143" s="25" t="s">
        <v>311</v>
      </c>
      <c r="T143" s="161" t="s">
        <v>635</v>
      </c>
      <c r="X143" s="536"/>
      <c r="Y143" s="537"/>
      <c r="Z143" s="537"/>
      <c r="AA143" s="537"/>
      <c r="AB143" s="537"/>
      <c r="AC143" s="537"/>
      <c r="AD143" s="537"/>
      <c r="AE143" s="537"/>
      <c r="AF143" s="538"/>
      <c r="AG143" s="157"/>
      <c r="AH143" s="116"/>
    </row>
    <row r="144" spans="1:34">
      <c r="A144" s="116"/>
      <c r="B144" s="121"/>
      <c r="O144" s="159" t="s">
        <v>619</v>
      </c>
      <c r="P144" s="25" t="s">
        <v>325</v>
      </c>
      <c r="T144" s="161" t="s">
        <v>621</v>
      </c>
      <c r="X144" s="536"/>
      <c r="Y144" s="537"/>
      <c r="Z144" s="537"/>
      <c r="AA144" s="537"/>
      <c r="AB144" s="537"/>
      <c r="AC144" s="537"/>
      <c r="AD144" s="537"/>
      <c r="AE144" s="537"/>
      <c r="AF144" s="538"/>
      <c r="AG144" s="157"/>
      <c r="AH144" s="116"/>
    </row>
    <row r="145" spans="1:34">
      <c r="A145" s="116"/>
      <c r="B145" s="121"/>
      <c r="O145" s="159" t="s">
        <v>619</v>
      </c>
      <c r="P145" s="25" t="s">
        <v>333</v>
      </c>
      <c r="T145" s="480" t="s">
        <v>2426</v>
      </c>
      <c r="X145" s="536"/>
      <c r="Y145" s="537"/>
      <c r="Z145" s="537"/>
      <c r="AA145" s="537"/>
      <c r="AB145" s="537"/>
      <c r="AC145" s="537"/>
      <c r="AD145" s="537"/>
      <c r="AE145" s="537"/>
      <c r="AF145" s="538"/>
      <c r="AG145" s="157"/>
      <c r="AH145" s="116"/>
    </row>
    <row r="146" spans="1:34">
      <c r="A146" s="116"/>
      <c r="B146" s="121"/>
      <c r="O146" s="159"/>
      <c r="T146" s="160"/>
      <c r="X146" s="539"/>
      <c r="Y146" s="540"/>
      <c r="Z146" s="540"/>
      <c r="AA146" s="540"/>
      <c r="AB146" s="540"/>
      <c r="AC146" s="540"/>
      <c r="AD146" s="540"/>
      <c r="AE146" s="540"/>
      <c r="AF146" s="541"/>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2329</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15"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45744</v>
      </c>
      <c r="U152" s="131">
        <f>U51</f>
        <v>45751</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6">U153-T153</f>
        <v>0</v>
      </c>
      <c r="X153" s="531" t="s">
        <v>2468</v>
      </c>
      <c r="Y153" s="532"/>
      <c r="Z153" s="532"/>
      <c r="AA153" s="532"/>
      <c r="AB153" s="532"/>
      <c r="AC153" s="532"/>
      <c r="AD153" s="532"/>
      <c r="AE153" s="532"/>
      <c r="AF153" s="532"/>
      <c r="AG153" s="162"/>
      <c r="AH153" s="116"/>
    </row>
    <row r="154" spans="1:34">
      <c r="A154" s="116"/>
      <c r="B154" s="121"/>
      <c r="C154" s="426" t="s">
        <v>2372</v>
      </c>
      <c r="D154" s="425"/>
      <c r="E154" s="425"/>
      <c r="P154" s="372" t="s">
        <v>2365</v>
      </c>
      <c r="Q154" s="373"/>
      <c r="R154" s="373"/>
      <c r="S154" s="373"/>
      <c r="T154" s="442">
        <f>COUNTIFS(Table4[Status Anterior],'1. Status Resumo FY24'!$P153,Table4[Sub-âmbito],'1. Status Resumo FY24'!$G$149,Table4[Tipo de teste],"2. Campo",'2. Status Detalhe Campos FY24'!$Y$7:$Y$740,"*Plano anterior*")</f>
        <v>4</v>
      </c>
      <c r="U154" s="442">
        <f>COUNTIFS(Table4[Status Atual],'1. Status Resumo FY24'!$P153,Table4[Sub-âmbito],'1. Status Resumo FY24'!$G$149,Table4[Tipo de teste],"2. Campo",'2. Status Detalhe Campos FY24'!$Y$7:$Y$740,"*Plano anterior*")</f>
        <v>4</v>
      </c>
      <c r="V154" s="442">
        <f t="shared" si="6"/>
        <v>0</v>
      </c>
      <c r="X154" s="531"/>
      <c r="Y154" s="532"/>
      <c r="Z154" s="532"/>
      <c r="AA154" s="532"/>
      <c r="AB154" s="532"/>
      <c r="AC154" s="532"/>
      <c r="AD154" s="532"/>
      <c r="AE154" s="532"/>
      <c r="AF154" s="532"/>
      <c r="AG154" s="162"/>
      <c r="AH154" s="116"/>
    </row>
    <row r="155" spans="1:34">
      <c r="A155" s="116"/>
      <c r="B155" s="121"/>
      <c r="C155" s="424"/>
      <c r="P155" s="372" t="s">
        <v>2360</v>
      </c>
      <c r="Q155" s="373"/>
      <c r="R155" s="373"/>
      <c r="S155" s="373"/>
      <c r="T155" s="442">
        <f>COUNTIFS(Table4[Status Anterior],'1. Status Resumo FY24'!$P153,Table4[Sub-âmbito],'1. Status Resumo FY24'!$G$149,Table4[Tipo de teste],"2. Campo",'2. Status Detalhe Campos FY24'!$Y$7:$Y$740,"*Novo Plano*",'2. Status Detalhe Campos FY24'!$X$7:$X$740,"*Âmbito ESTR e (ou) LF*")</f>
        <v>0</v>
      </c>
      <c r="U155" s="442">
        <f>COUNTIFS(Table4[Status Atual],'1. Status Resumo FY24'!$P153,Table4[Sub-âmbito],'1. Status Resumo FY24'!$G$149,Table4[Tipo de teste],"2. Campo",'2. Status Detalhe Campos FY24'!$Y$7:$Y$740,"*Novo Plano*",'2. Status Detalhe Campos FY24'!$Y$7:$Y$740,"*Novo Plano*",'2. Status Detalhe Campos FY24'!$X$7:$X$740,"*Âmbito ESTR e (ou) LF*")</f>
        <v>0</v>
      </c>
      <c r="V155" s="442">
        <f t="shared" si="6"/>
        <v>0</v>
      </c>
      <c r="X155" s="531"/>
      <c r="Y155" s="532"/>
      <c r="Z155" s="532"/>
      <c r="AA155" s="532"/>
      <c r="AB155" s="532"/>
      <c r="AC155" s="532"/>
      <c r="AD155" s="532"/>
      <c r="AE155" s="532"/>
      <c r="AF155" s="532"/>
      <c r="AG155" s="162"/>
      <c r="AH155" s="116"/>
    </row>
    <row r="156" spans="1:34">
      <c r="A156" s="116"/>
      <c r="B156" s="121"/>
      <c r="P156" s="374" t="s">
        <v>2361</v>
      </c>
      <c r="Q156" s="375"/>
      <c r="R156" s="375"/>
      <c r="S156" s="375"/>
      <c r="T156" s="443">
        <f>COUNTIFS(Table4[Status Anterior],'1. Status Resumo FY24'!$P153,Table4[Sub-âmbito],'1. Status Resumo FY24'!$G$149,Table4[Tipo de teste],"2. Campo",'2. Status Detalhe Campos FY24'!$Y$7:$Y$740,"*Novo Plano*",'2. Status Detalhe Campos FY24'!$X$7:$X$740,"*Outros*")</f>
        <v>0</v>
      </c>
      <c r="U156" s="443">
        <f>COUNTIFS(Table4[Status Atual],'1. Status Resumo FY24'!$P153,Table4[Sub-âmbito],'1. Status Resumo FY24'!$G$149,Table4[Tipo de teste],"2. Campo",'2. Status Detalhe Campos FY24'!$Y$7:$Y$740,"*Novo Plano*",'2. Status Detalhe Campos FY24'!$Y$7:$Y$740,"*Novo Plano*",'2. Status Detalhe Campos FY24'!$X$7:$X$740,"*Outros*")</f>
        <v>0</v>
      </c>
      <c r="V156" s="443">
        <f t="shared" si="6"/>
        <v>0</v>
      </c>
      <c r="X156" s="531"/>
      <c r="Y156" s="532"/>
      <c r="Z156" s="532"/>
      <c r="AA156" s="532"/>
      <c r="AB156" s="532"/>
      <c r="AC156" s="532"/>
      <c r="AD156" s="532"/>
      <c r="AE156" s="532"/>
      <c r="AF156" s="532"/>
      <c r="AG156" s="162"/>
      <c r="AH156" s="116"/>
    </row>
    <row r="157" spans="1:34">
      <c r="A157" s="116"/>
      <c r="B157" s="121"/>
      <c r="P157" s="25" t="s">
        <v>612</v>
      </c>
      <c r="T157" s="25">
        <f>COUNTIFS(Table4[Status Anterior],'1. Status Resumo FY24'!$P157,Table4[Sub-âmbito],'1. Status Resumo FY24'!$G$149,Table4[Tipo de teste],"2. Campo")</f>
        <v>166</v>
      </c>
      <c r="U157" s="25">
        <f>COUNTIFS(Table4[Status Atual],'1. Status Resumo FY24'!$P157,Table4[Sub-âmbito],'1. Status Resumo FY24'!$G$149,Table4[Tipo de teste],"2. Campo")</f>
        <v>166</v>
      </c>
      <c r="V157" s="25">
        <f t="shared" si="6"/>
        <v>0</v>
      </c>
      <c r="X157" s="532"/>
      <c r="Y157" s="532"/>
      <c r="Z157" s="532"/>
      <c r="AA157" s="532"/>
      <c r="AB157" s="532"/>
      <c r="AC157" s="532"/>
      <c r="AD157" s="532"/>
      <c r="AE157" s="532"/>
      <c r="AF157" s="532"/>
      <c r="AG157" s="162"/>
      <c r="AH157" s="116"/>
    </row>
    <row r="158" spans="1:34">
      <c r="A158" s="116"/>
      <c r="B158" s="121"/>
      <c r="P158" s="372" t="s">
        <v>2365</v>
      </c>
      <c r="Q158" s="373"/>
      <c r="R158" s="373"/>
      <c r="S158" s="373"/>
      <c r="T158" s="442">
        <f>COUNTIFS(Table4[Status Anterior],'1. Status Resumo FY24'!$P157,Table4[Sub-âmbito],'1. Status Resumo FY24'!$G$149,Table4[Tipo de teste],"2. Campo",'2. Status Detalhe Campos FY24'!$Y$7:$Y$740,"*Plano anterior*")</f>
        <v>118</v>
      </c>
      <c r="U158" s="442">
        <f>COUNTIFS(Table4[Status Atual],'1. Status Resumo FY24'!$P157,Table4[Sub-âmbito],'1. Status Resumo FY24'!$G$149,Table4[Tipo de teste],"2. Campo",'2. Status Detalhe Campos FY24'!$Y$7:$Y$740,"*Plano anterior*")</f>
        <v>118</v>
      </c>
      <c r="V158" s="442">
        <f t="shared" si="6"/>
        <v>0</v>
      </c>
      <c r="X158" s="532"/>
      <c r="Y158" s="532"/>
      <c r="Z158" s="532"/>
      <c r="AA158" s="532"/>
      <c r="AB158" s="532"/>
      <c r="AC158" s="532"/>
      <c r="AD158" s="532"/>
      <c r="AE158" s="532"/>
      <c r="AF158" s="532"/>
      <c r="AG158" s="162"/>
      <c r="AH158" s="116"/>
    </row>
    <row r="159" spans="1:34">
      <c r="A159" s="116"/>
      <c r="B159" s="121"/>
      <c r="P159" s="372" t="s">
        <v>2360</v>
      </c>
      <c r="Q159" s="373"/>
      <c r="R159" s="373"/>
      <c r="S159" s="373"/>
      <c r="T159" s="442">
        <f>COUNTIFS(Table4[Status Anterior],'1. Status Resumo FY24'!$P157,Table4[Sub-âmbito],'1. Status Resumo FY24'!$G$149,Table4[Tipo de teste],"2. Campo",'2. Status Detalhe Campos FY24'!$Y$7:$Y$740,"*Novo Plano*",'2. Status Detalhe Campos FY24'!$X$7:$X$740,"*Âmbito ESTR e (ou) LF*")</f>
        <v>14</v>
      </c>
      <c r="U159" s="442">
        <f>COUNTIFS(Table4[Status Atual],'1. Status Resumo FY24'!$P157,Table4[Sub-âmbito],'1. Status Resumo FY24'!$G$149,Table4[Tipo de teste],"2. Campo",'2. Status Detalhe Campos FY24'!$Y$7:$Y$740,"*Novo Plano*",'2. Status Detalhe Campos FY24'!$Y$7:$Y$740,"*Novo Plano*",'2. Status Detalhe Campos FY24'!$X$7:$X$740,"*Âmbito ESTR e (ou) LF*")</f>
        <v>14</v>
      </c>
      <c r="V159" s="442">
        <f t="shared" si="6"/>
        <v>0</v>
      </c>
      <c r="X159" s="532"/>
      <c r="Y159" s="532"/>
      <c r="Z159" s="532"/>
      <c r="AA159" s="532"/>
      <c r="AB159" s="532"/>
      <c r="AC159" s="532"/>
      <c r="AD159" s="532"/>
      <c r="AE159" s="532"/>
      <c r="AF159" s="532"/>
      <c r="AG159" s="162"/>
      <c r="AH159" s="116"/>
    </row>
    <row r="160" spans="1:34">
      <c r="A160" s="116"/>
      <c r="B160" s="121"/>
      <c r="P160" s="374" t="s">
        <v>2361</v>
      </c>
      <c r="Q160" s="375"/>
      <c r="R160" s="375"/>
      <c r="S160" s="375"/>
      <c r="T160" s="443">
        <f>COUNTIFS(Table4[Status Anterior],'1. Status Resumo FY24'!$P157,Table4[Sub-âmbito],'1. Status Resumo FY24'!$G$149,Table4[Tipo de teste],"2. Campo",'2. Status Detalhe Campos FY24'!$Y$7:$Y$740,"*Novo Plano*",'2. Status Detalhe Campos FY24'!$X$7:$X$740,"*Outros*")</f>
        <v>34</v>
      </c>
      <c r="U160" s="443">
        <f>COUNTIFS(Table4[Status Atual],'1. Status Resumo FY24'!$P157,Table4[Sub-âmbito],'1. Status Resumo FY24'!$G$149,Table4[Tipo de teste],"2. Campo",'2. Status Detalhe Campos FY24'!$Y$7:$Y$740,"*Novo Plano*",'2. Status Detalhe Campos FY24'!$Y$7:$Y$740,"*Novo Plano*",'2. Status Detalhe Campos FY24'!$X$7:$X$740,"*Outros*")</f>
        <v>34</v>
      </c>
      <c r="V160" s="443">
        <f t="shared" si="6"/>
        <v>0</v>
      </c>
      <c r="X160" s="532"/>
      <c r="Y160" s="532"/>
      <c r="Z160" s="532"/>
      <c r="AA160" s="532"/>
      <c r="AB160" s="532"/>
      <c r="AC160" s="532"/>
      <c r="AD160" s="532"/>
      <c r="AE160" s="532"/>
      <c r="AF160" s="532"/>
      <c r="AG160" s="162"/>
      <c r="AH160" s="116"/>
    </row>
    <row r="161" spans="1:34" ht="17.899999999999999" customHeight="1">
      <c r="A161" s="116"/>
      <c r="B161" s="121"/>
      <c r="P161" s="25" t="s">
        <v>1840</v>
      </c>
      <c r="T161" s="25">
        <f>COUNTIFS(Table4[Status Anterior],'1. Status Resumo FY24'!$P161,Table4[Sub-âmbito],'1. Status Resumo FY24'!$G$149,Table4[Tipo de teste],"2. Campo")</f>
        <v>8</v>
      </c>
      <c r="U161" s="25">
        <f>COUNTIFS(Table4[Status Atual],'1. Status Resumo FY24'!$P161,Table4[Sub-âmbito],'1. Status Resumo FY24'!$G$149,Table4[Tipo de teste],"2. Campo")</f>
        <v>8</v>
      </c>
      <c r="V161" s="25">
        <f t="shared" si="6"/>
        <v>0</v>
      </c>
      <c r="X161" s="532"/>
      <c r="Y161" s="532"/>
      <c r="Z161" s="532"/>
      <c r="AA161" s="532"/>
      <c r="AB161" s="532"/>
      <c r="AC161" s="532"/>
      <c r="AD161" s="532"/>
      <c r="AE161" s="532"/>
      <c r="AF161" s="532"/>
      <c r="AG161" s="162"/>
      <c r="AH161" s="116"/>
    </row>
    <row r="162" spans="1:34" ht="17.899999999999999" customHeight="1">
      <c r="A162" s="116"/>
      <c r="B162" s="121"/>
      <c r="E162" s="513" t="str">
        <f>+"#"&amp;SUM($U$191:$U$192)</f>
        <v>#71</v>
      </c>
      <c r="P162" s="372" t="s">
        <v>2365</v>
      </c>
      <c r="Q162" s="373"/>
      <c r="R162" s="373"/>
      <c r="S162" s="373"/>
      <c r="T162" s="442">
        <f>COUNTIFS(Table4[Status Anterior],'1. Status Resumo FY24'!$P161,Table4[Sub-âmbito],'1. Status Resumo FY24'!$G$149,Table4[Tipo de teste],"2. Campo",'2. Status Detalhe Campos FY24'!$Y$7:$Y$740,"*Plano anterior*")</f>
        <v>5</v>
      </c>
      <c r="U162" s="442">
        <f>COUNTIFS(Table4[Status Atual],'1. Status Resumo FY24'!$P161,Table4[Sub-âmbito],'1. Status Resumo FY24'!$G$149,Table4[Tipo de teste],"2. Campo",'2. Status Detalhe Campos FY24'!$Y$7:$Y$740,"*Plano anterior*")</f>
        <v>5</v>
      </c>
      <c r="V162" s="442">
        <f t="shared" si="6"/>
        <v>0</v>
      </c>
      <c r="X162" s="532"/>
      <c r="Y162" s="532"/>
      <c r="Z162" s="532"/>
      <c r="AA162" s="532"/>
      <c r="AB162" s="532"/>
      <c r="AC162" s="532"/>
      <c r="AD162" s="532"/>
      <c r="AE162" s="532"/>
      <c r="AF162" s="532"/>
      <c r="AG162" s="162"/>
      <c r="AH162" s="116"/>
    </row>
    <row r="163" spans="1:34" ht="17.899999999999999" customHeight="1">
      <c r="A163" s="116"/>
      <c r="B163" s="121"/>
      <c r="E163" s="513"/>
      <c r="P163" s="372" t="s">
        <v>2360</v>
      </c>
      <c r="Q163" s="373"/>
      <c r="R163" s="373"/>
      <c r="S163" s="373"/>
      <c r="T163" s="442">
        <f>COUNTIFS(Table4[Status Anterior],'1. Status Resumo FY24'!$P161,Table4[Sub-âmbito],'1. Status Resumo FY24'!$G$149,Table4[Tipo de teste],"2. Campo",'2. Status Detalhe Campos FY24'!$Y$7:$Y$740,"*Novo Plano*",'2. Status Detalhe Campos FY24'!$X$7:$X$740,"*Âmbito ESTR e (ou) LF*")</f>
        <v>0</v>
      </c>
      <c r="U163" s="442">
        <f>COUNTIFS(Table4[Status Atual],'1. Status Resumo FY24'!$P161,Table4[Sub-âmbito],'1. Status Resumo FY24'!$G$149,Table4[Tipo de teste],"2. Campo",'2. Status Detalhe Campos FY24'!$Y$7:$Y$740,"*Novo Plano*",'2. Status Detalhe Campos FY24'!$Y$7:$Y$740,"*Novo Plano*",'2. Status Detalhe Campos FY24'!$X$7:$X$740,"*Âmbito ESTR e (ou) LF*")</f>
        <v>0</v>
      </c>
      <c r="V163" s="442">
        <f t="shared" si="6"/>
        <v>0</v>
      </c>
      <c r="X163" s="532"/>
      <c r="Y163" s="532"/>
      <c r="Z163" s="532"/>
      <c r="AA163" s="532"/>
      <c r="AB163" s="532"/>
      <c r="AC163" s="532"/>
      <c r="AD163" s="532"/>
      <c r="AE163" s="532"/>
      <c r="AF163" s="532"/>
      <c r="AG163" s="162"/>
      <c r="AH163" s="116"/>
    </row>
    <row r="164" spans="1:34" ht="17.899999999999999" customHeight="1">
      <c r="A164" s="116"/>
      <c r="B164" s="121"/>
      <c r="E164" s="513"/>
      <c r="P164" s="374" t="s">
        <v>2361</v>
      </c>
      <c r="Q164" s="375"/>
      <c r="R164" s="375"/>
      <c r="S164" s="375"/>
      <c r="T164" s="443">
        <f>COUNTIFS(Table4[Status Anterior],'1. Status Resumo FY24'!$P161,Table4[Sub-âmbito],'1. Status Resumo FY24'!$G$149,Table4[Tipo de teste],"2. Campo",'2. Status Detalhe Campos FY24'!$Y$7:$Y$740,"*Novo Plano*",'2. Status Detalhe Campos FY24'!$X$7:$X$740,"*Outros*")</f>
        <v>3</v>
      </c>
      <c r="U164" s="443">
        <f>COUNTIFS(Table4[Status Atual],'1. Status Resumo FY24'!$P161,Table4[Sub-âmbito],'1. Status Resumo FY24'!$G$149,Table4[Tipo de teste],"2. Campo",'2. Status Detalhe Campos FY24'!$Y$7:$Y$740,"*Novo Plano*",'2. Status Detalhe Campos FY24'!$Y$7:$Y$740,"*Novo Plano*",'2. Status Detalhe Campos FY24'!$X$7:$X$740,"*Outros*")</f>
        <v>3</v>
      </c>
      <c r="V164" s="443">
        <f t="shared" si="6"/>
        <v>0</v>
      </c>
      <c r="X164" s="532"/>
      <c r="Y164" s="532"/>
      <c r="Z164" s="532"/>
      <c r="AA164" s="532"/>
      <c r="AB164" s="532"/>
      <c r="AC164" s="532"/>
      <c r="AD164" s="532"/>
      <c r="AE164" s="532"/>
      <c r="AF164" s="532"/>
      <c r="AG164" s="162"/>
      <c r="AH164" s="116"/>
    </row>
    <row r="165" spans="1:34" ht="17.899999999999999" customHeight="1">
      <c r="A165" s="116"/>
      <c r="B165" s="121"/>
      <c r="D165" s="423"/>
      <c r="E165" s="423"/>
      <c r="P165" s="25" t="s">
        <v>2319</v>
      </c>
      <c r="T165" s="25">
        <f>COUNTIFS(Table4[Status Anterior],'1. Status Resumo FY24'!$P165,Table4[Sub-âmbito],'1. Status Resumo FY24'!$G$149,Table4[Tipo de teste],"2. Campo")</f>
        <v>0</v>
      </c>
      <c r="U165" s="25">
        <f>COUNTIFS(Table4[Status Atual],'1. Status Resumo FY24'!$P165,Table4[Sub-âmbito],'1. Status Resumo FY24'!$G$149,Table4[Tipo de teste],"2. Campo")</f>
        <v>0</v>
      </c>
      <c r="V165" s="25">
        <f t="shared" si="6"/>
        <v>0</v>
      </c>
      <c r="X165" s="532"/>
      <c r="Y165" s="532"/>
      <c r="Z165" s="532"/>
      <c r="AA165" s="532"/>
      <c r="AB165" s="532"/>
      <c r="AC165" s="532"/>
      <c r="AD165" s="532"/>
      <c r="AE165" s="532"/>
      <c r="AF165" s="532"/>
      <c r="AG165" s="162"/>
      <c r="AH165" s="116"/>
    </row>
    <row r="166" spans="1:34" ht="17.899999999999999" customHeight="1">
      <c r="A166" s="116"/>
      <c r="B166" s="121"/>
      <c r="D166" s="423"/>
      <c r="E166" s="423"/>
      <c r="P166" s="372" t="s">
        <v>2365</v>
      </c>
      <c r="Q166" s="373"/>
      <c r="R166" s="373"/>
      <c r="S166" s="373"/>
      <c r="T166" s="442">
        <f>COUNTIFS(Table4[Status Anterior],'1. Status Resumo FY24'!$P165,Table4[Sub-âmbito],'1. Status Resumo FY24'!$G$149,Table4[Tipo de teste],"2. Campo",'2. Status Detalhe Campos FY24'!$Y$7:$Y$740,"*Plano anterior*")</f>
        <v>0</v>
      </c>
      <c r="U166" s="442">
        <f>COUNTIFS(Table4[Status Atual],'1. Status Resumo FY24'!$P165,Table4[Sub-âmbito],'1. Status Resumo FY24'!$G$149,Table4[Tipo de teste],"2. Campo",'2. Status Detalhe Campos FY24'!$Y$7:$Y$740,"*Plano anterior*")</f>
        <v>0</v>
      </c>
      <c r="V166" s="442">
        <f t="shared" si="6"/>
        <v>0</v>
      </c>
      <c r="X166" s="532"/>
      <c r="Y166" s="532"/>
      <c r="Z166" s="532"/>
      <c r="AA166" s="532"/>
      <c r="AB166" s="532"/>
      <c r="AC166" s="532"/>
      <c r="AD166" s="532"/>
      <c r="AE166" s="532"/>
      <c r="AF166" s="532"/>
      <c r="AG166" s="162"/>
      <c r="AH166" s="116"/>
    </row>
    <row r="167" spans="1:34" ht="17.899999999999999" customHeight="1">
      <c r="A167" s="116"/>
      <c r="B167" s="121"/>
      <c r="D167" s="423"/>
      <c r="E167" s="423"/>
      <c r="P167" s="372" t="s">
        <v>2360</v>
      </c>
      <c r="Q167" s="373"/>
      <c r="R167" s="373"/>
      <c r="S167" s="373"/>
      <c r="T167" s="442">
        <f>COUNTIFS(Table4[Status Anterior],'1. Status Resumo FY24'!$P165,Table4[Sub-âmbito],'1. Status Resumo FY24'!$G$149,Table4[Tipo de teste],"2. Campo",'2. Status Detalhe Campos FY24'!$Y$7:$Y$740,"*Novo Plano*",'2. Status Detalhe Campos FY24'!$X$7:$X$740,"*Âmbito ESTR e (ou) LF*")</f>
        <v>0</v>
      </c>
      <c r="U167" s="442">
        <f>COUNTIFS(Table4[Status Atual],'1. Status Resumo FY24'!$P165,Table4[Sub-âmbito],'1. Status Resumo FY24'!$G$149,Table4[Tipo de teste],"2. Campo",'2. Status Detalhe Campos FY24'!$Y$7:$Y$740,"*Novo Plano*",'2. Status Detalhe Campos FY24'!$Y$7:$Y$740,"*Novo Plano*",'2. Status Detalhe Campos FY24'!$X$7:$X$740,"*Âmbito ESTR e (ou) LF*")</f>
        <v>0</v>
      </c>
      <c r="V167" s="442">
        <f t="shared" si="6"/>
        <v>0</v>
      </c>
      <c r="X167" s="532"/>
      <c r="Y167" s="532"/>
      <c r="Z167" s="532"/>
      <c r="AA167" s="532"/>
      <c r="AB167" s="532"/>
      <c r="AC167" s="532"/>
      <c r="AD167" s="532"/>
      <c r="AE167" s="532"/>
      <c r="AF167" s="532"/>
      <c r="AG167" s="162"/>
      <c r="AH167" s="116"/>
    </row>
    <row r="168" spans="1:34" ht="17.899999999999999" customHeight="1">
      <c r="A168" s="116"/>
      <c r="B168" s="121"/>
      <c r="D168" s="423"/>
      <c r="E168" s="423"/>
      <c r="P168" s="374" t="s">
        <v>2361</v>
      </c>
      <c r="Q168" s="375"/>
      <c r="R168" s="375"/>
      <c r="S168" s="375"/>
      <c r="T168" s="443">
        <f>COUNTIFS(Table4[Status Anterior],'1. Status Resumo FY24'!$P165,Table4[Sub-âmbito],'1. Status Resumo FY24'!$G$149,Table4[Tipo de teste],"2. Campo",'2. Status Detalhe Campos FY24'!$Y$7:$Y$740,"*Novo Plano*",'2. Status Detalhe Campos FY24'!$X$7:$X$740,"*Outros*")</f>
        <v>0</v>
      </c>
      <c r="U168" s="443">
        <f>COUNTIFS(Table4[Status Atual],'1. Status Resumo FY24'!$P165,Table4[Sub-âmbito],'1. Status Resumo FY24'!$G$149,Table4[Tipo de teste],"2. Campo",'2. Status Detalhe Campos FY24'!$Y$7:$Y$740,"*Novo Plano*",'2. Status Detalhe Campos FY24'!$Y$7:$Y$740,"*Novo Plano*",'2. Status Detalhe Campos FY24'!$X$7:$X$740,"*Outros*")</f>
        <v>0</v>
      </c>
      <c r="V168" s="443">
        <f t="shared" si="6"/>
        <v>0</v>
      </c>
      <c r="X168" s="532"/>
      <c r="Y168" s="532"/>
      <c r="Z168" s="532"/>
      <c r="AA168" s="532"/>
      <c r="AB168" s="532"/>
      <c r="AC168" s="532"/>
      <c r="AD168" s="532"/>
      <c r="AE168" s="532"/>
      <c r="AF168" s="532"/>
      <c r="AG168" s="162"/>
      <c r="AH168" s="116"/>
    </row>
    <row r="169" spans="1:34" ht="17.25" customHeight="1">
      <c r="A169" s="116"/>
      <c r="B169" s="121"/>
      <c r="D169" s="423"/>
      <c r="E169" s="423"/>
      <c r="P169" s="25" t="s">
        <v>613</v>
      </c>
      <c r="T169" s="25">
        <f>COUNTIFS(Table4[Status Anterior],'1. Status Resumo FY24'!$P169,Table4[Sub-âmbito],'1. Status Resumo FY24'!$G$149,Table4[Tipo de teste],"2. Campo")</f>
        <v>0</v>
      </c>
      <c r="U169" s="25">
        <f>COUNTIFS(Table4[Status Atual],'1. Status Resumo FY24'!$P169,Table4[Sub-âmbito],'1. Status Resumo FY24'!$G$149,Table4[Tipo de teste],"2. Campo")</f>
        <v>0</v>
      </c>
      <c r="V169" s="25">
        <f t="shared" si="6"/>
        <v>0</v>
      </c>
      <c r="X169" s="532"/>
      <c r="Y169" s="532"/>
      <c r="Z169" s="532"/>
      <c r="AA169" s="532"/>
      <c r="AB169" s="532"/>
      <c r="AC169" s="532"/>
      <c r="AD169" s="532"/>
      <c r="AE169" s="532"/>
      <c r="AF169" s="532"/>
      <c r="AG169" s="162"/>
      <c r="AH169" s="116"/>
    </row>
    <row r="170" spans="1:34" ht="17.25" customHeight="1">
      <c r="A170" s="116"/>
      <c r="B170" s="121"/>
      <c r="D170" s="423"/>
      <c r="E170" s="423"/>
      <c r="P170" s="372" t="s">
        <v>2365</v>
      </c>
      <c r="Q170" s="373"/>
      <c r="R170" s="373"/>
      <c r="S170" s="373"/>
      <c r="T170" s="442">
        <f>COUNTIFS(Table4[Status Anterior],'1. Status Resumo FY24'!$P169,Table4[Sub-âmbito],'1. Status Resumo FY24'!$G$149,Table4[Tipo de teste],"2. Campo",'2. Status Detalhe Campos FY24'!$Y$7:$Y$740,"*Plano anterior*")</f>
        <v>0</v>
      </c>
      <c r="U170" s="442">
        <f>COUNTIFS(Table4[Status Atual],'1. Status Resumo FY24'!$P169,Table4[Sub-âmbito],'1. Status Resumo FY24'!$G$149,Table4[Tipo de teste],"2. Campo",'2. Status Detalhe Campos FY24'!$Y$7:$Y$740,"*Plano anterior*")</f>
        <v>0</v>
      </c>
      <c r="V170" s="442">
        <f t="shared" si="6"/>
        <v>0</v>
      </c>
      <c r="X170" s="532"/>
      <c r="Y170" s="532"/>
      <c r="Z170" s="532"/>
      <c r="AA170" s="532"/>
      <c r="AB170" s="532"/>
      <c r="AC170" s="532"/>
      <c r="AD170" s="532"/>
      <c r="AE170" s="532"/>
      <c r="AF170" s="532"/>
      <c r="AG170" s="162"/>
      <c r="AH170" s="116"/>
    </row>
    <row r="171" spans="1:34" ht="17.25" customHeight="1">
      <c r="A171" s="116"/>
      <c r="B171" s="121"/>
      <c r="D171" s="423"/>
      <c r="E171" s="423"/>
      <c r="P171" s="372" t="s">
        <v>2360</v>
      </c>
      <c r="Q171" s="373"/>
      <c r="R171" s="373"/>
      <c r="S171" s="373"/>
      <c r="T171" s="442">
        <f>COUNTIFS(Table4[Status Anterior],'1. Status Resumo FY24'!$P169,Table4[Sub-âmbito],'1. Status Resumo FY24'!$G$149,Table4[Tipo de teste],"2. Campo",'2. Status Detalhe Campos FY24'!$Y$7:$Y$740,"*Novo Plano*",'2. Status Detalhe Campos FY24'!$X$7:$X$740,"*Âmbito ESTR e (ou) LF*")</f>
        <v>0</v>
      </c>
      <c r="U171" s="442">
        <f>COUNTIFS(Table4[Status Atual],'1. Status Resumo FY24'!$P169,Table4[Sub-âmbito],'1. Status Resumo FY24'!$G$149,Table4[Tipo de teste],"2. Campo",'2. Status Detalhe Campos FY24'!$Y$7:$Y$740,"*Novo Plano*",'2. Status Detalhe Campos FY24'!$Y$7:$Y$740,"*Novo Plano*",'2. Status Detalhe Campos FY24'!$X$7:$X$740,"*Âmbito ESTR e (ou) LF*")</f>
        <v>0</v>
      </c>
      <c r="V171" s="442">
        <f t="shared" si="6"/>
        <v>0</v>
      </c>
      <c r="X171" s="532"/>
      <c r="Y171" s="532"/>
      <c r="Z171" s="532"/>
      <c r="AA171" s="532"/>
      <c r="AB171" s="532"/>
      <c r="AC171" s="532"/>
      <c r="AD171" s="532"/>
      <c r="AE171" s="532"/>
      <c r="AF171" s="532"/>
      <c r="AG171" s="162"/>
      <c r="AH171" s="116"/>
    </row>
    <row r="172" spans="1:34" ht="17.25" customHeight="1">
      <c r="A172" s="116"/>
      <c r="B172" s="121"/>
      <c r="D172" s="423"/>
      <c r="E172" s="423"/>
      <c r="P172" s="374" t="s">
        <v>2361</v>
      </c>
      <c r="Q172" s="375"/>
      <c r="R172" s="375"/>
      <c r="S172" s="375"/>
      <c r="T172" s="443">
        <f>COUNTIFS(Table4[Status Anterior],'1. Status Resumo FY24'!$P169,Table4[Sub-âmbito],'1. Status Resumo FY24'!$G$149,Table4[Tipo de teste],"2. Campo",'2. Status Detalhe Campos FY24'!$Y$7:$Y$740,"*Novo Plano*",'2. Status Detalhe Campos FY24'!$X$7:$X$740,"*Outros*")</f>
        <v>0</v>
      </c>
      <c r="U172" s="443">
        <f>COUNTIFS(Table4[Status Atual],'1. Status Resumo FY24'!$P169,Table4[Sub-âmbito],'1. Status Resumo FY24'!$G$149,Table4[Tipo de teste],"2. Campo",'2. Status Detalhe Campos FY24'!$Y$7:$Y$740,"*Novo Plano*",'2. Status Detalhe Campos FY24'!$Y$7:$Y$740,"*Novo Plano*",'2. Status Detalhe Campos FY24'!$X$7:$X$740,"*Outros*")</f>
        <v>0</v>
      </c>
      <c r="V172" s="443">
        <f t="shared" si="6"/>
        <v>0</v>
      </c>
      <c r="X172" s="532"/>
      <c r="Y172" s="532"/>
      <c r="Z172" s="532"/>
      <c r="AA172" s="532"/>
      <c r="AB172" s="532"/>
      <c r="AC172" s="532"/>
      <c r="AD172" s="532"/>
      <c r="AE172" s="532"/>
      <c r="AF172" s="532"/>
      <c r="AG172" s="162"/>
      <c r="AH172" s="116"/>
    </row>
    <row r="173" spans="1:34" ht="18.75" customHeight="1">
      <c r="A173" s="116"/>
      <c r="B173" s="121"/>
      <c r="D173" s="423"/>
      <c r="E173" s="423"/>
      <c r="P173" s="25" t="s">
        <v>614</v>
      </c>
      <c r="T173" s="25">
        <f>COUNTIFS(Table4[Status Anterior],'1. Status Resumo FY24'!$P173,Table4[Sub-âmbito],'1. Status Resumo FY24'!$G$149,Table4[Tipo de teste],"2. Campo")</f>
        <v>0</v>
      </c>
      <c r="U173" s="25">
        <f>COUNTIFS(Table4[Status Atual],'1. Status Resumo FY24'!$P173,Table4[Sub-âmbito],'1. Status Resumo FY24'!$G$149,Table4[Tipo de teste],"2. Campo")</f>
        <v>0</v>
      </c>
      <c r="V173" s="25">
        <f t="shared" si="6"/>
        <v>0</v>
      </c>
      <c r="X173" s="532"/>
      <c r="Y173" s="532"/>
      <c r="Z173" s="532"/>
      <c r="AA173" s="532"/>
      <c r="AB173" s="532"/>
      <c r="AC173" s="532"/>
      <c r="AD173" s="532"/>
      <c r="AE173" s="532"/>
      <c r="AF173" s="532"/>
      <c r="AG173" s="162"/>
      <c r="AH173" s="116"/>
    </row>
    <row r="174" spans="1:34" ht="18.75" customHeight="1">
      <c r="A174" s="116"/>
      <c r="B174" s="121"/>
      <c r="C174" s="426" t="s">
        <v>2373</v>
      </c>
      <c r="D174" s="423"/>
      <c r="E174" s="423"/>
      <c r="P174" s="372" t="s">
        <v>2365</v>
      </c>
      <c r="Q174" s="373"/>
      <c r="R174" s="373"/>
      <c r="S174" s="373"/>
      <c r="T174" s="442">
        <f>COUNTIFS(Table4[Status Anterior],'1. Status Resumo FY24'!$P173,Table4[Sub-âmbito],'1. Status Resumo FY24'!$G$149,Table4[Tipo de teste],"2. Campo",'2. Status Detalhe Campos FY24'!$Y$7:$Y$740,"*Plano anterior*")</f>
        <v>0</v>
      </c>
      <c r="U174" s="442">
        <f>COUNTIFS(Table4[Status Atual],'1. Status Resumo FY24'!$P173,Table4[Sub-âmbito],'1. Status Resumo FY24'!$G$149,Table4[Tipo de teste],"2. Campo",'2. Status Detalhe Campos FY24'!$Y$7:$Y$740,"*Plano anterior*")</f>
        <v>0</v>
      </c>
      <c r="V174" s="442">
        <f t="shared" si="6"/>
        <v>0</v>
      </c>
      <c r="X174" s="532"/>
      <c r="Y174" s="532"/>
      <c r="Z174" s="532"/>
      <c r="AA174" s="532"/>
      <c r="AB174" s="532"/>
      <c r="AC174" s="532"/>
      <c r="AD174" s="532"/>
      <c r="AE174" s="532"/>
      <c r="AF174" s="532"/>
      <c r="AG174" s="162"/>
      <c r="AH174" s="116"/>
    </row>
    <row r="175" spans="1:34" ht="18.75" customHeight="1">
      <c r="A175" s="116"/>
      <c r="B175" s="121"/>
      <c r="D175" s="423"/>
      <c r="E175" s="423"/>
      <c r="P175" s="372" t="s">
        <v>2360</v>
      </c>
      <c r="Q175" s="373"/>
      <c r="R175" s="373"/>
      <c r="S175" s="373"/>
      <c r="T175" s="442">
        <f>COUNTIFS(Table4[Status Anterior],'1. Status Resumo FY24'!$P173,Table4[Sub-âmbito],'1. Status Resumo FY24'!$G$149,Table4[Tipo de teste],"2. Campo",'2. Status Detalhe Campos FY24'!$Y$7:$Y$740,"*Novo Plano*",'2. Status Detalhe Campos FY24'!$X$7:$X$740,"*Âmbito ESTR e (ou) LF*")</f>
        <v>0</v>
      </c>
      <c r="U175" s="442">
        <f>COUNTIFS(Table4[Status Atual],'1. Status Resumo FY24'!$P173,Table4[Sub-âmbito],'1. Status Resumo FY24'!$G$149,Table4[Tipo de teste],"2. Campo",'2. Status Detalhe Campos FY24'!$Y$7:$Y$740,"*Novo Plano*",'2. Status Detalhe Campos FY24'!$Y$7:$Y$740,"*Novo Plano*",'2. Status Detalhe Campos FY24'!$X$7:$X$740,"*Âmbito ESTR e (ou) LF*")</f>
        <v>0</v>
      </c>
      <c r="V175" s="442">
        <f t="shared" si="6"/>
        <v>0</v>
      </c>
      <c r="X175" s="532"/>
      <c r="Y175" s="532"/>
      <c r="Z175" s="532"/>
      <c r="AA175" s="532"/>
      <c r="AB175" s="532"/>
      <c r="AC175" s="532"/>
      <c r="AD175" s="532"/>
      <c r="AE175" s="532"/>
      <c r="AF175" s="532"/>
      <c r="AG175" s="162"/>
      <c r="AH175" s="116"/>
    </row>
    <row r="176" spans="1:34" ht="18.75" customHeight="1">
      <c r="A176" s="116"/>
      <c r="B176" s="121"/>
      <c r="D176" s="423"/>
      <c r="E176" s="423"/>
      <c r="P176" s="374" t="s">
        <v>2361</v>
      </c>
      <c r="Q176" s="375"/>
      <c r="R176" s="375"/>
      <c r="S176" s="375"/>
      <c r="T176" s="443">
        <f>COUNTIFS(Table4[Status Anterior],'1. Status Resumo FY24'!$P173,Table4[Sub-âmbito],'1. Status Resumo FY24'!$G$149,Table4[Tipo de teste],"2. Campo",'2. Status Detalhe Campos FY24'!$Y$7:$Y$740,"*Novo Plano*",'2. Status Detalhe Campos FY24'!$X$7:$X$740,"*Outros*")</f>
        <v>0</v>
      </c>
      <c r="U176" s="443">
        <f>COUNTIFS(Table4[Status Atual],'1. Status Resumo FY24'!$P173,Table4[Sub-âmbito],'1. Status Resumo FY24'!$G$149,Table4[Tipo de teste],"2. Campo",'2. Status Detalhe Campos FY24'!$Y$7:$Y$740,"*Novo Plano*",'2. Status Detalhe Campos FY24'!$Y$7:$Y$740,"*Novo Plano*",'2. Status Detalhe Campos FY24'!$X$7:$X$740,"*Outros*")</f>
        <v>0</v>
      </c>
      <c r="V176" s="443">
        <f t="shared" si="6"/>
        <v>0</v>
      </c>
      <c r="X176" s="532"/>
      <c r="Y176" s="532"/>
      <c r="Z176" s="532"/>
      <c r="AA176" s="532"/>
      <c r="AB176" s="532"/>
      <c r="AC176" s="532"/>
      <c r="AD176" s="532"/>
      <c r="AE176" s="532"/>
      <c r="AF176" s="532"/>
      <c r="AG176" s="162"/>
      <c r="AH176" s="116"/>
    </row>
    <row r="177" spans="1:34" ht="18.75" customHeight="1">
      <c r="A177" s="116"/>
      <c r="B177" s="121"/>
      <c r="D177" s="423"/>
      <c r="E177" s="423"/>
      <c r="P177" s="25" t="s">
        <v>615</v>
      </c>
      <c r="R177" s="25" t="s">
        <v>616</v>
      </c>
      <c r="T177" s="25">
        <f>COUNTIFS(Table4[Status Anterior],'1. Status Resumo FY24'!$P177,Table4[Sub-âmbito],'1. Status Resumo FY24'!$G$149,Table4[Tipo de teste],"2. Campo")</f>
        <v>10</v>
      </c>
      <c r="U177" s="25">
        <f>COUNTIFS(Table4[Status Atual],'1. Status Resumo FY24'!$P177,Table4[Sub-âmbito],'1. Status Resumo FY24'!$G$149,Table4[Tipo de teste],"2. Campo")</f>
        <v>10</v>
      </c>
      <c r="V177" s="25">
        <f t="shared" si="6"/>
        <v>0</v>
      </c>
      <c r="X177" s="532"/>
      <c r="Y177" s="532"/>
      <c r="Z177" s="532"/>
      <c r="AA177" s="532"/>
      <c r="AB177" s="532"/>
      <c r="AC177" s="532"/>
      <c r="AD177" s="532"/>
      <c r="AE177" s="532"/>
      <c r="AF177" s="532"/>
      <c r="AG177" s="162"/>
      <c r="AH177" s="116"/>
    </row>
    <row r="178" spans="1:34" ht="18.75" customHeight="1">
      <c r="A178" s="116"/>
      <c r="B178" s="121"/>
      <c r="D178" s="423"/>
      <c r="E178" s="423"/>
      <c r="P178" s="372" t="s">
        <v>2365</v>
      </c>
      <c r="Q178" s="373"/>
      <c r="R178" s="373"/>
      <c r="S178" s="373"/>
      <c r="T178" s="442">
        <f>COUNTIFS(Table4[Status Anterior],'1. Status Resumo FY24'!$P177,Table4[Sub-âmbito],'1. Status Resumo FY24'!$G$149,Table4[Tipo de teste],"2. Campo",'2. Status Detalhe Campos FY24'!$Y$7:$Y$740,"*Plano anterior*")</f>
        <v>4</v>
      </c>
      <c r="U178" s="442">
        <f>COUNTIFS(Table4[Status Atual],'1. Status Resumo FY24'!$P177,Table4[Sub-âmbito],'1. Status Resumo FY24'!$G$149,Table4[Tipo de teste],"2. Campo",'2. Status Detalhe Campos FY24'!$Y$7:$Y$740,"*Plano anterior*")</f>
        <v>4</v>
      </c>
      <c r="V178" s="442">
        <f t="shared" si="6"/>
        <v>0</v>
      </c>
      <c r="X178" s="532"/>
      <c r="Y178" s="532"/>
      <c r="Z178" s="532"/>
      <c r="AA178" s="532"/>
      <c r="AB178" s="532"/>
      <c r="AC178" s="532"/>
      <c r="AD178" s="532"/>
      <c r="AE178" s="532"/>
      <c r="AF178" s="532"/>
      <c r="AG178" s="162"/>
      <c r="AH178" s="116"/>
    </row>
    <row r="179" spans="1:34" ht="18.75" customHeight="1">
      <c r="A179" s="116"/>
      <c r="B179" s="121"/>
      <c r="D179" s="423"/>
      <c r="E179" s="423"/>
      <c r="P179" s="372" t="s">
        <v>2360</v>
      </c>
      <c r="Q179" s="373"/>
      <c r="R179" s="373"/>
      <c r="S179" s="373"/>
      <c r="T179" s="442">
        <f>COUNTIFS(Table4[Status Anterior],'1. Status Resumo FY24'!$P177,Table4[Sub-âmbito],'1. Status Resumo FY24'!$G$149,Table4[Tipo de teste],"2. Campo",'2. Status Detalhe Campos FY24'!$Y$7:$Y$740,"*Novo Plano*",'2. Status Detalhe Campos FY24'!$X$7:$X$740,"*Âmbito ESTR e (ou) LF*")</f>
        <v>4</v>
      </c>
      <c r="U179" s="442">
        <f>COUNTIFS(Table4[Status Atual],'1. Status Resumo FY24'!$P177,Table4[Sub-âmbito],'1. Status Resumo FY24'!$G$149,Table4[Tipo de teste],"2. Campo",'2. Status Detalhe Campos FY24'!$Y$7:$Y$740,"*Novo Plano*",'2. Status Detalhe Campos FY24'!$Y$7:$Y$740,"*Novo Plano*",'2. Status Detalhe Campos FY24'!$X$7:$X$740,"*Âmbito ESTR e (ou) LF*")</f>
        <v>4</v>
      </c>
      <c r="V179" s="442">
        <f t="shared" si="6"/>
        <v>0</v>
      </c>
      <c r="X179" s="532"/>
      <c r="Y179" s="532"/>
      <c r="Z179" s="532"/>
      <c r="AA179" s="532"/>
      <c r="AB179" s="532"/>
      <c r="AC179" s="532"/>
      <c r="AD179" s="532"/>
      <c r="AE179" s="532"/>
      <c r="AF179" s="532"/>
      <c r="AG179" s="162"/>
      <c r="AH179" s="116"/>
    </row>
    <row r="180" spans="1:34" ht="17.899999999999999" customHeight="1">
      <c r="A180" s="116"/>
      <c r="B180" s="121"/>
      <c r="D180" s="423"/>
      <c r="E180" s="423"/>
      <c r="P180" s="374" t="s">
        <v>2361</v>
      </c>
      <c r="Q180" s="375"/>
      <c r="R180" s="375"/>
      <c r="S180" s="375"/>
      <c r="T180" s="443">
        <f>COUNTIFS(Table4[Status Anterior],'1. Status Resumo FY24'!$P177,Table4[Sub-âmbito],'1. Status Resumo FY24'!$G$149,Table4[Tipo de teste],"2. Campo",'2. Status Detalhe Campos FY24'!$Y$7:$Y$740,"*Novo Plano*",'2. Status Detalhe Campos FY24'!$X$7:$X$740,"*Outros*")</f>
        <v>2</v>
      </c>
      <c r="U180" s="443">
        <f>COUNTIFS(Table4[Status Atual],'1. Status Resumo FY24'!$P177,Table4[Sub-âmbito],'1. Status Resumo FY24'!$G$149,Table4[Tipo de teste],"2. Campo",'2. Status Detalhe Campos FY24'!$Y$7:$Y$740,"*Novo Plano*",'2. Status Detalhe Campos FY24'!$Y$7:$Y$740,"*Novo Plano*",'2. Status Detalhe Campos FY24'!$X$7:$X$740,"*Outros*")</f>
        <v>2</v>
      </c>
      <c r="V180" s="443">
        <f t="shared" si="6"/>
        <v>0</v>
      </c>
      <c r="X180" s="532"/>
      <c r="Y180" s="532"/>
      <c r="Z180" s="532"/>
      <c r="AA180" s="532"/>
      <c r="AB180" s="532"/>
      <c r="AC180" s="532"/>
      <c r="AD180" s="532"/>
      <c r="AE180" s="532"/>
      <c r="AF180" s="532"/>
      <c r="AG180" s="162"/>
      <c r="AH180" s="116"/>
    </row>
    <row r="181" spans="1:34" ht="17.899999999999999" customHeight="1">
      <c r="A181" s="116"/>
      <c r="B181" s="121"/>
      <c r="D181" s="423"/>
      <c r="E181" s="423"/>
      <c r="P181" s="25" t="s">
        <v>2320</v>
      </c>
      <c r="T181" s="25">
        <f>COUNTIFS(Table4[Status Anterior],'1. Status Resumo FY24'!$P181,Table4[Sub-âmbito],'1. Status Resumo FY24'!$G$149,Table4[Tipo de teste],"2. Campo")</f>
        <v>17</v>
      </c>
      <c r="U181" s="25">
        <f>COUNTIFS(Table4[Status Atual],'1. Status Resumo FY24'!$P181,Table4[Sub-âmbito],'1. Status Resumo FY24'!$G$149,Table4[Tipo de teste],"2. Campo")</f>
        <v>17</v>
      </c>
      <c r="V181" s="25">
        <f t="shared" si="6"/>
        <v>0</v>
      </c>
      <c r="X181" s="532"/>
      <c r="Y181" s="532"/>
      <c r="Z181" s="532"/>
      <c r="AA181" s="532"/>
      <c r="AB181" s="532"/>
      <c r="AC181" s="532"/>
      <c r="AD181" s="532"/>
      <c r="AE181" s="532"/>
      <c r="AF181" s="532"/>
      <c r="AG181" s="162"/>
      <c r="AH181" s="116"/>
    </row>
    <row r="182" spans="1:34" ht="17.899999999999999" customHeight="1">
      <c r="A182" s="116"/>
      <c r="B182" s="121"/>
      <c r="D182" s="368"/>
      <c r="E182" s="513" t="str">
        <f>+"#"&amp;$U$190</f>
        <v>#134</v>
      </c>
      <c r="P182" s="372" t="s">
        <v>2365</v>
      </c>
      <c r="Q182" s="373"/>
      <c r="R182" s="373"/>
      <c r="S182" s="373"/>
      <c r="T182" s="442">
        <f>COUNTIFS(Table4[Status Anterior],'1. Status Resumo FY24'!$P181,Table4[Sub-âmbito],'1. Status Resumo FY24'!$G$149,Table4[Tipo de teste],"2. Campo",'2. Status Detalhe Campos FY24'!$Y$7:$Y$740,"*Plano anterior*")</f>
        <v>3</v>
      </c>
      <c r="U182" s="442">
        <f>COUNTIFS(Table4[Status Atual],'1. Status Resumo FY24'!$P181,Table4[Sub-âmbito],'1. Status Resumo FY24'!$G$149,Table4[Tipo de teste],"2. Campo",'2. Status Detalhe Campos FY24'!$Y$7:$Y$740,"*Plano anterior*")</f>
        <v>3</v>
      </c>
      <c r="V182" s="442">
        <f t="shared" si="6"/>
        <v>0</v>
      </c>
      <c r="X182" s="532"/>
      <c r="Y182" s="532"/>
      <c r="Z182" s="532"/>
      <c r="AA182" s="532"/>
      <c r="AB182" s="532"/>
      <c r="AC182" s="532"/>
      <c r="AD182" s="532"/>
      <c r="AE182" s="532"/>
      <c r="AF182" s="532"/>
      <c r="AG182" s="162"/>
      <c r="AH182" s="116"/>
    </row>
    <row r="183" spans="1:34" ht="17.899999999999999" customHeight="1">
      <c r="A183" s="116"/>
      <c r="B183" s="121"/>
      <c r="D183" s="368"/>
      <c r="E183" s="513"/>
      <c r="P183" s="372" t="s">
        <v>2360</v>
      </c>
      <c r="Q183" s="373"/>
      <c r="R183" s="373"/>
      <c r="S183" s="373"/>
      <c r="T183" s="442">
        <f>COUNTIFS(Table4[Status Anterior],'1. Status Resumo FY24'!$P181,Table4[Sub-âmbito],'1. Status Resumo FY24'!$G$149,Table4[Tipo de teste],"2. Campo",'2. Status Detalhe Campos FY24'!$Y$7:$Y$740,"*Novo Plano*",'2. Status Detalhe Campos FY24'!$X$7:$X$740,"*Âmbito ESTR e (ou) LF*")</f>
        <v>2</v>
      </c>
      <c r="U183" s="442">
        <f>COUNTIFS(Table4[Status Atual],'1. Status Resumo FY24'!$P181,Table4[Sub-âmbito],'1. Status Resumo FY24'!$G$149,Table4[Tipo de teste],"2. Campo",'2. Status Detalhe Campos FY24'!$Y$7:$Y$740,"*Novo Plano*",'2. Status Detalhe Campos FY24'!$Y$7:$Y$740,"*Novo Plano*",'2. Status Detalhe Campos FY24'!$X$7:$X$740,"*Âmbito ESTR e (ou) LF*")</f>
        <v>2</v>
      </c>
      <c r="V183" s="442">
        <f t="shared" si="6"/>
        <v>0</v>
      </c>
      <c r="X183" s="532"/>
      <c r="Y183" s="532"/>
      <c r="Z183" s="532"/>
      <c r="AA183" s="532"/>
      <c r="AB183" s="532"/>
      <c r="AC183" s="532"/>
      <c r="AD183" s="532"/>
      <c r="AE183" s="532"/>
      <c r="AF183" s="532"/>
      <c r="AG183" s="162"/>
      <c r="AH183" s="116"/>
    </row>
    <row r="184" spans="1:34" ht="17.899999999999999" customHeight="1">
      <c r="A184" s="116"/>
      <c r="B184" s="121"/>
      <c r="D184" s="368"/>
      <c r="E184" s="513"/>
      <c r="P184" s="374" t="s">
        <v>2361</v>
      </c>
      <c r="Q184" s="375"/>
      <c r="R184" s="375"/>
      <c r="S184" s="375"/>
      <c r="T184" s="443">
        <f>COUNTIFS(Table4[Status Anterior],'1. Status Resumo FY24'!$P181,Table4[Sub-âmbito],'1. Status Resumo FY24'!$G$149,Table4[Tipo de teste],"2. Campo",'2. Status Detalhe Campos FY24'!$Y$7:$Y$740,"*Novo Plano*",'2. Status Detalhe Campos FY24'!$X$7:$X$740,"*Outros*")</f>
        <v>12</v>
      </c>
      <c r="U184" s="443">
        <f>COUNTIFS(Table4[Status Atual],'1. Status Resumo FY24'!$P181,Table4[Sub-âmbito],'1. Status Resumo FY24'!$G$149,Table4[Tipo de teste],"2. Campo",'2. Status Detalhe Campos FY24'!$Y$7:$Y$740,"*Novo Plano*",'2. Status Detalhe Campos FY24'!$Y$7:$Y$740,"*Novo Plano*",'2. Status Detalhe Campos FY24'!$X$7:$X$740,"*Outros*")</f>
        <v>12</v>
      </c>
      <c r="V184" s="443">
        <f t="shared" si="6"/>
        <v>0</v>
      </c>
      <c r="X184" s="532"/>
      <c r="Y184" s="532"/>
      <c r="Z184" s="532"/>
      <c r="AA184" s="532"/>
      <c r="AB184" s="532"/>
      <c r="AC184" s="532"/>
      <c r="AD184" s="532"/>
      <c r="AE184" s="532"/>
      <c r="AF184" s="532"/>
      <c r="AG184" s="162"/>
      <c r="AH184" s="116"/>
    </row>
    <row r="185" spans="1:34" ht="17.899999999999999"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6"/>
        <v>0</v>
      </c>
      <c r="X185" s="532"/>
      <c r="Y185" s="532"/>
      <c r="Z185" s="532"/>
      <c r="AA185" s="532"/>
      <c r="AB185" s="532"/>
      <c r="AC185" s="532"/>
      <c r="AD185" s="532"/>
      <c r="AE185" s="532"/>
      <c r="AF185" s="532"/>
      <c r="AG185" s="162"/>
      <c r="AH185" s="116"/>
    </row>
    <row r="186" spans="1:34" ht="17.899999999999999" customHeight="1">
      <c r="A186" s="116"/>
      <c r="B186" s="121"/>
      <c r="P186" s="372" t="s">
        <v>2365</v>
      </c>
      <c r="Q186" s="373"/>
      <c r="R186" s="373"/>
      <c r="S186" s="373"/>
      <c r="T186" s="442">
        <f>COUNTIFS(Table4[Status Anterior],'1. Status Resumo FY24'!$P185,Table4[Sub-âmbito],'1. Status Resumo FY24'!$G$149,Table4[Tipo de teste],"2. Campo",'2. Status Detalhe Campos FY24'!$Y$7:$Y$740,"*Plano anterior*")</f>
        <v>0</v>
      </c>
      <c r="U186" s="442">
        <f>COUNTIFS(Table4[Status Atual],'1. Status Resumo FY24'!$P185,Table4[Sub-âmbito],'1. Status Resumo FY24'!$G$149,Table4[Tipo de teste],"2. Campo",'2. Status Detalhe Campos FY24'!$Y$7:$Y$740,"*Plano anterior*")</f>
        <v>0</v>
      </c>
      <c r="V186" s="442">
        <f t="shared" si="6"/>
        <v>0</v>
      </c>
      <c r="X186" s="532"/>
      <c r="Y186" s="532"/>
      <c r="Z186" s="532"/>
      <c r="AA186" s="532"/>
      <c r="AB186" s="532"/>
      <c r="AC186" s="532"/>
      <c r="AD186" s="532"/>
      <c r="AE186" s="532"/>
      <c r="AF186" s="532"/>
      <c r="AG186" s="162"/>
      <c r="AH186" s="116"/>
    </row>
    <row r="187" spans="1:34" ht="17.899999999999999" customHeight="1">
      <c r="A187" s="116"/>
      <c r="B187" s="121"/>
      <c r="P187" s="372" t="s">
        <v>2360</v>
      </c>
      <c r="Q187" s="373"/>
      <c r="R187" s="373"/>
      <c r="S187" s="373"/>
      <c r="T187" s="442">
        <f>COUNTIFS(Table4[Status Anterior],'1. Status Resumo FY24'!$P185,Table4[Sub-âmbito],'1. Status Resumo FY24'!$G$149,Table4[Tipo de teste],"2. Campo",'2. Status Detalhe Campos FY24'!$Y$7:$Y$740,"*Novo Plano*",'2. Status Detalhe Campos FY24'!$X$7:$X$740,"*Âmbito ESTR e (ou) LF*")</f>
        <v>0</v>
      </c>
      <c r="U187" s="442">
        <f>COUNTIFS(Table4[Status Atual],'1. Status Resumo FY24'!$P185,Table4[Sub-âmbito],'1. Status Resumo FY24'!$G$149,Table4[Tipo de teste],"2. Campo",'2. Status Detalhe Campos FY24'!$Y$7:$Y$740,"*Novo Plano*",'2. Status Detalhe Campos FY24'!$Y$7:$Y$740,"*Novo Plano*",'2. Status Detalhe Campos FY24'!$X$7:$X$740,"*Âmbito ESTR e (ou) LF*")</f>
        <v>0</v>
      </c>
      <c r="V187" s="442">
        <f t="shared" si="6"/>
        <v>0</v>
      </c>
      <c r="X187" s="532"/>
      <c r="Y187" s="532"/>
      <c r="Z187" s="532"/>
      <c r="AA187" s="532"/>
      <c r="AB187" s="532"/>
      <c r="AC187" s="532"/>
      <c r="AD187" s="532"/>
      <c r="AE187" s="532"/>
      <c r="AF187" s="532"/>
      <c r="AG187" s="162"/>
      <c r="AH187" s="116"/>
    </row>
    <row r="188" spans="1:34" ht="17.899999999999999" customHeight="1">
      <c r="A188" s="116"/>
      <c r="B188" s="121"/>
      <c r="P188" s="376" t="s">
        <v>2361</v>
      </c>
      <c r="Q188" s="377"/>
      <c r="R188" s="377"/>
      <c r="S188" s="377"/>
      <c r="T188" s="444">
        <f>COUNTIFS(Table4[Status Anterior],'1. Status Resumo FY24'!$P185,Table4[Sub-âmbito],'1. Status Resumo FY24'!$G$149,Table4[Tipo de teste],"2. Campo",'2. Status Detalhe Campos FY24'!$Y$7:$Y$740,"*Novo Plano*",'2. Status Detalhe Campos FY24'!$X$7:$X$740,"*Outros*")</f>
        <v>0</v>
      </c>
      <c r="U188" s="444">
        <f>COUNTIFS(Table4[Status Atual],'1. Status Resumo FY24'!$P185,Table4[Sub-âmbito],'1. Status Resumo FY24'!$G$149,Table4[Tipo de teste],"2. Campo",'2. Status Detalhe Campos FY24'!$Y$7:$Y$740,"*Novo Plano*",'2. Status Detalhe Campos FY24'!$Y$7:$Y$740,"*Novo Plano*",'2. Status Detalhe Campos FY24'!$X$7:$X$740,"*Outros*")</f>
        <v>0</v>
      </c>
      <c r="V188" s="444">
        <f t="shared" si="6"/>
        <v>0</v>
      </c>
      <c r="X188" s="532"/>
      <c r="Y188" s="532"/>
      <c r="Z188" s="532"/>
      <c r="AA188" s="532"/>
      <c r="AB188" s="532"/>
      <c r="AC188" s="532"/>
      <c r="AD188" s="532"/>
      <c r="AE188" s="532"/>
      <c r="AF188" s="532"/>
      <c r="AG188" s="162"/>
      <c r="AH188" s="116"/>
    </row>
    <row r="189" spans="1:34" ht="17.899999999999999" customHeight="1">
      <c r="A189" s="116"/>
      <c r="B189" s="121"/>
      <c r="P189" s="127" t="s">
        <v>2326</v>
      </c>
      <c r="T189" s="127">
        <f t="shared" ref="T189:U192" si="7">+SUM(T153,T157,T161,T165,T169,T173,T177,T181,T185)</f>
        <v>205</v>
      </c>
      <c r="U189" s="127">
        <f t="shared" si="7"/>
        <v>205</v>
      </c>
      <c r="V189" s="127">
        <f>+U189-T189</f>
        <v>0</v>
      </c>
      <c r="X189" s="532"/>
      <c r="Y189" s="532"/>
      <c r="Z189" s="532"/>
      <c r="AA189" s="532"/>
      <c r="AB189" s="532"/>
      <c r="AC189" s="532"/>
      <c r="AD189" s="532"/>
      <c r="AE189" s="532"/>
      <c r="AF189" s="532"/>
      <c r="AG189" s="162"/>
      <c r="AH189" s="116"/>
    </row>
    <row r="190" spans="1:34" ht="17.899999999999999" customHeight="1">
      <c r="A190" s="116"/>
      <c r="B190" s="121"/>
      <c r="P190" s="378" t="s">
        <v>2365</v>
      </c>
      <c r="T190" s="445">
        <f t="shared" si="7"/>
        <v>134</v>
      </c>
      <c r="U190" s="445">
        <f t="shared" si="7"/>
        <v>134</v>
      </c>
      <c r="V190" s="445">
        <f>+U190-T190</f>
        <v>0</v>
      </c>
      <c r="X190" s="532"/>
      <c r="Y190" s="532"/>
      <c r="Z190" s="532"/>
      <c r="AA190" s="532"/>
      <c r="AB190" s="532"/>
      <c r="AC190" s="532"/>
      <c r="AD190" s="532"/>
      <c r="AE190" s="532"/>
      <c r="AF190" s="532"/>
      <c r="AG190" s="162"/>
      <c r="AH190" s="116"/>
    </row>
    <row r="191" spans="1:34" ht="17.899999999999999" customHeight="1">
      <c r="A191" s="116"/>
      <c r="B191" s="121"/>
      <c r="P191" s="378" t="s">
        <v>2360</v>
      </c>
      <c r="T191" s="445">
        <f t="shared" si="7"/>
        <v>20</v>
      </c>
      <c r="U191" s="445">
        <f t="shared" si="7"/>
        <v>20</v>
      </c>
      <c r="V191" s="445">
        <f>+U191-T191</f>
        <v>0</v>
      </c>
      <c r="X191" s="532"/>
      <c r="Y191" s="532"/>
      <c r="Z191" s="532"/>
      <c r="AA191" s="532"/>
      <c r="AB191" s="532"/>
      <c r="AC191" s="532"/>
      <c r="AD191" s="532"/>
      <c r="AE191" s="532"/>
      <c r="AF191" s="532"/>
      <c r="AG191" s="162"/>
      <c r="AH191" s="116"/>
    </row>
    <row r="192" spans="1:34" ht="17.899999999999999" customHeight="1">
      <c r="A192" s="116"/>
      <c r="B192" s="121"/>
      <c r="P192" s="379" t="s">
        <v>2361</v>
      </c>
      <c r="Q192" s="130"/>
      <c r="R192" s="130"/>
      <c r="S192" s="130"/>
      <c r="T192" s="446">
        <f t="shared" si="7"/>
        <v>51</v>
      </c>
      <c r="U192" s="446">
        <f t="shared" si="7"/>
        <v>51</v>
      </c>
      <c r="V192" s="446">
        <f>+U192-T192</f>
        <v>0</v>
      </c>
      <c r="X192" s="532"/>
      <c r="Y192" s="532"/>
      <c r="Z192" s="532"/>
      <c r="AA192" s="532"/>
      <c r="AB192" s="532"/>
      <c r="AC192" s="532"/>
      <c r="AD192" s="532"/>
      <c r="AE192" s="532"/>
      <c r="AF192" s="532"/>
      <c r="AG192" s="162"/>
      <c r="AH192" s="116"/>
    </row>
    <row r="193" spans="1:34">
      <c r="A193" s="116"/>
      <c r="B193" s="121"/>
      <c r="T193" s="127"/>
      <c r="U193" s="127"/>
      <c r="X193" s="532"/>
      <c r="Y193" s="532"/>
      <c r="Z193" s="532"/>
      <c r="AA193" s="532"/>
      <c r="AB193" s="532"/>
      <c r="AC193" s="532"/>
      <c r="AD193" s="532"/>
      <c r="AE193" s="532"/>
      <c r="AF193" s="532"/>
      <c r="AG193" s="162"/>
      <c r="AH193" s="116"/>
    </row>
    <row r="194" spans="1:34">
      <c r="A194" s="116"/>
      <c r="B194" s="121"/>
      <c r="P194" s="129" t="s">
        <v>617</v>
      </c>
      <c r="Q194" s="130"/>
      <c r="R194" s="130"/>
      <c r="S194" s="130"/>
      <c r="T194" s="130"/>
      <c r="U194" s="130"/>
      <c r="V194" s="130"/>
      <c r="X194" s="532"/>
      <c r="Y194" s="532"/>
      <c r="Z194" s="532"/>
      <c r="AA194" s="532"/>
      <c r="AB194" s="532"/>
      <c r="AC194" s="532"/>
      <c r="AD194" s="532"/>
      <c r="AE194" s="532"/>
      <c r="AF194" s="532"/>
      <c r="AG194" s="162"/>
      <c r="AH194" s="116"/>
    </row>
    <row r="195" spans="1:34">
      <c r="A195" s="116"/>
      <c r="B195" s="121"/>
      <c r="O195" s="159" t="s">
        <v>619</v>
      </c>
      <c r="P195" s="25" t="s">
        <v>379</v>
      </c>
      <c r="T195" s="501" t="s">
        <v>2463</v>
      </c>
      <c r="X195" s="532"/>
      <c r="Y195" s="532"/>
      <c r="Z195" s="532"/>
      <c r="AA195" s="532"/>
      <c r="AB195" s="532"/>
      <c r="AC195" s="532"/>
      <c r="AD195" s="532"/>
      <c r="AE195" s="532"/>
      <c r="AF195" s="532"/>
      <c r="AG195" s="162"/>
      <c r="AH195" s="116"/>
    </row>
    <row r="196" spans="1:34">
      <c r="A196" s="116"/>
      <c r="B196" s="121"/>
      <c r="O196" s="159" t="s">
        <v>619</v>
      </c>
      <c r="P196" s="25" t="s">
        <v>335</v>
      </c>
      <c r="T196" s="499" t="s">
        <v>2427</v>
      </c>
      <c r="X196" s="532"/>
      <c r="Y196" s="532"/>
      <c r="Z196" s="532"/>
      <c r="AA196" s="532"/>
      <c r="AB196" s="532"/>
      <c r="AC196" s="532"/>
      <c r="AD196" s="532"/>
      <c r="AE196" s="532"/>
      <c r="AF196" s="532"/>
      <c r="AG196" s="162"/>
      <c r="AH196" s="116"/>
    </row>
    <row r="197" spans="1:34">
      <c r="A197" s="116"/>
      <c r="B197" s="121"/>
      <c r="O197" s="159" t="s">
        <v>619</v>
      </c>
      <c r="P197" s="25" t="s">
        <v>368</v>
      </c>
      <c r="T197" s="501" t="s">
        <v>2463</v>
      </c>
      <c r="X197" s="532"/>
      <c r="Y197" s="532"/>
      <c r="Z197" s="532"/>
      <c r="AA197" s="532"/>
      <c r="AB197" s="532"/>
      <c r="AC197" s="532"/>
      <c r="AD197" s="532"/>
      <c r="AE197" s="532"/>
      <c r="AF197" s="532"/>
      <c r="AG197" s="162"/>
      <c r="AH197" s="116"/>
    </row>
    <row r="198" spans="1:34">
      <c r="A198" s="116"/>
      <c r="B198" s="121"/>
      <c r="O198" s="159" t="s">
        <v>619</v>
      </c>
      <c r="P198" s="25" t="s">
        <v>439</v>
      </c>
      <c r="T198" s="161" t="s">
        <v>621</v>
      </c>
      <c r="X198" s="532"/>
      <c r="Y198" s="532"/>
      <c r="Z198" s="532"/>
      <c r="AA198" s="532"/>
      <c r="AB198" s="532"/>
      <c r="AC198" s="532"/>
      <c r="AD198" s="532"/>
      <c r="AE198" s="532"/>
      <c r="AF198" s="532"/>
      <c r="AG198" s="162"/>
      <c r="AH198" s="116"/>
    </row>
    <row r="199" spans="1:34">
      <c r="A199" s="116"/>
      <c r="B199" s="121"/>
      <c r="O199" s="159" t="s">
        <v>619</v>
      </c>
      <c r="P199" s="25" t="s">
        <v>441</v>
      </c>
      <c r="T199" s="501" t="s">
        <v>2463</v>
      </c>
      <c r="X199" s="532"/>
      <c r="Y199" s="532"/>
      <c r="Z199" s="532"/>
      <c r="AA199" s="532"/>
      <c r="AB199" s="532"/>
      <c r="AC199" s="532"/>
      <c r="AD199" s="532"/>
      <c r="AE199" s="532"/>
      <c r="AF199" s="532"/>
      <c r="AG199" s="162"/>
      <c r="AH199" s="116"/>
    </row>
    <row r="200" spans="1:34">
      <c r="A200" s="116"/>
      <c r="B200" s="121"/>
      <c r="O200" s="159" t="s">
        <v>619</v>
      </c>
      <c r="P200" s="25" t="s">
        <v>1860</v>
      </c>
      <c r="T200" s="197" t="s">
        <v>1841</v>
      </c>
      <c r="X200" s="532"/>
      <c r="Y200" s="532"/>
      <c r="Z200" s="532"/>
      <c r="AA200" s="532"/>
      <c r="AB200" s="532"/>
      <c r="AC200" s="532"/>
      <c r="AD200" s="532"/>
      <c r="AE200" s="532"/>
      <c r="AF200" s="532"/>
      <c r="AG200" s="162"/>
      <c r="AH200" s="116"/>
    </row>
    <row r="201" spans="1:34">
      <c r="A201" s="116"/>
      <c r="B201" s="121"/>
      <c r="O201" s="159" t="s">
        <v>619</v>
      </c>
      <c r="P201" s="25" t="s">
        <v>1861</v>
      </c>
      <c r="T201" s="161" t="s">
        <v>621</v>
      </c>
      <c r="X201" s="532"/>
      <c r="Y201" s="532"/>
      <c r="Z201" s="532"/>
      <c r="AA201" s="532"/>
      <c r="AB201" s="532"/>
      <c r="AC201" s="532"/>
      <c r="AD201" s="532"/>
      <c r="AE201" s="532"/>
      <c r="AF201" s="532"/>
      <c r="AG201" s="162"/>
      <c r="AH201" s="116"/>
    </row>
    <row r="202" spans="1:34">
      <c r="A202" s="116"/>
      <c r="B202" s="121"/>
      <c r="O202" s="159" t="s">
        <v>619</v>
      </c>
      <c r="P202" s="25" t="s">
        <v>392</v>
      </c>
      <c r="T202" s="161" t="s">
        <v>621</v>
      </c>
      <c r="X202" s="532"/>
      <c r="Y202" s="532"/>
      <c r="Z202" s="532"/>
      <c r="AA202" s="532"/>
      <c r="AB202" s="532"/>
      <c r="AC202" s="532"/>
      <c r="AD202" s="532"/>
      <c r="AE202" s="532"/>
      <c r="AF202" s="532"/>
      <c r="AG202" s="162"/>
      <c r="AH202" s="116"/>
    </row>
    <row r="203" spans="1:34">
      <c r="A203" s="116"/>
      <c r="B203" s="121"/>
      <c r="X203" s="532"/>
      <c r="Y203" s="532"/>
      <c r="Z203" s="532"/>
      <c r="AA203" s="532"/>
      <c r="AB203" s="532"/>
      <c r="AC203" s="532"/>
      <c r="AD203" s="532"/>
      <c r="AE203" s="532"/>
      <c r="AF203" s="532"/>
      <c r="AG203" s="162"/>
      <c r="AH203" s="116"/>
    </row>
    <row r="204" spans="1:34">
      <c r="A204" s="116"/>
      <c r="B204" s="12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5"/>
      <c r="AH204" s="116"/>
    </row>
    <row r="205" spans="1:34" ht="22.4"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5.15"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99999999999999"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s="195" customForma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s="195" customFormat="1" hidden="1">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4" s="195" customFormat="1" hidden="1"/>
    <row r="236" spans="1:34" s="195" customFormat="1" hidden="1"/>
    <row r="237" spans="1:34" s="195" customFormat="1" hidden="1"/>
    <row r="238" spans="1:34" hidden="1">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s>
  <pageMargins left="0.7" right="0.7" top="0.75" bottom="0.75" header="0.3" footer="0.3"/>
  <pageSetup paperSize="9" orientation="portrait" r:id="rId1"/>
  <ignoredErrors>
    <ignoredError sqref="L35:M3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35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50" zoomScaleNormal="50" workbookViewId="0">
      <pane xSplit="3" ySplit="6" topLeftCell="D7" activePane="bottomRight" state="frozen"/>
      <selection pane="topRight" activeCell="D136" sqref="D136"/>
      <selection pane="bottomLeft" activeCell="D136" sqref="D136"/>
      <selection pane="bottomRight" activeCell="G750" sqref="G750"/>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6"/>
      <c r="J1" s="25"/>
      <c r="K1" s="25"/>
      <c r="L1" s="25"/>
      <c r="M1" s="25"/>
      <c r="N1" s="25"/>
      <c r="O1" s="25"/>
      <c r="P1" s="25"/>
      <c r="Q1" s="25"/>
      <c r="R1" s="25"/>
      <c r="S1" s="25"/>
      <c r="T1" s="25"/>
      <c r="U1" s="25"/>
    </row>
    <row r="2" spans="1:26" ht="18">
      <c r="A2" s="25"/>
      <c r="B2" s="25"/>
      <c r="C2" s="25"/>
      <c r="D2" s="25"/>
      <c r="E2" s="25"/>
      <c r="F2" s="25"/>
      <c r="G2" s="25"/>
      <c r="H2" s="25"/>
      <c r="I2" s="466"/>
      <c r="J2" s="25"/>
      <c r="K2" s="25"/>
      <c r="L2" s="25"/>
      <c r="M2" s="25"/>
      <c r="N2" s="25"/>
      <c r="O2" s="25"/>
      <c r="P2" s="25"/>
      <c r="Q2" s="25"/>
      <c r="R2" s="25"/>
      <c r="S2" s="25"/>
      <c r="T2" s="25"/>
      <c r="U2" s="25"/>
    </row>
    <row r="3" spans="1:26" ht="18">
      <c r="A3" s="25"/>
      <c r="B3" s="25"/>
      <c r="C3" s="25"/>
      <c r="D3" s="25"/>
      <c r="E3" s="25"/>
      <c r="F3" s="25"/>
      <c r="G3" s="25"/>
      <c r="H3" s="25"/>
      <c r="I3" s="466"/>
      <c r="J3" s="25"/>
      <c r="K3" s="25"/>
      <c r="L3" s="25"/>
      <c r="M3" s="25"/>
      <c r="N3" s="25"/>
      <c r="O3" s="25"/>
      <c r="P3" s="25"/>
      <c r="Q3" s="25"/>
      <c r="R3" s="25"/>
      <c r="S3" s="25"/>
      <c r="T3" s="25"/>
      <c r="U3" s="25"/>
    </row>
    <row r="4" spans="1:26" ht="5.15" customHeight="1">
      <c r="A4" s="114"/>
      <c r="B4" s="114"/>
      <c r="C4" s="114"/>
      <c r="D4" s="114"/>
      <c r="E4" s="114"/>
      <c r="F4" s="114"/>
      <c r="G4" s="114"/>
      <c r="H4" s="114"/>
      <c r="I4" s="467"/>
      <c r="J4" s="114"/>
      <c r="K4" s="114"/>
      <c r="L4" s="114"/>
      <c r="M4" s="114"/>
      <c r="N4" s="114"/>
      <c r="O4" s="114"/>
      <c r="P4" s="114"/>
      <c r="Q4" s="114"/>
      <c r="R4" s="114"/>
      <c r="S4" s="114"/>
      <c r="T4" s="114"/>
      <c r="U4" s="114"/>
      <c r="V4" s="114"/>
      <c r="W4" s="114"/>
      <c r="X4" s="114"/>
      <c r="Y4" s="114"/>
      <c r="Z4" s="114"/>
    </row>
    <row r="5" spans="1:26">
      <c r="J5" s="104" t="s">
        <v>2364</v>
      </c>
      <c r="K5" s="104" t="s">
        <v>2364</v>
      </c>
      <c r="L5" s="104"/>
      <c r="M5" s="104"/>
      <c r="N5" s="104"/>
      <c r="O5" s="104" t="s">
        <v>2364</v>
      </c>
      <c r="P5" s="29"/>
      <c r="Q5" s="29"/>
      <c r="R5" s="29"/>
      <c r="S5" s="29"/>
      <c r="T5" s="29"/>
      <c r="U5" s="104" t="s">
        <v>2364</v>
      </c>
      <c r="V5" s="104" t="s">
        <v>2364</v>
      </c>
      <c r="W5" s="104"/>
      <c r="X5" s="104" t="s">
        <v>2364</v>
      </c>
      <c r="Y5" s="104" t="s">
        <v>2364</v>
      </c>
      <c r="Z5" s="104" t="s">
        <v>2364</v>
      </c>
    </row>
    <row r="6" spans="1:26" ht="18">
      <c r="B6" s="213" t="s">
        <v>8</v>
      </c>
      <c r="C6" s="214" t="s">
        <v>9</v>
      </c>
      <c r="D6" s="214" t="s">
        <v>10</v>
      </c>
      <c r="E6" s="214" t="s">
        <v>11</v>
      </c>
      <c r="F6" s="214" t="s">
        <v>12</v>
      </c>
      <c r="G6" s="214" t="s">
        <v>636</v>
      </c>
      <c r="H6" s="214" t="s">
        <v>637</v>
      </c>
      <c r="I6" s="359" t="s">
        <v>2414</v>
      </c>
      <c r="J6" s="359" t="s">
        <v>2341</v>
      </c>
      <c r="K6" s="359" t="s">
        <v>2342</v>
      </c>
      <c r="L6" s="359" t="s">
        <v>2443</v>
      </c>
      <c r="M6" s="359" t="s">
        <v>2444</v>
      </c>
      <c r="N6" s="359" t="s">
        <v>2445</v>
      </c>
      <c r="O6" s="359" t="s">
        <v>2363</v>
      </c>
      <c r="P6" s="360" t="s">
        <v>638</v>
      </c>
      <c r="Q6" s="360" t="s">
        <v>639</v>
      </c>
      <c r="R6" s="361" t="s">
        <v>640</v>
      </c>
      <c r="S6" s="362" t="s">
        <v>1843</v>
      </c>
      <c r="T6" s="363" t="s">
        <v>1844</v>
      </c>
      <c r="U6" s="363" t="s">
        <v>2381</v>
      </c>
      <c r="V6" s="366" t="s">
        <v>2325</v>
      </c>
      <c r="W6" s="366" t="s">
        <v>2457</v>
      </c>
      <c r="X6" s="363" t="s">
        <v>2374</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1" t="s">
        <v>1958</v>
      </c>
      <c r="G7" s="135" t="str">
        <f>VLOOKUP(A7,Plano_V3!$A$26:$G$768,7,0)</f>
        <v>1. Concluído</v>
      </c>
      <c r="H7" s="135" t="s">
        <v>612</v>
      </c>
      <c r="I7" s="468"/>
      <c r="J7" s="356" t="s">
        <v>2243</v>
      </c>
      <c r="K7" s="356" t="s">
        <v>2452</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5" t="s">
        <v>1412</v>
      </c>
      <c r="G8" s="135" t="str">
        <f>VLOOKUP(A8,Plano_V3!$A$26:$G$768,7,0)</f>
        <v xml:space="preserve">6. Em implementação </v>
      </c>
      <c r="H8" s="135" t="s">
        <v>2320</v>
      </c>
      <c r="I8" s="468"/>
      <c r="J8" s="142" t="s">
        <v>2306</v>
      </c>
      <c r="K8" s="356" t="s">
        <v>2470</v>
      </c>
      <c r="L8" s="365">
        <v>45764</v>
      </c>
      <c r="M8" s="365">
        <v>45771</v>
      </c>
      <c r="N8" s="356" t="s">
        <v>2446</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2388</v>
      </c>
      <c r="W8" s="321" t="s">
        <v>2458</v>
      </c>
      <c r="X8" s="369" t="s">
        <v>2360</v>
      </c>
      <c r="Y8" s="369" t="s">
        <v>2322</v>
      </c>
      <c r="Z8" s="321" t="s">
        <v>1857</v>
      </c>
    </row>
    <row r="9" spans="1:26" ht="16.399999999999999" customHeight="1">
      <c r="A9" s="29" t="str">
        <f t="shared" si="0"/>
        <v>lt003_entityec_grp_id</v>
      </c>
      <c r="B9" s="141" t="s">
        <v>26</v>
      </c>
      <c r="C9" s="137" t="s">
        <v>26</v>
      </c>
      <c r="D9" s="133" t="s">
        <v>40</v>
      </c>
      <c r="E9" s="136" t="s">
        <v>335</v>
      </c>
      <c r="F9" s="475" t="s">
        <v>2193</v>
      </c>
      <c r="G9" s="135" t="str">
        <f>VLOOKUP(A9,Plano_V3!$A$26:$G$768,7,0)</f>
        <v>5. Em Correção</v>
      </c>
      <c r="H9" s="135" t="s">
        <v>615</v>
      </c>
      <c r="I9" s="468"/>
      <c r="J9" s="356" t="s">
        <v>2241</v>
      </c>
      <c r="K9" s="356" t="s">
        <v>2453</v>
      </c>
      <c r="L9" s="365">
        <v>45744</v>
      </c>
      <c r="M9" s="365">
        <v>45751</v>
      </c>
      <c r="N9" s="356" t="s">
        <v>2446</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2386</v>
      </c>
      <c r="W9" s="321" t="s">
        <v>2458</v>
      </c>
      <c r="X9" s="369" t="s">
        <v>2360</v>
      </c>
      <c r="Y9" s="369" t="s">
        <v>2322</v>
      </c>
      <c r="Z9" s="321" t="s">
        <v>1856</v>
      </c>
    </row>
    <row r="10" spans="1:26" ht="16.399999999999999" customHeight="1">
      <c r="A10" s="29" t="str">
        <f t="shared" si="0"/>
        <v>lt003_entityec_grp_nm</v>
      </c>
      <c r="B10" s="141" t="s">
        <v>26</v>
      </c>
      <c r="C10" s="137" t="s">
        <v>26</v>
      </c>
      <c r="D10" s="133" t="s">
        <v>40</v>
      </c>
      <c r="E10" s="136" t="s">
        <v>335</v>
      </c>
      <c r="F10" s="475" t="s">
        <v>2194</v>
      </c>
      <c r="G10" s="135" t="str">
        <f>VLOOKUP(A10,Plano_V3!$A$26:$G$768,7,0)</f>
        <v>5. Em Correção</v>
      </c>
      <c r="H10" s="135" t="s">
        <v>615</v>
      </c>
      <c r="I10" s="468"/>
      <c r="J10" s="356" t="s">
        <v>2241</v>
      </c>
      <c r="K10" s="356" t="s">
        <v>2453</v>
      </c>
      <c r="L10" s="365">
        <v>45744</v>
      </c>
      <c r="M10" s="365">
        <v>45751</v>
      </c>
      <c r="N10" s="356" t="s">
        <v>2446</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2386</v>
      </c>
      <c r="W10" s="321" t="s">
        <v>2458</v>
      </c>
      <c r="X10" s="369" t="s">
        <v>2360</v>
      </c>
      <c r="Y10" s="369" t="s">
        <v>2322</v>
      </c>
      <c r="Z10" s="321" t="s">
        <v>1856</v>
      </c>
    </row>
    <row r="11" spans="1:26" ht="16.399999999999999" customHeight="1">
      <c r="A11" s="29" t="str">
        <f t="shared" si="0"/>
        <v>lt004_protectionRL_ESTT_ADDRSS</v>
      </c>
      <c r="B11" s="141" t="s">
        <v>26</v>
      </c>
      <c r="C11" s="137" t="s">
        <v>26</v>
      </c>
      <c r="D11" s="133" t="s">
        <v>40</v>
      </c>
      <c r="E11" s="136" t="s">
        <v>368</v>
      </c>
      <c r="F11" s="475" t="s">
        <v>2244</v>
      </c>
      <c r="G11" s="135" t="str">
        <f>VLOOKUP(A11,Plano_V3!$A$26:$G$768,7,0)</f>
        <v>5. Em Correção</v>
      </c>
      <c r="H11" s="135" t="s">
        <v>615</v>
      </c>
      <c r="I11" s="468"/>
      <c r="J11" s="356" t="s">
        <v>2241</v>
      </c>
      <c r="K11" s="356" t="s">
        <v>2453</v>
      </c>
      <c r="L11" s="365">
        <v>45744</v>
      </c>
      <c r="M11" s="365">
        <v>45751</v>
      </c>
      <c r="N11" s="356" t="s">
        <v>2446</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2391</v>
      </c>
      <c r="W11" s="321" t="s">
        <v>2458</v>
      </c>
      <c r="X11" s="369" t="s">
        <v>2360</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5" t="s">
        <v>2245</v>
      </c>
      <c r="G12" s="135" t="str">
        <f>VLOOKUP(A12,Plano_V3!$A$26:$G$768,7,0)</f>
        <v>1. Concluído</v>
      </c>
      <c r="H12" s="135" t="s">
        <v>612</v>
      </c>
      <c r="I12" s="468"/>
      <c r="J12" s="356" t="s">
        <v>2242</v>
      </c>
      <c r="K12" s="356" t="s">
        <v>2453</v>
      </c>
      <c r="L12" s="365">
        <v>45744</v>
      </c>
      <c r="M12" s="365">
        <v>45751</v>
      </c>
      <c r="N12" s="356" t="s">
        <v>2446</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2391</v>
      </c>
      <c r="W12" s="321" t="s">
        <v>2458</v>
      </c>
      <c r="X12" s="369" t="s">
        <v>2360</v>
      </c>
      <c r="Y12" s="369" t="s">
        <v>2322</v>
      </c>
      <c r="Z12" s="321" t="s">
        <v>1856</v>
      </c>
    </row>
    <row r="13" spans="1:26" ht="16.399999999999999" hidden="1" customHeight="1">
      <c r="A13" s="29" t="str">
        <f t="shared" si="0"/>
        <v>lt004_protectionRL_ESTT_CTY</v>
      </c>
      <c r="B13" s="141" t="s">
        <v>26</v>
      </c>
      <c r="C13" s="137" t="s">
        <v>26</v>
      </c>
      <c r="D13" s="133" t="s">
        <v>40</v>
      </c>
      <c r="E13" s="136" t="s">
        <v>368</v>
      </c>
      <c r="F13" s="475" t="s">
        <v>2246</v>
      </c>
      <c r="G13" s="135" t="str">
        <f>VLOOKUP(A13,Plano_V3!$A$26:$G$768,7,0)</f>
        <v>1. Concluído</v>
      </c>
      <c r="H13" s="135" t="s">
        <v>612</v>
      </c>
      <c r="I13" s="468"/>
      <c r="J13" s="356" t="s">
        <v>2240</v>
      </c>
      <c r="K13" s="356" t="s">
        <v>2453</v>
      </c>
      <c r="L13" s="365">
        <v>45744</v>
      </c>
      <c r="M13" s="365">
        <v>45751</v>
      </c>
      <c r="N13" s="356" t="s">
        <v>2446</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2391</v>
      </c>
      <c r="W13" s="321" t="s">
        <v>2458</v>
      </c>
      <c r="X13" s="369" t="s">
        <v>2360</v>
      </c>
      <c r="Y13" s="369" t="s">
        <v>2322</v>
      </c>
      <c r="Z13" s="321" t="s">
        <v>1856</v>
      </c>
    </row>
    <row r="14" spans="1:26" ht="16.399999999999999" customHeight="1">
      <c r="A14" s="29" t="str">
        <f t="shared" si="0"/>
        <v>lt004_protectionYR_CNSTRCTN</v>
      </c>
      <c r="B14" s="141" t="s">
        <v>26</v>
      </c>
      <c r="C14" s="137" t="s">
        <v>26</v>
      </c>
      <c r="D14" s="133" t="s">
        <v>40</v>
      </c>
      <c r="E14" s="136" t="s">
        <v>368</v>
      </c>
      <c r="F14" s="475" t="s">
        <v>2258</v>
      </c>
      <c r="G14" s="135" t="str">
        <f>VLOOKUP(A14,Plano_V3!$A$26:$G$768,7,0)</f>
        <v>5. Em Correção</v>
      </c>
      <c r="H14" s="135" t="s">
        <v>615</v>
      </c>
      <c r="I14" s="468"/>
      <c r="J14" s="356" t="s">
        <v>2240</v>
      </c>
      <c r="K14" s="356" t="s">
        <v>2453</v>
      </c>
      <c r="L14" s="365">
        <v>45744</v>
      </c>
      <c r="M14" s="365">
        <v>45751</v>
      </c>
      <c r="N14" s="356" t="s">
        <v>2446</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2397</v>
      </c>
      <c r="W14" s="321" t="s">
        <v>2458</v>
      </c>
      <c r="X14" s="369" t="s">
        <v>2360</v>
      </c>
      <c r="Y14" s="369" t="s">
        <v>2322</v>
      </c>
      <c r="Z14" s="321" t="s">
        <v>1856</v>
      </c>
    </row>
    <row r="15" spans="1:26" ht="16.399999999999999" customHeight="1">
      <c r="A15" s="29" t="str">
        <f t="shared" si="0"/>
        <v>lt004_protectionBLDNG_AR</v>
      </c>
      <c r="B15" s="141" t="s">
        <v>26</v>
      </c>
      <c r="C15" s="137" t="s">
        <v>26</v>
      </c>
      <c r="D15" s="133" t="s">
        <v>40</v>
      </c>
      <c r="E15" s="136" t="s">
        <v>368</v>
      </c>
      <c r="F15" s="475" t="s">
        <v>2259</v>
      </c>
      <c r="G15" s="135" t="str">
        <f>VLOOKUP(A15,Plano_V3!$A$26:$G$768,7,0)</f>
        <v>5. Em Correção</v>
      </c>
      <c r="H15" s="135" t="s">
        <v>615</v>
      </c>
      <c r="I15" s="468"/>
      <c r="J15" s="356" t="s">
        <v>2240</v>
      </c>
      <c r="K15" s="356" t="s">
        <v>2453</v>
      </c>
      <c r="L15" s="365">
        <v>45744</v>
      </c>
      <c r="M15" s="365">
        <v>45751</v>
      </c>
      <c r="N15" s="356" t="s">
        <v>2447</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2393</v>
      </c>
      <c r="W15" s="321" t="s">
        <v>2458</v>
      </c>
      <c r="X15" s="369" t="s">
        <v>2361</v>
      </c>
      <c r="Y15" s="369" t="s">
        <v>2322</v>
      </c>
      <c r="Z15" s="321" t="s">
        <v>1856</v>
      </c>
    </row>
    <row r="16" spans="1:26" ht="16.399999999999999" hidden="1" customHeight="1">
      <c r="A16" s="29" t="str">
        <f t="shared" si="0"/>
        <v>lt002_instrumentNW_BSNSS</v>
      </c>
      <c r="B16" s="141" t="s">
        <v>26</v>
      </c>
      <c r="C16" s="137" t="s">
        <v>26</v>
      </c>
      <c r="D16" s="133" t="s">
        <v>40</v>
      </c>
      <c r="E16" s="136" t="s">
        <v>379</v>
      </c>
      <c r="F16" s="475" t="s">
        <v>1334</v>
      </c>
      <c r="G16" s="135" t="str">
        <f>VLOOKUP(A16,Plano_V3!$A$26:$G$768,7,0)</f>
        <v xml:space="preserve">6. Em implementação </v>
      </c>
      <c r="H16" s="135" t="s">
        <v>2320</v>
      </c>
      <c r="I16" s="468"/>
      <c r="J16" s="142" t="s">
        <v>2303</v>
      </c>
      <c r="K16" s="356" t="s">
        <v>2469</v>
      </c>
      <c r="L16" s="365">
        <v>45793</v>
      </c>
      <c r="M16" s="365" t="s">
        <v>25</v>
      </c>
      <c r="N16" s="356" t="s">
        <v>2448</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2382</v>
      </c>
      <c r="W16" s="321" t="s">
        <v>2458</v>
      </c>
      <c r="X16" s="369" t="s">
        <v>2361</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5" t="s">
        <v>1344</v>
      </c>
      <c r="G17" s="135" t="str">
        <f>VLOOKUP(A17,Plano_V3!$A$26:$G$768,7,0)</f>
        <v xml:space="preserve">6. Em implementação </v>
      </c>
      <c r="H17" s="135" t="s">
        <v>2320</v>
      </c>
      <c r="I17" s="468"/>
      <c r="J17" s="142" t="s">
        <v>2303</v>
      </c>
      <c r="K17" s="356" t="s">
        <v>2469</v>
      </c>
      <c r="L17" s="365">
        <v>45793</v>
      </c>
      <c r="M17" s="365" t="s">
        <v>25</v>
      </c>
      <c r="N17" s="356" t="s">
        <v>2448</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2382</v>
      </c>
      <c r="W17" s="321" t="s">
        <v>2458</v>
      </c>
      <c r="X17" s="369" t="s">
        <v>2361</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5" t="s">
        <v>2174</v>
      </c>
      <c r="G18" s="135" t="str">
        <f>VLOOKUP(A18,Plano_V3!$A$26:$G$768,7,0)</f>
        <v xml:space="preserve">6. Em implementação </v>
      </c>
      <c r="H18" s="135" t="s">
        <v>2320</v>
      </c>
      <c r="I18" s="468"/>
      <c r="J18" s="358" t="s">
        <v>2400</v>
      </c>
      <c r="K18" s="356" t="s">
        <v>2469</v>
      </c>
      <c r="L18" s="365">
        <v>45793</v>
      </c>
      <c r="M18" s="365" t="s">
        <v>25</v>
      </c>
      <c r="N18" s="356" t="s">
        <v>2448</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2392</v>
      </c>
      <c r="W18" s="321" t="s">
        <v>2458</v>
      </c>
      <c r="X18" s="369" t="s">
        <v>2360</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1" t="s">
        <v>259</v>
      </c>
      <c r="G19" s="135" t="str">
        <f>VLOOKUP(A19,Plano_V3!$A$26:$G$768,7,0)</f>
        <v>1. Concluído</v>
      </c>
      <c r="H19" s="135" t="s">
        <v>612</v>
      </c>
      <c r="I19" s="468"/>
      <c r="J19" s="365" t="s">
        <v>2243</v>
      </c>
      <c r="K19" s="356"/>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1" t="s">
        <v>260</v>
      </c>
      <c r="G20" s="135" t="str">
        <f>VLOOKUP(A20,Plano_V3!$A$26:$G$768,7,0)</f>
        <v>1. Concluído</v>
      </c>
      <c r="H20" s="135" t="s">
        <v>612</v>
      </c>
      <c r="I20" s="468"/>
      <c r="J20" s="365" t="s">
        <v>2243</v>
      </c>
      <c r="K20" s="356"/>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1" t="s">
        <v>261</v>
      </c>
      <c r="G21" s="135" t="str">
        <f>VLOOKUP(A21,Plano_V3!$A$26:$G$768,7,0)</f>
        <v>1. Concluído</v>
      </c>
      <c r="H21" s="135" t="s">
        <v>612</v>
      </c>
      <c r="I21" s="468"/>
      <c r="J21" s="365" t="s">
        <v>2243</v>
      </c>
      <c r="K21" s="356"/>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1" t="s">
        <v>262</v>
      </c>
      <c r="G22" s="135" t="str">
        <f>VLOOKUP(A22,Plano_V3!$A$26:$G$768,7,0)</f>
        <v>1. Concluído</v>
      </c>
      <c r="H22" s="135" t="s">
        <v>612</v>
      </c>
      <c r="I22" s="468"/>
      <c r="J22" s="365" t="s">
        <v>2243</v>
      </c>
      <c r="K22" s="356"/>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1" t="s">
        <v>263</v>
      </c>
      <c r="G23" s="135" t="str">
        <f>VLOOKUP(A23,Plano_V3!$A$26:$G$768,7,0)</f>
        <v>1. Concluído</v>
      </c>
      <c r="H23" s="135" t="s">
        <v>612</v>
      </c>
      <c r="I23" s="468"/>
      <c r="J23" s="365" t="s">
        <v>2243</v>
      </c>
      <c r="K23" s="356"/>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1" t="s">
        <v>264</v>
      </c>
      <c r="G24" s="135" t="str">
        <f>VLOOKUP(A24,Plano_V3!$A$26:$G$768,7,0)</f>
        <v>1. Concluído</v>
      </c>
      <c r="H24" s="135" t="s">
        <v>612</v>
      </c>
      <c r="I24" s="468"/>
      <c r="J24" s="365" t="s">
        <v>2243</v>
      </c>
      <c r="K24" s="356"/>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1" t="s">
        <v>265</v>
      </c>
      <c r="G25" s="135" t="str">
        <f>VLOOKUP(A25,Plano_V3!$A$26:$G$768,7,0)</f>
        <v>1. Concluído</v>
      </c>
      <c r="H25" s="135" t="s">
        <v>612</v>
      </c>
      <c r="I25" s="468"/>
      <c r="J25" s="365" t="s">
        <v>2243</v>
      </c>
      <c r="K25" s="356"/>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1" t="s">
        <v>266</v>
      </c>
      <c r="G26" s="135" t="str">
        <f>VLOOKUP(A26,Plano_V3!$A$26:$G$768,7,0)</f>
        <v>1. Concluído</v>
      </c>
      <c r="H26" s="135" t="s">
        <v>612</v>
      </c>
      <c r="I26" s="468"/>
      <c r="J26" s="365" t="s">
        <v>2243</v>
      </c>
      <c r="K26" s="356"/>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1" t="s">
        <v>267</v>
      </c>
      <c r="G27" s="135" t="str">
        <f>VLOOKUP(A27,Plano_V3!$A$26:$G$768,7,0)</f>
        <v>1. Concluído</v>
      </c>
      <c r="H27" s="135" t="s">
        <v>612</v>
      </c>
      <c r="I27" s="468"/>
      <c r="J27" s="365" t="s">
        <v>2243</v>
      </c>
      <c r="K27" s="356"/>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1" t="s">
        <v>268</v>
      </c>
      <c r="G28" s="135" t="str">
        <f>VLOOKUP(A28,Plano_V3!$A$26:$G$768,7,0)</f>
        <v>1. Concluído</v>
      </c>
      <c r="H28" s="135" t="s">
        <v>612</v>
      </c>
      <c r="I28" s="468"/>
      <c r="J28" s="365" t="s">
        <v>2243</v>
      </c>
      <c r="K28" s="356"/>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1" t="s">
        <v>269</v>
      </c>
      <c r="G29" s="135" t="str">
        <f>VLOOKUP(A29,Plano_V3!$A$26:$G$768,7,0)</f>
        <v>1. Concluído</v>
      </c>
      <c r="H29" s="135" t="s">
        <v>612</v>
      </c>
      <c r="I29" s="468"/>
      <c r="J29" s="365" t="s">
        <v>2243</v>
      </c>
      <c r="K29" s="356"/>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1" t="s">
        <v>270</v>
      </c>
      <c r="G30" s="135" t="str">
        <f>VLOOKUP(A30,Plano_V3!$A$26:$G$768,7,0)</f>
        <v>1. Concluído</v>
      </c>
      <c r="H30" s="135" t="s">
        <v>612</v>
      </c>
      <c r="I30" s="468"/>
      <c r="J30" s="365" t="s">
        <v>2243</v>
      </c>
      <c r="K30" s="356"/>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1" t="s">
        <v>271</v>
      </c>
      <c r="G31" s="135" t="str">
        <f>VLOOKUP(A31,Plano_V3!$A$26:$G$768,7,0)</f>
        <v>1. Concluído</v>
      </c>
      <c r="H31" s="135" t="s">
        <v>612</v>
      </c>
      <c r="I31" s="468"/>
      <c r="J31" s="365" t="s">
        <v>2243</v>
      </c>
      <c r="K31" s="356"/>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1" t="s">
        <v>272</v>
      </c>
      <c r="G32" s="135" t="str">
        <f>VLOOKUP(A32,Plano_V3!$A$26:$G$768,7,0)</f>
        <v>1. Concluído</v>
      </c>
      <c r="H32" s="135" t="s">
        <v>612</v>
      </c>
      <c r="I32" s="468"/>
      <c r="J32" s="365" t="s">
        <v>2243</v>
      </c>
      <c r="K32" s="356"/>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1" t="s">
        <v>273</v>
      </c>
      <c r="G33" s="135" t="str">
        <f>VLOOKUP(A33,Plano_V3!$A$26:$G$768,7,0)</f>
        <v>1. Concluído</v>
      </c>
      <c r="H33" s="135" t="s">
        <v>612</v>
      </c>
      <c r="I33" s="468"/>
      <c r="J33" s="365" t="s">
        <v>2243</v>
      </c>
      <c r="K33" s="356"/>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1" t="s">
        <v>274</v>
      </c>
      <c r="G34" s="135" t="str">
        <f>VLOOKUP(A34,Plano_V3!$A$26:$G$768,7,0)</f>
        <v>1. Concluído</v>
      </c>
      <c r="H34" s="135" t="s">
        <v>612</v>
      </c>
      <c r="I34" s="468"/>
      <c r="J34" s="365" t="s">
        <v>2243</v>
      </c>
      <c r="K34" s="356"/>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1" t="s">
        <v>275</v>
      </c>
      <c r="G35" s="135" t="str">
        <f>VLOOKUP(A35,Plano_V3!$A$26:$G$768,7,0)</f>
        <v>1. Concluído</v>
      </c>
      <c r="H35" s="135" t="s">
        <v>612</v>
      </c>
      <c r="I35" s="468"/>
      <c r="J35" s="365" t="s">
        <v>2243</v>
      </c>
      <c r="K35" s="356"/>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1" t="s">
        <v>276</v>
      </c>
      <c r="G36" s="135" t="str">
        <f>VLOOKUP(A36,Plano_V3!$A$26:$G$768,7,0)</f>
        <v>1. Concluído</v>
      </c>
      <c r="H36" s="135" t="s">
        <v>612</v>
      </c>
      <c r="I36" s="468"/>
      <c r="J36" s="365" t="s">
        <v>2243</v>
      </c>
      <c r="K36" s="356"/>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1" t="s">
        <v>277</v>
      </c>
      <c r="G37" s="135" t="str">
        <f>VLOOKUP(A37,Plano_V3!$A$26:$G$768,7,0)</f>
        <v>1. Concluído</v>
      </c>
      <c r="H37" s="135" t="s">
        <v>612</v>
      </c>
      <c r="I37" s="468"/>
      <c r="J37" s="365" t="s">
        <v>2243</v>
      </c>
      <c r="K37" s="356"/>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1" t="s">
        <v>278</v>
      </c>
      <c r="G38" s="135" t="str">
        <f>VLOOKUP(A38,Plano_V3!$A$26:$G$768,7,0)</f>
        <v>1. Concluído</v>
      </c>
      <c r="H38" s="135" t="s">
        <v>612</v>
      </c>
      <c r="I38" s="468"/>
      <c r="J38" s="365" t="s">
        <v>2243</v>
      </c>
      <c r="K38" s="356"/>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5" t="s">
        <v>2292</v>
      </c>
      <c r="G39" s="135" t="str">
        <f>VLOOKUP(A39,Plano_V3!$A$26:$G$768,7,0)</f>
        <v xml:space="preserve">6. Em implementação </v>
      </c>
      <c r="H39" s="135" t="s">
        <v>2320</v>
      </c>
      <c r="I39" s="468"/>
      <c r="J39" s="356" t="s">
        <v>2242</v>
      </c>
      <c r="K39" s="356" t="s">
        <v>2470</v>
      </c>
      <c r="L39" s="365">
        <v>45764</v>
      </c>
      <c r="M39" s="365">
        <v>45771</v>
      </c>
      <c r="N39" s="356" t="s">
        <v>2447</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2382</v>
      </c>
      <c r="W39" s="321" t="s">
        <v>2458</v>
      </c>
      <c r="X39" s="369" t="s">
        <v>2361</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5" t="s">
        <v>2293</v>
      </c>
      <c r="G40" s="135" t="str">
        <f>VLOOKUP(A40,Plano_V3!$A$26:$G$768,7,0)</f>
        <v xml:space="preserve">6. Em implementação </v>
      </c>
      <c r="H40" s="135" t="s">
        <v>2320</v>
      </c>
      <c r="I40" s="468"/>
      <c r="J40" s="356" t="s">
        <v>2242</v>
      </c>
      <c r="K40" s="356" t="s">
        <v>2470</v>
      </c>
      <c r="L40" s="365">
        <v>45764</v>
      </c>
      <c r="M40" s="365">
        <v>45771</v>
      </c>
      <c r="N40" s="356" t="s">
        <v>2447</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2383</v>
      </c>
      <c r="W40" s="321" t="s">
        <v>2458</v>
      </c>
      <c r="X40" s="369" t="s">
        <v>2361</v>
      </c>
      <c r="Y40" s="369" t="s">
        <v>2322</v>
      </c>
      <c r="Z40" s="321" t="s">
        <v>2309</v>
      </c>
    </row>
    <row r="41" spans="1:26" ht="16.399999999999999" customHeight="1">
      <c r="A41" s="29" t="str">
        <f t="shared" si="0"/>
        <v>lt003_entitygrp_ecnmc_actvty</v>
      </c>
      <c r="B41" s="141" t="s">
        <v>26</v>
      </c>
      <c r="C41" s="137" t="s">
        <v>26</v>
      </c>
      <c r="D41" s="133" t="s">
        <v>40</v>
      </c>
      <c r="E41" s="136" t="s">
        <v>335</v>
      </c>
      <c r="F41" s="475" t="s">
        <v>2195</v>
      </c>
      <c r="G41" s="135" t="str">
        <f>VLOOKUP(A41,Plano_V3!$A$26:$G$768,7,0)</f>
        <v>5. Em Correção</v>
      </c>
      <c r="H41" s="135" t="s">
        <v>615</v>
      </c>
      <c r="I41" s="468"/>
      <c r="J41" s="356" t="s">
        <v>2242</v>
      </c>
      <c r="K41" s="356" t="s">
        <v>2453</v>
      </c>
      <c r="L41" s="365">
        <v>45744</v>
      </c>
      <c r="M41" s="365">
        <v>45751</v>
      </c>
      <c r="N41" s="356" t="s">
        <v>2447</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2394</v>
      </c>
      <c r="W41" s="321" t="s">
        <v>2458</v>
      </c>
      <c r="X41" s="369" t="s">
        <v>2361</v>
      </c>
      <c r="Y41" s="369" t="s">
        <v>2322</v>
      </c>
      <c r="Z41" s="321" t="s">
        <v>1856</v>
      </c>
    </row>
    <row r="42" spans="1:26" ht="16.399999999999999" hidden="1" customHeight="1">
      <c r="A42" s="29" t="str">
        <f t="shared" si="0"/>
        <v>lt006_instr_protTYP_RLTN</v>
      </c>
      <c r="B42" s="141" t="s">
        <v>26</v>
      </c>
      <c r="C42" s="137" t="s">
        <v>26</v>
      </c>
      <c r="D42" s="133" t="s">
        <v>40</v>
      </c>
      <c r="E42" s="136" t="s">
        <v>441</v>
      </c>
      <c r="F42" s="475" t="s">
        <v>2290</v>
      </c>
      <c r="G42" s="135" t="str">
        <f>VLOOKUP(A42,Plano_V3!$A$26:$G$768,7,0)</f>
        <v xml:space="preserve">6. Em implementação </v>
      </c>
      <c r="H42" s="135" t="s">
        <v>2320</v>
      </c>
      <c r="I42" s="468"/>
      <c r="J42" s="356" t="s">
        <v>2242</v>
      </c>
      <c r="K42" s="356" t="s">
        <v>2470</v>
      </c>
      <c r="L42" s="365">
        <v>45764</v>
      </c>
      <c r="M42" s="365">
        <v>45771</v>
      </c>
      <c r="N42" s="356" t="s">
        <v>2449</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2395</v>
      </c>
      <c r="W42" s="321" t="s">
        <v>2458</v>
      </c>
      <c r="X42" s="369" t="s">
        <v>2361</v>
      </c>
      <c r="Y42" s="369" t="s">
        <v>2322</v>
      </c>
      <c r="Z42" s="321" t="s">
        <v>1856</v>
      </c>
    </row>
    <row r="43" spans="1:26" ht="16.399999999999999" hidden="1" customHeight="1">
      <c r="A43" s="29" t="str">
        <f t="shared" si="0"/>
        <v>lt004_protectionEPC_EMSSNS_LBL</v>
      </c>
      <c r="B43" s="141" t="s">
        <v>26</v>
      </c>
      <c r="C43" s="137" t="s">
        <v>26</v>
      </c>
      <c r="D43" s="133" t="s">
        <v>40</v>
      </c>
      <c r="E43" s="136" t="s">
        <v>368</v>
      </c>
      <c r="F43" s="475" t="s">
        <v>2248</v>
      </c>
      <c r="G43" s="135" t="str">
        <f>VLOOKUP(A43,Plano_V3!$A$26:$G$768,7,0)</f>
        <v xml:space="preserve">6. Em implementação </v>
      </c>
      <c r="H43" s="135" t="s">
        <v>2320</v>
      </c>
      <c r="I43" s="468"/>
      <c r="J43" s="356" t="s">
        <v>2241</v>
      </c>
      <c r="K43" s="356" t="s">
        <v>2455</v>
      </c>
      <c r="L43" s="365">
        <v>45758</v>
      </c>
      <c r="M43" s="365">
        <v>45765</v>
      </c>
      <c r="N43" s="356" t="s">
        <v>2447</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2396</v>
      </c>
      <c r="W43" s="321" t="s">
        <v>2458</v>
      </c>
      <c r="X43" s="369" t="s">
        <v>2361</v>
      </c>
      <c r="Y43" s="369" t="s">
        <v>2322</v>
      </c>
      <c r="Z43" s="321" t="s">
        <v>1856</v>
      </c>
    </row>
    <row r="44" spans="1:26" ht="16.399999999999999" hidden="1" customHeight="1">
      <c r="A44" s="29" t="str">
        <f t="shared" si="0"/>
        <v>lt004_protectionTYP_EMSSNS_SCR</v>
      </c>
      <c r="B44" s="141" t="s">
        <v>26</v>
      </c>
      <c r="C44" s="137" t="s">
        <v>26</v>
      </c>
      <c r="D44" s="133" t="s">
        <v>40</v>
      </c>
      <c r="E44" s="136" t="s">
        <v>368</v>
      </c>
      <c r="F44" s="475" t="s">
        <v>2250</v>
      </c>
      <c r="G44" s="135" t="str">
        <f>VLOOKUP(A44,Plano_V3!$A$26:$G$768,7,0)</f>
        <v xml:space="preserve">6. Em implementação </v>
      </c>
      <c r="H44" s="135" t="s">
        <v>2320</v>
      </c>
      <c r="I44" s="468"/>
      <c r="J44" s="356" t="s">
        <v>2241</v>
      </c>
      <c r="K44" s="356" t="s">
        <v>2455</v>
      </c>
      <c r="L44" s="365">
        <v>45758</v>
      </c>
      <c r="M44" s="365">
        <v>45765</v>
      </c>
      <c r="N44" s="356" t="s">
        <v>2447</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2396</v>
      </c>
      <c r="W44" s="321" t="s">
        <v>2458</v>
      </c>
      <c r="X44" s="369" t="s">
        <v>2361</v>
      </c>
      <c r="Y44" s="369" t="s">
        <v>2322</v>
      </c>
      <c r="Z44" s="321" t="s">
        <v>1856</v>
      </c>
    </row>
    <row r="45" spans="1:26" ht="16.399999999999999" hidden="1" customHeight="1">
      <c r="A45" s="29" t="str">
        <f t="shared" si="0"/>
        <v>lt004_protectionEPC_EMSSNS_SCR</v>
      </c>
      <c r="B45" s="141" t="s">
        <v>26</v>
      </c>
      <c r="C45" s="137" t="s">
        <v>26</v>
      </c>
      <c r="D45" s="133" t="s">
        <v>40</v>
      </c>
      <c r="E45" s="136" t="s">
        <v>368</v>
      </c>
      <c r="F45" s="475" t="s">
        <v>2251</v>
      </c>
      <c r="G45" s="135" t="str">
        <f>VLOOKUP(A45,Plano_V3!$A$26:$G$768,7,0)</f>
        <v xml:space="preserve">6. Em implementação </v>
      </c>
      <c r="H45" s="135" t="s">
        <v>2320</v>
      </c>
      <c r="I45" s="468"/>
      <c r="J45" s="356" t="s">
        <v>2241</v>
      </c>
      <c r="K45" s="356" t="s">
        <v>2455</v>
      </c>
      <c r="L45" s="365">
        <v>45758</v>
      </c>
      <c r="M45" s="365">
        <v>45765</v>
      </c>
      <c r="N45" s="356" t="s">
        <v>2447</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2396</v>
      </c>
      <c r="W45" s="321" t="s">
        <v>2458</v>
      </c>
      <c r="X45" s="369" t="s">
        <v>2361</v>
      </c>
      <c r="Y45" s="369" t="s">
        <v>2322</v>
      </c>
      <c r="Z45" s="321" t="s">
        <v>1856</v>
      </c>
    </row>
    <row r="46" spans="1:26" ht="16.399999999999999" hidden="1" customHeight="1">
      <c r="A46" s="29" t="str">
        <f t="shared" si="0"/>
        <v>lt004_protectionTYP_VHCL</v>
      </c>
      <c r="B46" s="141" t="s">
        <v>26</v>
      </c>
      <c r="C46" s="137" t="s">
        <v>26</v>
      </c>
      <c r="D46" s="133" t="s">
        <v>40</v>
      </c>
      <c r="E46" s="136" t="s">
        <v>368</v>
      </c>
      <c r="F46" s="475" t="s">
        <v>2261</v>
      </c>
      <c r="G46" s="135" t="str">
        <f>VLOOKUP(A46,Plano_V3!$A$26:$G$768,7,0)</f>
        <v xml:space="preserve">6. Em implementação </v>
      </c>
      <c r="H46" s="135" t="s">
        <v>2320</v>
      </c>
      <c r="I46" s="468"/>
      <c r="J46" s="356" t="s">
        <v>2241</v>
      </c>
      <c r="K46" s="356" t="s">
        <v>2455</v>
      </c>
      <c r="L46" s="365">
        <v>45758</v>
      </c>
      <c r="M46" s="365">
        <v>45765</v>
      </c>
      <c r="N46" s="356" t="s">
        <v>2447</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2398</v>
      </c>
      <c r="W46" s="321" t="s">
        <v>2458</v>
      </c>
      <c r="X46" s="369" t="s">
        <v>2361</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5" t="s">
        <v>2264</v>
      </c>
      <c r="G47" s="135" t="str">
        <f>VLOOKUP(A47,Plano_V3!$A$26:$G$768,7,0)</f>
        <v xml:space="preserve">6. Em implementação </v>
      </c>
      <c r="H47" s="135" t="s">
        <v>2320</v>
      </c>
      <c r="I47" s="468"/>
      <c r="J47" s="356" t="s">
        <v>2241</v>
      </c>
      <c r="K47" s="356" t="s">
        <v>2455</v>
      </c>
      <c r="L47" s="365">
        <v>45758</v>
      </c>
      <c r="M47" s="365">
        <v>45765</v>
      </c>
      <c r="N47" s="356" t="s">
        <v>2447</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2393</v>
      </c>
      <c r="W47" s="321" t="s">
        <v>2458</v>
      </c>
      <c r="X47" s="369" t="s">
        <v>2361</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5" t="s">
        <v>2265</v>
      </c>
      <c r="G48" s="135" t="str">
        <f>VLOOKUP(A48,Plano_V3!$A$26:$G$768,7,0)</f>
        <v xml:space="preserve">6. Em implementação </v>
      </c>
      <c r="H48" s="135" t="s">
        <v>2320</v>
      </c>
      <c r="I48" s="468"/>
      <c r="J48" s="356" t="s">
        <v>2241</v>
      </c>
      <c r="K48" s="356" t="s">
        <v>2455</v>
      </c>
      <c r="L48" s="365">
        <v>45758</v>
      </c>
      <c r="M48" s="365">
        <v>45765</v>
      </c>
      <c r="N48" s="356" t="s">
        <v>2447</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2393</v>
      </c>
      <c r="W48" s="321" t="s">
        <v>2458</v>
      </c>
      <c r="X48" s="369" t="s">
        <v>2361</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5" t="s">
        <v>2266</v>
      </c>
      <c r="G49" s="135" t="str">
        <f>VLOOKUP(A49,Plano_V3!$A$26:$G$768,7,0)</f>
        <v xml:space="preserve">6. Em implementação </v>
      </c>
      <c r="H49" s="135" t="s">
        <v>2320</v>
      </c>
      <c r="I49" s="468"/>
      <c r="J49" s="356" t="s">
        <v>2241</v>
      </c>
      <c r="K49" s="356" t="s">
        <v>2455</v>
      </c>
      <c r="L49" s="365">
        <v>45758</v>
      </c>
      <c r="M49" s="365">
        <v>45765</v>
      </c>
      <c r="N49" s="356" t="s">
        <v>2447</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2393</v>
      </c>
      <c r="W49" s="321" t="s">
        <v>2458</v>
      </c>
      <c r="X49" s="369" t="s">
        <v>2361</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2" t="s">
        <v>1968</v>
      </c>
      <c r="G50" s="135" t="str">
        <f>VLOOKUP(A50,Plano_V3!$A$26:$G$768,7,0)</f>
        <v>1. Concluído</v>
      </c>
      <c r="H50" s="135" t="s">
        <v>612</v>
      </c>
      <c r="I50" s="468" t="s">
        <v>2415</v>
      </c>
      <c r="J50" s="356" t="s">
        <v>2243</v>
      </c>
      <c r="K50" s="356"/>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2378</v>
      </c>
      <c r="Z50" s="369"/>
    </row>
    <row r="51" spans="1:26" ht="16.399999999999999" hidden="1" customHeight="1">
      <c r="A51" s="29" t="str">
        <f t="shared" si="0"/>
        <v>ENERGY_CERTIFICATE_EST_INPUTPROPERTY_BANK_ID</v>
      </c>
      <c r="B51" s="141" t="s">
        <v>26</v>
      </c>
      <c r="C51" s="137" t="s">
        <v>34</v>
      </c>
      <c r="D51" s="133" t="s">
        <v>40</v>
      </c>
      <c r="E51" s="134" t="s">
        <v>37</v>
      </c>
      <c r="F51" s="472" t="s">
        <v>41</v>
      </c>
      <c r="G51" s="135" t="str">
        <f>VLOOKUP(A51,Plano_V3!$A$26:$G$768,7,0)</f>
        <v>1. Concluído</v>
      </c>
      <c r="H51" s="135" t="s">
        <v>612</v>
      </c>
      <c r="I51" s="468" t="s">
        <v>2415</v>
      </c>
      <c r="J51" s="356" t="s">
        <v>2243</v>
      </c>
      <c r="K51" s="356"/>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2" t="s">
        <v>43</v>
      </c>
      <c r="G52" s="135" t="str">
        <f>VLOOKUP(A52,Plano_V3!$A$26:$G$768,7,0)</f>
        <v>1. Concluído</v>
      </c>
      <c r="H52" s="135" t="s">
        <v>612</v>
      </c>
      <c r="I52" s="468" t="s">
        <v>2415</v>
      </c>
      <c r="J52" s="356" t="s">
        <v>2243</v>
      </c>
      <c r="K52" s="356"/>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2" t="s">
        <v>44</v>
      </c>
      <c r="G53" s="135" t="str">
        <f>VLOOKUP(A53,Plano_V3!$A$26:$G$768,7,0)</f>
        <v>1. Concluído</v>
      </c>
      <c r="H53" s="135" t="s">
        <v>612</v>
      </c>
      <c r="I53" s="468" t="s">
        <v>2415</v>
      </c>
      <c r="J53" s="356" t="s">
        <v>2243</v>
      </c>
      <c r="K53" s="356"/>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2" t="s">
        <v>45</v>
      </c>
      <c r="G54" s="135" t="str">
        <f>VLOOKUP(A54,Plano_V3!$A$26:$G$768,7,0)</f>
        <v>1. Concluído</v>
      </c>
      <c r="H54" s="135" t="s">
        <v>612</v>
      </c>
      <c r="I54" s="468" t="s">
        <v>2415</v>
      </c>
      <c r="J54" s="356" t="s">
        <v>2243</v>
      </c>
      <c r="K54" s="356"/>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2" t="s">
        <v>1969</v>
      </c>
      <c r="G55" s="135" t="str">
        <f>VLOOKUP(A55,Plano_V3!$A$26:$G$768,7,0)</f>
        <v>1. Concluído</v>
      </c>
      <c r="H55" s="135" t="s">
        <v>612</v>
      </c>
      <c r="I55" s="468" t="s">
        <v>2415</v>
      </c>
      <c r="J55" s="356" t="s">
        <v>2243</v>
      </c>
      <c r="K55" s="356"/>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2" t="s">
        <v>1970</v>
      </c>
      <c r="G56" s="135" t="str">
        <f>VLOOKUP(A56,Plano_V3!$A$26:$G$768,7,0)</f>
        <v>1. Concluído</v>
      </c>
      <c r="H56" s="135" t="s">
        <v>612</v>
      </c>
      <c r="I56" s="468" t="s">
        <v>2415</v>
      </c>
      <c r="J56" s="356" t="s">
        <v>2243</v>
      </c>
      <c r="K56" s="356"/>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2" t="s">
        <v>1971</v>
      </c>
      <c r="G57" s="135" t="str">
        <f>VLOOKUP(A57,Plano_V3!$A$26:$G$768,7,0)</f>
        <v>1. Concluído</v>
      </c>
      <c r="H57" s="135" t="s">
        <v>612</v>
      </c>
      <c r="I57" s="468" t="s">
        <v>2415</v>
      </c>
      <c r="J57" s="356" t="s">
        <v>2243</v>
      </c>
      <c r="K57" s="356"/>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2" t="s">
        <v>1972</v>
      </c>
      <c r="G58" s="135" t="str">
        <f>VLOOKUP(A58,Plano_V3!$A$26:$G$768,7,0)</f>
        <v>1. Concluído</v>
      </c>
      <c r="H58" s="135" t="s">
        <v>612</v>
      </c>
      <c r="I58" s="468" t="s">
        <v>2415</v>
      </c>
      <c r="J58" s="356" t="s">
        <v>2243</v>
      </c>
      <c r="K58" s="356"/>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2" t="s">
        <v>1973</v>
      </c>
      <c r="G59" s="135" t="str">
        <f>VLOOKUP(A59,Plano_V3!$A$26:$G$768,7,0)</f>
        <v>1. Concluído</v>
      </c>
      <c r="H59" s="135" t="s">
        <v>612</v>
      </c>
      <c r="I59" s="468" t="s">
        <v>2415</v>
      </c>
      <c r="J59" s="356" t="s">
        <v>2243</v>
      </c>
      <c r="K59" s="356"/>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2" t="s">
        <v>1974</v>
      </c>
      <c r="G60" s="135" t="str">
        <f>VLOOKUP(A60,Plano_V3!$A$26:$G$768,7,0)</f>
        <v>1. Concluído</v>
      </c>
      <c r="H60" s="135" t="s">
        <v>612</v>
      </c>
      <c r="I60" s="468" t="s">
        <v>2415</v>
      </c>
      <c r="J60" s="356" t="s">
        <v>2243</v>
      </c>
      <c r="K60" s="356"/>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2" t="s">
        <v>1975</v>
      </c>
      <c r="G61" s="135" t="str">
        <f>VLOOKUP(A61,Plano_V3!$A$26:$G$768,7,0)</f>
        <v>1. Concluído</v>
      </c>
      <c r="H61" s="135" t="s">
        <v>612</v>
      </c>
      <c r="I61" s="468" t="s">
        <v>2415</v>
      </c>
      <c r="J61" s="356" t="s">
        <v>2243</v>
      </c>
      <c r="K61" s="356"/>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2" t="s">
        <v>1976</v>
      </c>
      <c r="G62" s="135" t="str">
        <f>VLOOKUP(A62,Plano_V3!$A$26:$G$768,7,0)</f>
        <v>1. Concluído</v>
      </c>
      <c r="H62" s="135" t="s">
        <v>612</v>
      </c>
      <c r="I62" s="468" t="s">
        <v>2415</v>
      </c>
      <c r="J62" s="356" t="s">
        <v>2243</v>
      </c>
      <c r="K62" s="356"/>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2" t="s">
        <v>1977</v>
      </c>
      <c r="G63" s="135" t="str">
        <f>VLOOKUP(A63,Plano_V3!$A$26:$G$768,7,0)</f>
        <v>1. Concluído</v>
      </c>
      <c r="H63" s="135" t="s">
        <v>612</v>
      </c>
      <c r="I63" s="468" t="s">
        <v>2415</v>
      </c>
      <c r="J63" s="356" t="s">
        <v>2243</v>
      </c>
      <c r="K63" s="356"/>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2" t="s">
        <v>1978</v>
      </c>
      <c r="G64" s="135" t="str">
        <f>VLOOKUP(A64,Plano_V3!$A$26:$G$768,7,0)</f>
        <v>1. Concluído</v>
      </c>
      <c r="H64" s="135" t="s">
        <v>612</v>
      </c>
      <c r="I64" s="468" t="s">
        <v>2415</v>
      </c>
      <c r="J64" s="356" t="s">
        <v>2243</v>
      </c>
      <c r="K64" s="356"/>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2" t="s">
        <v>1979</v>
      </c>
      <c r="G65" s="135" t="str">
        <f>VLOOKUP(A65,Plano_V3!$A$26:$G$768,7,0)</f>
        <v>1. Concluído</v>
      </c>
      <c r="H65" s="135" t="s">
        <v>612</v>
      </c>
      <c r="I65" s="468" t="s">
        <v>2415</v>
      </c>
      <c r="J65" s="356" t="s">
        <v>2243</v>
      </c>
      <c r="K65" s="356"/>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2" t="s">
        <v>1980</v>
      </c>
      <c r="G66" s="135" t="str">
        <f>VLOOKUP(A66,Plano_V3!$A$26:$G$768,7,0)</f>
        <v>1. Concluído</v>
      </c>
      <c r="H66" s="135" t="s">
        <v>612</v>
      </c>
      <c r="I66" s="468" t="s">
        <v>2415</v>
      </c>
      <c r="J66" s="356" t="s">
        <v>2243</v>
      </c>
      <c r="K66" s="356"/>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2" t="s">
        <v>1981</v>
      </c>
      <c r="G67" s="135" t="str">
        <f>VLOOKUP(A67,Plano_V3!$A$26:$G$768,7,0)</f>
        <v>1. Concluído</v>
      </c>
      <c r="H67" s="135" t="s">
        <v>612</v>
      </c>
      <c r="I67" s="468" t="s">
        <v>2415</v>
      </c>
      <c r="J67" s="356" t="s">
        <v>2243</v>
      </c>
      <c r="K67" s="356"/>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2" t="s">
        <v>1982</v>
      </c>
      <c r="G68" s="135" t="str">
        <f>VLOOKUP(A68,Plano_V3!$A$26:$G$768,7,0)</f>
        <v>1. Concluído</v>
      </c>
      <c r="H68" s="135" t="s">
        <v>612</v>
      </c>
      <c r="I68" s="468" t="s">
        <v>2415</v>
      </c>
      <c r="J68" s="356" t="s">
        <v>2243</v>
      </c>
      <c r="K68" s="356"/>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2" t="s">
        <v>1983</v>
      </c>
      <c r="G69" s="135" t="str">
        <f>VLOOKUP(A69,Plano_V3!$A$26:$G$768,7,0)</f>
        <v>1. Concluído</v>
      </c>
      <c r="H69" s="135" t="s">
        <v>612</v>
      </c>
      <c r="I69" s="468" t="s">
        <v>2415</v>
      </c>
      <c r="J69" s="356" t="s">
        <v>2243</v>
      </c>
      <c r="K69" s="356"/>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2" t="s">
        <v>1984</v>
      </c>
      <c r="G70" s="135" t="str">
        <f>VLOOKUP(A70,Plano_V3!$A$26:$G$768,7,0)</f>
        <v>1. Concluído</v>
      </c>
      <c r="H70" s="135" t="s">
        <v>612</v>
      </c>
      <c r="I70" s="468" t="s">
        <v>2415</v>
      </c>
      <c r="J70" s="356" t="s">
        <v>2243</v>
      </c>
      <c r="K70" s="356"/>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E71&amp;F71</f>
        <v>ENERGY_CERTIFICATE_EST_INPUTLONGITUDE</v>
      </c>
      <c r="B71" s="141" t="s">
        <v>26</v>
      </c>
      <c r="C71" s="137" t="s">
        <v>34</v>
      </c>
      <c r="D71" s="133" t="s">
        <v>40</v>
      </c>
      <c r="E71" s="134" t="s">
        <v>37</v>
      </c>
      <c r="F71" s="472" t="s">
        <v>1985</v>
      </c>
      <c r="G71" s="135" t="str">
        <f>VLOOKUP(A71,Plano_V3!$A$26:$G$768,7,0)</f>
        <v>1. Concluído</v>
      </c>
      <c r="H71" s="135" t="s">
        <v>612</v>
      </c>
      <c r="I71" s="468" t="s">
        <v>2415</v>
      </c>
      <c r="J71" s="356" t="s">
        <v>2243</v>
      </c>
      <c r="K71" s="356"/>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2" t="s">
        <v>1986</v>
      </c>
      <c r="G72" s="135" t="str">
        <f>VLOOKUP(A72,Plano_V3!$A$26:$G$768,7,0)</f>
        <v>1. Concluído</v>
      </c>
      <c r="H72" s="135" t="s">
        <v>612</v>
      </c>
      <c r="I72" s="468" t="s">
        <v>2415</v>
      </c>
      <c r="J72" s="356" t="s">
        <v>2243</v>
      </c>
      <c r="K72" s="356"/>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1">E73&amp;F73</f>
        <v>ENERGY_CERTIFICATE_EST_INPUTSUBCODIGO_POSTAL</v>
      </c>
      <c r="B73" s="141" t="s">
        <v>26</v>
      </c>
      <c r="C73" s="137" t="s">
        <v>34</v>
      </c>
      <c r="D73" s="133" t="s">
        <v>40</v>
      </c>
      <c r="E73" s="134" t="s">
        <v>37</v>
      </c>
      <c r="F73" s="472" t="s">
        <v>1987</v>
      </c>
      <c r="G73" s="135" t="str">
        <f>VLOOKUP(A73,Plano_V3!$A$26:$G$768,7,0)</f>
        <v>1. Concluído</v>
      </c>
      <c r="H73" s="135" t="s">
        <v>612</v>
      </c>
      <c r="I73" s="468" t="s">
        <v>2415</v>
      </c>
      <c r="J73" s="356" t="s">
        <v>2243</v>
      </c>
      <c r="K73" s="356"/>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1"/>
        <v>ENERGY_CERTIFICATE_EST_INPUTASSUPERFICIE_UTIL</v>
      </c>
      <c r="B74" s="141" t="s">
        <v>26</v>
      </c>
      <c r="C74" s="137" t="s">
        <v>34</v>
      </c>
      <c r="D74" s="133" t="s">
        <v>40</v>
      </c>
      <c r="E74" s="134" t="s">
        <v>37</v>
      </c>
      <c r="F74" s="472" t="s">
        <v>1988</v>
      </c>
      <c r="G74" s="135" t="str">
        <f>VLOOKUP(A74,Plano_V3!$A$26:$G$768,7,0)</f>
        <v>1. Concluído</v>
      </c>
      <c r="H74" s="135" t="s">
        <v>612</v>
      </c>
      <c r="I74" s="468" t="s">
        <v>2415</v>
      </c>
      <c r="J74" s="356" t="s">
        <v>2243</v>
      </c>
      <c r="K74" s="356"/>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1"/>
        <v>ENERGY_CERTIFICATE_EST_INPUTANIO_CONSTRUCCION</v>
      </c>
      <c r="B75" s="141" t="s">
        <v>26</v>
      </c>
      <c r="C75" s="137" t="s">
        <v>34</v>
      </c>
      <c r="D75" s="133" t="s">
        <v>40</v>
      </c>
      <c r="E75" s="134" t="s">
        <v>37</v>
      </c>
      <c r="F75" s="472" t="s">
        <v>1989</v>
      </c>
      <c r="G75" s="135" t="str">
        <f>VLOOKUP(A75,Plano_V3!$A$26:$G$768,7,0)</f>
        <v>1. Concluído</v>
      </c>
      <c r="H75" s="135" t="s">
        <v>612</v>
      </c>
      <c r="I75" s="468" t="s">
        <v>2415</v>
      </c>
      <c r="J75" s="356" t="s">
        <v>2243</v>
      </c>
      <c r="K75" s="356"/>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1"/>
        <v>ENERGY_CERTIFICATE_EST_INPUTTIPO_INMUEBLE_HABITACAO</v>
      </c>
      <c r="B76" s="141" t="s">
        <v>26</v>
      </c>
      <c r="C76" s="137" t="s">
        <v>34</v>
      </c>
      <c r="D76" s="133" t="s">
        <v>40</v>
      </c>
      <c r="E76" s="134" t="s">
        <v>37</v>
      </c>
      <c r="F76" s="472" t="s">
        <v>1990</v>
      </c>
      <c r="G76" s="135" t="str">
        <f>VLOOKUP(A76,Plano_V3!$A$26:$G$768,7,0)</f>
        <v>1. Concluído</v>
      </c>
      <c r="H76" s="135" t="s">
        <v>612</v>
      </c>
      <c r="I76" s="468" t="s">
        <v>2415</v>
      </c>
      <c r="J76" s="356" t="s">
        <v>2243</v>
      </c>
      <c r="K76" s="356"/>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1"/>
        <v>ENERGY_CERTIFICATE_EST_INPUTPISO_APARTAMENTO</v>
      </c>
      <c r="B77" s="141" t="s">
        <v>26</v>
      </c>
      <c r="C77" s="137" t="s">
        <v>34</v>
      </c>
      <c r="D77" s="133" t="s">
        <v>40</v>
      </c>
      <c r="E77" s="134" t="s">
        <v>37</v>
      </c>
      <c r="F77" s="472" t="s">
        <v>1991</v>
      </c>
      <c r="G77" s="135" t="str">
        <f>VLOOKUP(A77,Plano_V3!$A$26:$G$768,7,0)</f>
        <v>1. Concluído</v>
      </c>
      <c r="H77" s="135" t="s">
        <v>612</v>
      </c>
      <c r="I77" s="468" t="s">
        <v>2415</v>
      </c>
      <c r="J77" s="356" t="s">
        <v>2243</v>
      </c>
      <c r="K77" s="356"/>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1"/>
        <v>ENERGY_CERTIFICATE_EST_INPUTCASA_UNIFAMILIAR</v>
      </c>
      <c r="B78" s="141" t="s">
        <v>26</v>
      </c>
      <c r="C78" s="137" t="s">
        <v>34</v>
      </c>
      <c r="D78" s="133" t="s">
        <v>40</v>
      </c>
      <c r="E78" s="134" t="s">
        <v>37</v>
      </c>
      <c r="F78" s="472" t="s">
        <v>1992</v>
      </c>
      <c r="G78" s="135" t="str">
        <f>VLOOKUP(A78,Plano_V3!$A$26:$G$768,7,0)</f>
        <v>1. Concluído</v>
      </c>
      <c r="H78" s="135" t="s">
        <v>612</v>
      </c>
      <c r="I78" s="468" t="s">
        <v>2415</v>
      </c>
      <c r="J78" s="356" t="s">
        <v>2243</v>
      </c>
      <c r="K78" s="356"/>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1"/>
        <v>ENERGY_CERTIFICATE_EST_INPUTTIPO_INMUEBLE_COMERCIO_SERVICOS</v>
      </c>
      <c r="B79" s="141" t="s">
        <v>26</v>
      </c>
      <c r="C79" s="137" t="s">
        <v>34</v>
      </c>
      <c r="D79" s="133" t="s">
        <v>40</v>
      </c>
      <c r="E79" s="134" t="s">
        <v>37</v>
      </c>
      <c r="F79" s="472" t="s">
        <v>1993</v>
      </c>
      <c r="G79" s="135" t="str">
        <f>VLOOKUP(A79,Plano_V3!$A$26:$G$768,7,0)</f>
        <v>1. Concluído</v>
      </c>
      <c r="H79" s="135" t="s">
        <v>612</v>
      </c>
      <c r="I79" s="468" t="s">
        <v>2415</v>
      </c>
      <c r="J79" s="356" t="s">
        <v>2243</v>
      </c>
      <c r="K79" s="356"/>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1"/>
        <v>ENERGY_CERTIFICATE_EST_INPUTNOME_CONSERVATORIA</v>
      </c>
      <c r="B80" s="141" t="s">
        <v>26</v>
      </c>
      <c r="C80" s="137" t="s">
        <v>34</v>
      </c>
      <c r="D80" s="133" t="s">
        <v>40</v>
      </c>
      <c r="E80" s="134" t="s">
        <v>37</v>
      </c>
      <c r="F80" s="472" t="s">
        <v>1994</v>
      </c>
      <c r="G80" s="135" t="str">
        <f>VLOOKUP(A80,Plano_V3!$A$26:$G$768,7,0)</f>
        <v>1. Concluído</v>
      </c>
      <c r="H80" s="135" t="s">
        <v>612</v>
      </c>
      <c r="I80" s="468" t="s">
        <v>2415</v>
      </c>
      <c r="J80" s="356" t="s">
        <v>2243</v>
      </c>
      <c r="K80" s="356"/>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1"/>
        <v>ENERGY_CERTIFICATE_EST_INPUTCOD_CONSERVATORIA</v>
      </c>
      <c r="B81" s="141" t="s">
        <v>26</v>
      </c>
      <c r="C81" s="137" t="s">
        <v>34</v>
      </c>
      <c r="D81" s="133" t="s">
        <v>40</v>
      </c>
      <c r="E81" s="134" t="s">
        <v>37</v>
      </c>
      <c r="F81" s="472" t="s">
        <v>1995</v>
      </c>
      <c r="G81" s="135" t="str">
        <f>VLOOKUP(A81,Plano_V3!$A$26:$G$768,7,0)</f>
        <v>1. Concluído</v>
      </c>
      <c r="H81" s="135" t="s">
        <v>612</v>
      </c>
      <c r="I81" s="468" t="s">
        <v>2415</v>
      </c>
      <c r="J81" s="356" t="s">
        <v>2243</v>
      </c>
      <c r="K81" s="356"/>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1"/>
        <v>ENERGY_CERTIFICATE_EST_INPUTREGISTRO_CONSERVATORIA</v>
      </c>
      <c r="B82" s="141" t="s">
        <v>26</v>
      </c>
      <c r="C82" s="137" t="s">
        <v>34</v>
      </c>
      <c r="D82" s="133" t="s">
        <v>40</v>
      </c>
      <c r="E82" s="134" t="s">
        <v>37</v>
      </c>
      <c r="F82" s="472" t="s">
        <v>1996</v>
      </c>
      <c r="G82" s="135" t="str">
        <f>VLOOKUP(A82,Plano_V3!$A$26:$G$768,7,0)</f>
        <v>1. Concluído</v>
      </c>
      <c r="H82" s="135" t="s">
        <v>612</v>
      </c>
      <c r="I82" s="468" t="s">
        <v>2415</v>
      </c>
      <c r="J82" s="356" t="s">
        <v>2243</v>
      </c>
      <c r="K82" s="356"/>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1"/>
        <v>ENERGY_CERTIFICATE_EST_INPUTART_MATRICIAIS</v>
      </c>
      <c r="B83" s="141" t="s">
        <v>26</v>
      </c>
      <c r="C83" s="137" t="s">
        <v>34</v>
      </c>
      <c r="D83" s="133" t="s">
        <v>40</v>
      </c>
      <c r="E83" s="134" t="s">
        <v>37</v>
      </c>
      <c r="F83" s="472" t="s">
        <v>1997</v>
      </c>
      <c r="G83" s="135" t="str">
        <f>VLOOKUP(A83,Plano_V3!$A$26:$G$768,7,0)</f>
        <v>1. Concluído</v>
      </c>
      <c r="H83" s="135" t="s">
        <v>612</v>
      </c>
      <c r="I83" s="468" t="s">
        <v>2415</v>
      </c>
      <c r="J83" s="356" t="s">
        <v>2243</v>
      </c>
      <c r="K83" s="356"/>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1"/>
        <v>ENERGY_CERTIFICATE_EST_INPUTFRACCAO_AUTONOMA</v>
      </c>
      <c r="B84" s="141" t="s">
        <v>26</v>
      </c>
      <c r="C84" s="137" t="s">
        <v>34</v>
      </c>
      <c r="D84" s="133" t="s">
        <v>40</v>
      </c>
      <c r="E84" s="134" t="s">
        <v>37</v>
      </c>
      <c r="F84" s="472" t="s">
        <v>1998</v>
      </c>
      <c r="G84" s="135" t="str">
        <f>VLOOKUP(A84,Plano_V3!$A$26:$G$768,7,0)</f>
        <v>1. Concluído</v>
      </c>
      <c r="H84" s="135" t="s">
        <v>612</v>
      </c>
      <c r="I84" s="468" t="s">
        <v>2415</v>
      </c>
      <c r="J84" s="356" t="s">
        <v>2243</v>
      </c>
      <c r="K84" s="356"/>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1"/>
        <v>ENERGY_CERTIFICATE_EST_INPUTFINALIDADE_BEM</v>
      </c>
      <c r="B85" s="141" t="s">
        <v>26</v>
      </c>
      <c r="C85" s="137" t="s">
        <v>34</v>
      </c>
      <c r="D85" s="133" t="s">
        <v>40</v>
      </c>
      <c r="E85" s="134" t="s">
        <v>37</v>
      </c>
      <c r="F85" s="472" t="s">
        <v>1999</v>
      </c>
      <c r="G85" s="135" t="str">
        <f>VLOOKUP(A85,Plano_V3!$A$26:$G$768,7,0)</f>
        <v>1. Concluído</v>
      </c>
      <c r="H85" s="135" t="s">
        <v>612</v>
      </c>
      <c r="I85" s="468" t="s">
        <v>2415</v>
      </c>
      <c r="J85" s="356" t="s">
        <v>2243</v>
      </c>
      <c r="K85" s="356"/>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1"/>
        <v>ENERGY_CERTIFICATE_EST_INPUTCLASS_GPT31</v>
      </c>
      <c r="B86" s="141" t="s">
        <v>26</v>
      </c>
      <c r="C86" s="137" t="s">
        <v>34</v>
      </c>
      <c r="D86" s="133" t="s">
        <v>40</v>
      </c>
      <c r="E86" s="134" t="s">
        <v>37</v>
      </c>
      <c r="F86" s="472" t="s">
        <v>2000</v>
      </c>
      <c r="G86" s="135" t="str">
        <f>VLOOKUP(A86,Plano_V3!$A$26:$G$768,7,0)</f>
        <v>1. Concluído</v>
      </c>
      <c r="H86" s="135" t="s">
        <v>612</v>
      </c>
      <c r="I86" s="468" t="s">
        <v>2415</v>
      </c>
      <c r="J86" s="356" t="s">
        <v>2243</v>
      </c>
      <c r="K86" s="356"/>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1"/>
        <v>ENERGY_CERTIFICATE_EST_INPUTCLASS_STCLIM</v>
      </c>
      <c r="B87" s="141" t="s">
        <v>26</v>
      </c>
      <c r="C87" s="137" t="s">
        <v>34</v>
      </c>
      <c r="D87" s="133" t="s">
        <v>40</v>
      </c>
      <c r="E87" s="134" t="s">
        <v>37</v>
      </c>
      <c r="F87" s="472" t="s">
        <v>2001</v>
      </c>
      <c r="G87" s="135" t="str">
        <f>VLOOKUP(A87,Plano_V3!$A$26:$G$768,7,0)</f>
        <v>1. Concluído</v>
      </c>
      <c r="H87" s="135" t="s">
        <v>612</v>
      </c>
      <c r="I87" s="468" t="s">
        <v>2415</v>
      </c>
      <c r="J87" s="356" t="s">
        <v>2243</v>
      </c>
      <c r="K87" s="356"/>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1"/>
        <v>ENERGY_CERTIFICATE_EST_INPUTCONF_STCLIM</v>
      </c>
      <c r="B88" s="141" t="s">
        <v>26</v>
      </c>
      <c r="C88" s="137" t="s">
        <v>34</v>
      </c>
      <c r="D88" s="133" t="s">
        <v>40</v>
      </c>
      <c r="E88" s="134" t="s">
        <v>37</v>
      </c>
      <c r="F88" s="472" t="s">
        <v>2002</v>
      </c>
      <c r="G88" s="135" t="str">
        <f>VLOOKUP(A88,Plano_V3!$A$26:$G$768,7,0)</f>
        <v>1. Concluído</v>
      </c>
      <c r="H88" s="135" t="s">
        <v>612</v>
      </c>
      <c r="I88" s="468" t="s">
        <v>2415</v>
      </c>
      <c r="J88" s="356" t="s">
        <v>2243</v>
      </c>
      <c r="K88" s="356"/>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1"/>
        <v>ENERGY_CERTIFICATE_EST_INPUTCLASSE_ENERGETICA</v>
      </c>
      <c r="B89" s="141" t="s">
        <v>26</v>
      </c>
      <c r="C89" s="137" t="s">
        <v>34</v>
      </c>
      <c r="D89" s="133" t="s">
        <v>40</v>
      </c>
      <c r="E89" s="134" t="s">
        <v>37</v>
      </c>
      <c r="F89" s="472" t="s">
        <v>2003</v>
      </c>
      <c r="G89" s="135" t="str">
        <f>VLOOKUP(A89,Plano_V3!$A$26:$G$768,7,0)</f>
        <v>1. Concluído</v>
      </c>
      <c r="H89" s="135" t="s">
        <v>612</v>
      </c>
      <c r="I89" s="468" t="s">
        <v>2415</v>
      </c>
      <c r="J89" s="356" t="s">
        <v>2243</v>
      </c>
      <c r="K89" s="356"/>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2378</v>
      </c>
      <c r="Z89" s="369"/>
    </row>
    <row r="90" spans="1:26" ht="16.399999999999999" hidden="1" customHeight="1">
      <c r="A90" s="29" t="str">
        <f t="shared" si="1"/>
        <v>ENERGY_CERTIFICATE_EST_INPUTFIABILIDAD</v>
      </c>
      <c r="B90" s="141" t="s">
        <v>26</v>
      </c>
      <c r="C90" s="137" t="s">
        <v>34</v>
      </c>
      <c r="D90" s="133" t="s">
        <v>40</v>
      </c>
      <c r="E90" s="134" t="s">
        <v>37</v>
      </c>
      <c r="F90" s="472" t="s">
        <v>2004</v>
      </c>
      <c r="G90" s="135" t="str">
        <f>VLOOKUP(A90,Plano_V3!$A$26:$G$768,7,0)</f>
        <v>1. Concluído</v>
      </c>
      <c r="H90" s="135" t="s">
        <v>612</v>
      </c>
      <c r="I90" s="468" t="s">
        <v>2415</v>
      </c>
      <c r="J90" s="356" t="s">
        <v>2243</v>
      </c>
      <c r="K90" s="356"/>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2378</v>
      </c>
      <c r="Z90" s="369"/>
    </row>
    <row r="91" spans="1:26" ht="16.399999999999999" hidden="1" customHeight="1">
      <c r="A91" s="29" t="str">
        <f t="shared" si="1"/>
        <v>ENERGY_CERTIFICATE_EST_INPUTEMISSIONES</v>
      </c>
      <c r="B91" s="141" t="s">
        <v>26</v>
      </c>
      <c r="C91" s="137" t="s">
        <v>34</v>
      </c>
      <c r="D91" s="133" t="s">
        <v>40</v>
      </c>
      <c r="E91" s="134" t="s">
        <v>37</v>
      </c>
      <c r="F91" s="472" t="s">
        <v>2005</v>
      </c>
      <c r="G91" s="135" t="str">
        <f>VLOOKUP(A91,Plano_V3!$A$26:$G$768,7,0)</f>
        <v>1. Concluído</v>
      </c>
      <c r="H91" s="135" t="s">
        <v>612</v>
      </c>
      <c r="I91" s="468" t="s">
        <v>2415</v>
      </c>
      <c r="J91" s="356" t="s">
        <v>2243</v>
      </c>
      <c r="K91" s="356"/>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2378</v>
      </c>
      <c r="Z91" s="369"/>
    </row>
    <row r="92" spans="1:26" ht="16.399999999999999" hidden="1" customHeight="1">
      <c r="A92" s="29" t="str">
        <f t="shared" si="1"/>
        <v>ENERGY_CERTIFICATE_EST_INPUTCONSUMOS</v>
      </c>
      <c r="B92" s="141" t="s">
        <v>26</v>
      </c>
      <c r="C92" s="137" t="s">
        <v>34</v>
      </c>
      <c r="D92" s="133" t="s">
        <v>40</v>
      </c>
      <c r="E92" s="134" t="s">
        <v>37</v>
      </c>
      <c r="F92" s="472" t="s">
        <v>2006</v>
      </c>
      <c r="G92" s="135" t="str">
        <f>VLOOKUP(A92,Plano_V3!$A$26:$G$768,7,0)</f>
        <v>1. Concluído</v>
      </c>
      <c r="H92" s="135" t="s">
        <v>612</v>
      </c>
      <c r="I92" s="468" t="s">
        <v>2415</v>
      </c>
      <c r="J92" s="356" t="s">
        <v>2243</v>
      </c>
      <c r="K92" s="356"/>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2378</v>
      </c>
      <c r="Z92" s="369"/>
    </row>
    <row r="93" spans="1:26" ht="16.399999999999999" hidden="1" customHeight="1">
      <c r="A93" s="29" t="str">
        <f t="shared" si="1"/>
        <v>ENERGY_CERTIFICATE_EST_INPUTDATA_ENVIO</v>
      </c>
      <c r="B93" s="141" t="s">
        <v>26</v>
      </c>
      <c r="C93" s="137" t="s">
        <v>34</v>
      </c>
      <c r="D93" s="133" t="s">
        <v>40</v>
      </c>
      <c r="E93" s="134" t="s">
        <v>37</v>
      </c>
      <c r="F93" s="472" t="s">
        <v>2007</v>
      </c>
      <c r="G93" s="135" t="str">
        <f>VLOOKUP(A93,Plano_V3!$A$26:$G$768,7,0)</f>
        <v>1. Concluído</v>
      </c>
      <c r="H93" s="135" t="s">
        <v>612</v>
      </c>
      <c r="I93" s="468" t="s">
        <v>2415</v>
      </c>
      <c r="J93" s="356" t="s">
        <v>2243</v>
      </c>
      <c r="K93" s="356"/>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2378</v>
      </c>
      <c r="Z93" s="369"/>
    </row>
    <row r="94" spans="1:26" ht="16.399999999999999" hidden="1" customHeight="1">
      <c r="A94" s="29" t="str">
        <f t="shared" si="1"/>
        <v>PROPERTY_ENERGY_CERTIFICATEEPC</v>
      </c>
      <c r="B94" s="141" t="s">
        <v>26</v>
      </c>
      <c r="C94" s="137" t="s">
        <v>54</v>
      </c>
      <c r="D94" s="133" t="s">
        <v>40</v>
      </c>
      <c r="E94" s="134" t="s">
        <v>123</v>
      </c>
      <c r="F94" s="471" t="s">
        <v>47</v>
      </c>
      <c r="G94" s="135" t="str">
        <f>VLOOKUP(A94,Plano_V3!$A$26:$G$768,7,0)</f>
        <v>1. Concluído</v>
      </c>
      <c r="H94" s="135" t="s">
        <v>612</v>
      </c>
      <c r="I94" s="468"/>
      <c r="J94" s="356" t="s">
        <v>2243</v>
      </c>
      <c r="K94" s="356"/>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hidden="1" customHeight="1">
      <c r="A95" s="29" t="str">
        <f t="shared" si="1"/>
        <v>PROPERTY_ENERGY_CERTIFICATEPRMRY_ENRGY_DMND_RFRNC_VL</v>
      </c>
      <c r="B95" s="141" t="s">
        <v>26</v>
      </c>
      <c r="C95" s="137" t="s">
        <v>54</v>
      </c>
      <c r="D95" s="133" t="s">
        <v>40</v>
      </c>
      <c r="E95" s="134" t="s">
        <v>123</v>
      </c>
      <c r="F95" s="471" t="s">
        <v>2265</v>
      </c>
      <c r="G95" s="135" t="str">
        <f>VLOOKUP(A95,Plano_V3!$A$26:$G$768,7,0)</f>
        <v>1. Concluído</v>
      </c>
      <c r="H95" s="135" t="s">
        <v>612</v>
      </c>
      <c r="I95" s="468"/>
      <c r="J95" s="356"/>
      <c r="K95" s="356"/>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1"/>
        <v>PROPERTY_ENERGY_CERTIFICATECARBON_EMISSION_VALUE_YEAR</v>
      </c>
      <c r="B96" s="141" t="s">
        <v>26</v>
      </c>
      <c r="C96" s="137" t="s">
        <v>54</v>
      </c>
      <c r="D96" s="133" t="s">
        <v>40</v>
      </c>
      <c r="E96" s="134" t="s">
        <v>123</v>
      </c>
      <c r="F96" s="471" t="s">
        <v>52</v>
      </c>
      <c r="G96" s="135" t="str">
        <f>VLOOKUP(A96,Plano_V3!$A$26:$G$768,7,0)</f>
        <v>1. Concluído</v>
      </c>
      <c r="H96" s="135" t="s">
        <v>612</v>
      </c>
      <c r="I96" s="468"/>
      <c r="J96" s="356" t="s">
        <v>2442</v>
      </c>
      <c r="K96" s="356" t="s">
        <v>2452</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1"/>
        <v>modesg_inp_risco_fisico_zipcodecod_pais</v>
      </c>
      <c r="B97" s="141" t="s">
        <v>26</v>
      </c>
      <c r="C97" s="137" t="s">
        <v>181</v>
      </c>
      <c r="D97" s="133" t="s">
        <v>40</v>
      </c>
      <c r="E97" s="134" t="s">
        <v>2155</v>
      </c>
      <c r="F97" s="471" t="s">
        <v>279</v>
      </c>
      <c r="G97" s="135" t="str">
        <f>VLOOKUP(A97,Plano_V3!$A$26:$G$768,7,0)</f>
        <v>1. Concluído</v>
      </c>
      <c r="H97" s="135" t="s">
        <v>612</v>
      </c>
      <c r="I97" s="468"/>
      <c r="J97" s="365" t="s">
        <v>2307</v>
      </c>
      <c r="K97" s="356"/>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1"/>
        <v>modesg_inp_risco_fisico_zipcodelocalizacao</v>
      </c>
      <c r="B98" s="141" t="s">
        <v>26</v>
      </c>
      <c r="C98" s="137" t="s">
        <v>181</v>
      </c>
      <c r="D98" s="133" t="s">
        <v>40</v>
      </c>
      <c r="E98" s="134" t="s">
        <v>2155</v>
      </c>
      <c r="F98" s="471" t="s">
        <v>2156</v>
      </c>
      <c r="G98" s="135" t="str">
        <f>VLOOKUP(A98,Plano_V3!$A$26:$G$768,7,0)</f>
        <v>1. Concluído</v>
      </c>
      <c r="H98" s="135" t="s">
        <v>612</v>
      </c>
      <c r="I98" s="468"/>
      <c r="J98" s="365" t="s">
        <v>2307</v>
      </c>
      <c r="K98" s="356"/>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1"/>
        <v>modesg_inp_risco_fisico_zipcodecod_nace_esg</v>
      </c>
      <c r="B99" s="141" t="s">
        <v>26</v>
      </c>
      <c r="C99" s="137" t="s">
        <v>181</v>
      </c>
      <c r="D99" s="133" t="s">
        <v>40</v>
      </c>
      <c r="E99" s="134" t="s">
        <v>2155</v>
      </c>
      <c r="F99" s="471" t="s">
        <v>281</v>
      </c>
      <c r="G99" s="135" t="str">
        <f>VLOOKUP(A99,Plano_V3!$A$26:$G$768,7,0)</f>
        <v>1. Concluído</v>
      </c>
      <c r="H99" s="135" t="s">
        <v>612</v>
      </c>
      <c r="I99" s="468"/>
      <c r="J99" s="365" t="s">
        <v>2307</v>
      </c>
      <c r="K99" s="356"/>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1"/>
        <v>modesg_inp_risco_fisico_zipcodeflg_rsc_fsc_agd</v>
      </c>
      <c r="B100" s="141" t="s">
        <v>26</v>
      </c>
      <c r="C100" s="137" t="s">
        <v>181</v>
      </c>
      <c r="D100" s="133" t="s">
        <v>40</v>
      </c>
      <c r="E100" s="134" t="s">
        <v>2155</v>
      </c>
      <c r="F100" s="471" t="s">
        <v>282</v>
      </c>
      <c r="G100" s="135" t="str">
        <f>VLOOKUP(A100,Plano_V3!$A$26:$G$768,7,0)</f>
        <v>1. Concluído</v>
      </c>
      <c r="H100" s="135" t="s">
        <v>612</v>
      </c>
      <c r="I100" s="468"/>
      <c r="J100" s="365" t="s">
        <v>2307</v>
      </c>
      <c r="K100" s="356"/>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1"/>
        <v>modesg_inp_risco_fisico_zipcodeflg_rsc_fsc_crnc</v>
      </c>
      <c r="B101" s="141" t="s">
        <v>26</v>
      </c>
      <c r="C101" s="137" t="s">
        <v>181</v>
      </c>
      <c r="D101" s="133" t="s">
        <v>40</v>
      </c>
      <c r="E101" s="134" t="s">
        <v>2155</v>
      </c>
      <c r="F101" s="471" t="s">
        <v>283</v>
      </c>
      <c r="G101" s="135" t="str">
        <f>VLOOKUP(A101,Plano_V3!$A$26:$G$768,7,0)</f>
        <v>1. Concluído</v>
      </c>
      <c r="H101" s="135" t="s">
        <v>612</v>
      </c>
      <c r="I101" s="468"/>
      <c r="J101" s="365" t="s">
        <v>2307</v>
      </c>
      <c r="K101" s="356"/>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1"/>
        <v>modesg_out_bens_imoveisflg_rsc_fsc_agd</v>
      </c>
      <c r="B102" s="141" t="s">
        <v>26</v>
      </c>
      <c r="C102" s="137" t="s">
        <v>310</v>
      </c>
      <c r="D102" s="133" t="s">
        <v>40</v>
      </c>
      <c r="E102" s="134" t="s">
        <v>311</v>
      </c>
      <c r="F102" s="471" t="s">
        <v>282</v>
      </c>
      <c r="G102" s="135" t="str">
        <f>VLOOKUP(A102,Plano_V3!$A$26:$G$768,7,0)</f>
        <v>1. Concluído</v>
      </c>
      <c r="H102" s="135" t="s">
        <v>612</v>
      </c>
      <c r="I102" s="468"/>
      <c r="J102" s="365" t="s">
        <v>2307</v>
      </c>
      <c r="K102" s="356" t="s">
        <v>2399</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1"/>
        <v>modesg_out_bens_imoveisflg_rsc_fsc_crnc</v>
      </c>
      <c r="B103" s="141" t="s">
        <v>26</v>
      </c>
      <c r="C103" s="137" t="s">
        <v>310</v>
      </c>
      <c r="D103" s="133" t="s">
        <v>40</v>
      </c>
      <c r="E103" s="134" t="s">
        <v>311</v>
      </c>
      <c r="F103" s="471" t="s">
        <v>283</v>
      </c>
      <c r="G103" s="135" t="str">
        <f>VLOOKUP(A103,Plano_V3!$A$26:$G$768,7,0)</f>
        <v>1. Concluído</v>
      </c>
      <c r="H103" s="135" t="s">
        <v>612</v>
      </c>
      <c r="I103" s="468"/>
      <c r="J103" s="365" t="s">
        <v>2307</v>
      </c>
      <c r="K103" s="356" t="s">
        <v>2399</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1"/>
        <v>modesg_out_bens_imoveisorigem_flg_rsc_fsc_agd</v>
      </c>
      <c r="B104" s="141" t="s">
        <v>26</v>
      </c>
      <c r="C104" s="137" t="s">
        <v>310</v>
      </c>
      <c r="D104" s="133" t="s">
        <v>40</v>
      </c>
      <c r="E104" s="134" t="s">
        <v>311</v>
      </c>
      <c r="F104" s="471" t="s">
        <v>317</v>
      </c>
      <c r="G104" s="135" t="str">
        <f>VLOOKUP(A104,Plano_V3!$A$26:$G$768,7,0)</f>
        <v>1. Concluído</v>
      </c>
      <c r="H104" s="135" t="s">
        <v>612</v>
      </c>
      <c r="I104" s="468"/>
      <c r="J104" s="365" t="s">
        <v>2307</v>
      </c>
      <c r="K104" s="356" t="s">
        <v>2399</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1"/>
        <v>modesg_out_bens_imoveisorigem_flg_rsc_fsc_crnc</v>
      </c>
      <c r="B105" s="141" t="s">
        <v>26</v>
      </c>
      <c r="C105" s="137" t="s">
        <v>310</v>
      </c>
      <c r="D105" s="133" t="s">
        <v>40</v>
      </c>
      <c r="E105" s="134" t="s">
        <v>311</v>
      </c>
      <c r="F105" s="471" t="s">
        <v>318</v>
      </c>
      <c r="G105" s="135" t="str">
        <f>VLOOKUP(A105,Plano_V3!$A$26:$G$768,7,0)</f>
        <v>1. Concluído</v>
      </c>
      <c r="H105" s="135" t="s">
        <v>612</v>
      </c>
      <c r="I105" s="468"/>
      <c r="J105" s="365" t="s">
        <v>2307</v>
      </c>
      <c r="K105" s="356" t="s">
        <v>2399</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1"/>
        <v>modesg_out_empr_info_nfinorigem_scp1_emss</v>
      </c>
      <c r="B106" s="141" t="s">
        <v>26</v>
      </c>
      <c r="C106" s="137" t="s">
        <v>310</v>
      </c>
      <c r="D106" s="133" t="s">
        <v>40</v>
      </c>
      <c r="E106" s="134" t="s">
        <v>325</v>
      </c>
      <c r="F106" s="471" t="s">
        <v>319</v>
      </c>
      <c r="G106" s="135" t="str">
        <f>VLOOKUP(A106,Plano_V3!$A$26:$G$768,7,0)</f>
        <v>1. Concluído</v>
      </c>
      <c r="H106" s="135" t="s">
        <v>612</v>
      </c>
      <c r="I106" s="468"/>
      <c r="J106" s="153"/>
      <c r="K106" s="356" t="s">
        <v>2399</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1"/>
        <v>modesg_out_empr_info_nfinorigem_scp2_emss</v>
      </c>
      <c r="B107" s="141" t="s">
        <v>26</v>
      </c>
      <c r="C107" s="137" t="s">
        <v>310</v>
      </c>
      <c r="D107" s="133" t="s">
        <v>40</v>
      </c>
      <c r="E107" s="134" t="s">
        <v>325</v>
      </c>
      <c r="F107" s="471" t="s">
        <v>320</v>
      </c>
      <c r="G107" s="135" t="str">
        <f>VLOOKUP(A107,Plano_V3!$A$26:$G$768,7,0)</f>
        <v>1. Concluído</v>
      </c>
      <c r="H107" s="135" t="s">
        <v>612</v>
      </c>
      <c r="I107" s="468"/>
      <c r="J107" s="153"/>
      <c r="K107" s="356" t="s">
        <v>2399</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1"/>
        <v>modesg_out_empr_info_nfinorigem_scp3_emss</v>
      </c>
      <c r="B108" s="141" t="s">
        <v>26</v>
      </c>
      <c r="C108" s="137" t="s">
        <v>310</v>
      </c>
      <c r="D108" s="133" t="s">
        <v>40</v>
      </c>
      <c r="E108" s="134" t="s">
        <v>325</v>
      </c>
      <c r="F108" s="471" t="s">
        <v>321</v>
      </c>
      <c r="G108" s="135" t="str">
        <f>VLOOKUP(A108,Plano_V3!$A$26:$G$768,7,0)</f>
        <v>1. Concluído</v>
      </c>
      <c r="H108" s="135" t="s">
        <v>612</v>
      </c>
      <c r="I108" s="468"/>
      <c r="J108" s="153"/>
      <c r="K108" s="356" t="s">
        <v>2399</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1"/>
        <v>modesg_out_empr_info_nfinscp1_emss</v>
      </c>
      <c r="B109" s="141" t="s">
        <v>26</v>
      </c>
      <c r="C109" s="137" t="s">
        <v>310</v>
      </c>
      <c r="D109" s="133" t="s">
        <v>40</v>
      </c>
      <c r="E109" s="134" t="s">
        <v>325</v>
      </c>
      <c r="F109" s="471" t="s">
        <v>285</v>
      </c>
      <c r="G109" s="135" t="str">
        <f>VLOOKUP(A109,Plano_V3!$A$26:$G$768,7,0)</f>
        <v>1. Concluído</v>
      </c>
      <c r="H109" s="135" t="s">
        <v>612</v>
      </c>
      <c r="I109" s="468"/>
      <c r="J109" s="153"/>
      <c r="K109" s="356" t="s">
        <v>2399</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1"/>
        <v>modesg_out_empr_info_nfinscp2_emss</v>
      </c>
      <c r="B110" s="141" t="s">
        <v>26</v>
      </c>
      <c r="C110" s="137" t="s">
        <v>310</v>
      </c>
      <c r="D110" s="133" t="s">
        <v>40</v>
      </c>
      <c r="E110" s="134" t="s">
        <v>325</v>
      </c>
      <c r="F110" s="471" t="s">
        <v>286</v>
      </c>
      <c r="G110" s="135" t="str">
        <f>VLOOKUP(A110,Plano_V3!$A$26:$G$768,7,0)</f>
        <v>1. Concluído</v>
      </c>
      <c r="H110" s="135" t="s">
        <v>612</v>
      </c>
      <c r="I110" s="468"/>
      <c r="J110" s="153"/>
      <c r="K110" s="356" t="s">
        <v>2399</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1"/>
        <v>modesg_out_empr_info_nfinscp3_emss</v>
      </c>
      <c r="B111" s="141" t="s">
        <v>26</v>
      </c>
      <c r="C111" s="137" t="s">
        <v>310</v>
      </c>
      <c r="D111" s="133" t="s">
        <v>40</v>
      </c>
      <c r="E111" s="134" t="s">
        <v>325</v>
      </c>
      <c r="F111" s="471" t="s">
        <v>287</v>
      </c>
      <c r="G111" s="135" t="str">
        <f>VLOOKUP(A111,Plano_V3!$A$26:$G$768,7,0)</f>
        <v>1. Concluído</v>
      </c>
      <c r="H111" s="135" t="s">
        <v>612</v>
      </c>
      <c r="I111" s="468"/>
      <c r="J111" s="153"/>
      <c r="K111" s="356" t="s">
        <v>2399</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1"/>
        <v>modesg_out_empr_info_nfindivida_total</v>
      </c>
      <c r="B112" s="141" t="s">
        <v>26</v>
      </c>
      <c r="C112" s="137" t="s">
        <v>310</v>
      </c>
      <c r="D112" s="133" t="s">
        <v>40</v>
      </c>
      <c r="E112" s="134" t="s">
        <v>325</v>
      </c>
      <c r="F112" s="471" t="s">
        <v>295</v>
      </c>
      <c r="G112" s="135" t="str">
        <f>VLOOKUP(A112,Plano_V3!$A$26:$G$768,7,0)</f>
        <v>1. Concluído</v>
      </c>
      <c r="H112" s="135" t="s">
        <v>612</v>
      </c>
      <c r="I112" s="468"/>
      <c r="J112" s="153"/>
      <c r="K112" s="356" t="s">
        <v>2399</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1"/>
        <v>modesg_out_empr_info_nfincapital_proprio</v>
      </c>
      <c r="B113" s="141" t="s">
        <v>26</v>
      </c>
      <c r="C113" s="137" t="s">
        <v>310</v>
      </c>
      <c r="D113" s="133" t="s">
        <v>40</v>
      </c>
      <c r="E113" s="134" t="s">
        <v>325</v>
      </c>
      <c r="F113" s="471" t="s">
        <v>296</v>
      </c>
      <c r="G113" s="135" t="str">
        <f>VLOOKUP(A113,Plano_V3!$A$26:$G$768,7,0)</f>
        <v>1. Concluído</v>
      </c>
      <c r="H113" s="135" t="s">
        <v>612</v>
      </c>
      <c r="I113" s="468"/>
      <c r="J113" s="153"/>
      <c r="K113" s="356" t="s">
        <v>2399</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1"/>
        <v>lt004_protectionflg_act_physcl_rsk</v>
      </c>
      <c r="B114" s="141" t="s">
        <v>26</v>
      </c>
      <c r="C114" s="137" t="s">
        <v>26</v>
      </c>
      <c r="D114" s="133" t="s">
        <v>40</v>
      </c>
      <c r="E114" s="136" t="s">
        <v>368</v>
      </c>
      <c r="F114" s="475" t="s">
        <v>357</v>
      </c>
      <c r="G114" s="481" t="str">
        <f>VLOOKUP(A114,Plano_V3!$A$26:$G$768,7,0)</f>
        <v>1. Concluído</v>
      </c>
      <c r="H114" s="135" t="s">
        <v>612</v>
      </c>
      <c r="I114" s="468"/>
      <c r="J114" s="142"/>
      <c r="K114" s="356" t="s">
        <v>2399</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1"/>
        <v>lt004_protectionflg_chrnc_physcl_rsk</v>
      </c>
      <c r="B115" s="141" t="s">
        <v>26</v>
      </c>
      <c r="C115" s="137" t="s">
        <v>26</v>
      </c>
      <c r="D115" s="133" t="s">
        <v>40</v>
      </c>
      <c r="E115" s="136" t="s">
        <v>368</v>
      </c>
      <c r="F115" s="475" t="s">
        <v>358</v>
      </c>
      <c r="G115" s="481" t="str">
        <f>VLOOKUP(A115,Plano_V3!$A$26:$G$768,7,0)</f>
        <v>1. Concluído</v>
      </c>
      <c r="H115" s="135" t="s">
        <v>612</v>
      </c>
      <c r="I115" s="468"/>
      <c r="J115" s="142"/>
      <c r="K115" s="356" t="s">
        <v>2399</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1"/>
        <v>modesg_out_empr_info_nfincod_nace_esg</v>
      </c>
      <c r="B116" s="141" t="s">
        <v>26</v>
      </c>
      <c r="C116" s="137" t="s">
        <v>310</v>
      </c>
      <c r="D116" s="133" t="s">
        <v>40</v>
      </c>
      <c r="E116" s="134" t="s">
        <v>325</v>
      </c>
      <c r="F116" s="474" t="s">
        <v>281</v>
      </c>
      <c r="G116" s="207" t="str">
        <f>VLOOKUP(A116,Plano_V3!$A$26:$G$768,7,0)</f>
        <v>1. Concluído</v>
      </c>
      <c r="H116" s="135" t="s">
        <v>612</v>
      </c>
      <c r="I116" s="468"/>
      <c r="J116" s="365" t="s">
        <v>2243</v>
      </c>
      <c r="K116" s="356" t="s">
        <v>2399</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1"/>
        <v>modesg_out_empr_info_nfinflg_rsc_fsc_agd</v>
      </c>
      <c r="B117" s="141" t="s">
        <v>26</v>
      </c>
      <c r="C117" s="137" t="s">
        <v>310</v>
      </c>
      <c r="D117" s="133" t="s">
        <v>40</v>
      </c>
      <c r="E117" s="134" t="s">
        <v>325</v>
      </c>
      <c r="F117" s="471" t="s">
        <v>282</v>
      </c>
      <c r="G117" s="135" t="str">
        <f>VLOOKUP(A117,Plano_V3!$A$26:$G$768,7,0)</f>
        <v>1. Concluído</v>
      </c>
      <c r="H117" s="135" t="s">
        <v>612</v>
      </c>
      <c r="I117" s="468"/>
      <c r="J117" s="365" t="s">
        <v>2307</v>
      </c>
      <c r="K117" s="356" t="s">
        <v>2399</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2362</v>
      </c>
      <c r="Z117" s="321" t="s">
        <v>1857</v>
      </c>
    </row>
    <row r="118" spans="1:26" ht="16.399999999999999" hidden="1" customHeight="1">
      <c r="A118" s="29" t="str">
        <f t="shared" si="1"/>
        <v>modesg_out_empr_info_nfinflg_rsc_fsc_crnc</v>
      </c>
      <c r="B118" s="141" t="s">
        <v>26</v>
      </c>
      <c r="C118" s="137" t="s">
        <v>310</v>
      </c>
      <c r="D118" s="133" t="s">
        <v>40</v>
      </c>
      <c r="E118" s="134" t="s">
        <v>325</v>
      </c>
      <c r="F118" s="471" t="s">
        <v>283</v>
      </c>
      <c r="G118" s="135" t="str">
        <f>VLOOKUP(A118,Plano_V3!$A$26:$G$768,7,0)</f>
        <v>1. Concluído</v>
      </c>
      <c r="H118" s="135" t="s">
        <v>612</v>
      </c>
      <c r="I118" s="468"/>
      <c r="J118" s="365" t="s">
        <v>2307</v>
      </c>
      <c r="K118" s="356" t="s">
        <v>2399</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2362</v>
      </c>
      <c r="Z118" s="321" t="s">
        <v>1857</v>
      </c>
    </row>
    <row r="119" spans="1:26" ht="16.399999999999999" hidden="1" customHeight="1">
      <c r="A119" s="29" t="str">
        <f t="shared" si="1"/>
        <v>modesg_out_empr_info_nfinorigem_flg_rsc_fsc_agd</v>
      </c>
      <c r="B119" s="141" t="s">
        <v>26</v>
      </c>
      <c r="C119" s="137" t="s">
        <v>310</v>
      </c>
      <c r="D119" s="133" t="s">
        <v>40</v>
      </c>
      <c r="E119" s="134" t="s">
        <v>325</v>
      </c>
      <c r="F119" s="471" t="s">
        <v>317</v>
      </c>
      <c r="G119" s="135" t="str">
        <f>VLOOKUP(A119,Plano_V3!$A$26:$G$768,7,0)</f>
        <v>1. Concluído</v>
      </c>
      <c r="H119" s="135" t="s">
        <v>612</v>
      </c>
      <c r="I119" s="468"/>
      <c r="J119" s="365" t="s">
        <v>2307</v>
      </c>
      <c r="K119" s="356" t="s">
        <v>2399</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2362</v>
      </c>
      <c r="Z119" s="321" t="s">
        <v>1857</v>
      </c>
    </row>
    <row r="120" spans="1:26" ht="16.399999999999999" hidden="1" customHeight="1">
      <c r="A120" s="29" t="str">
        <f t="shared" si="1"/>
        <v>modesg_out_empr_info_nfinorigem_flg_rsc_fsc_crnc</v>
      </c>
      <c r="B120" s="141" t="s">
        <v>26</v>
      </c>
      <c r="C120" s="137" t="s">
        <v>310</v>
      </c>
      <c r="D120" s="133" t="s">
        <v>40</v>
      </c>
      <c r="E120" s="134" t="s">
        <v>325</v>
      </c>
      <c r="F120" s="471" t="s">
        <v>318</v>
      </c>
      <c r="G120" s="135" t="str">
        <f>VLOOKUP(A120,Plano_V3!$A$26:$G$768,7,0)</f>
        <v>1. Concluído</v>
      </c>
      <c r="H120" s="135" t="s">
        <v>612</v>
      </c>
      <c r="I120" s="468"/>
      <c r="J120" s="365" t="s">
        <v>2307</v>
      </c>
      <c r="K120" s="356" t="s">
        <v>2399</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2362</v>
      </c>
      <c r="Z120" s="321" t="s">
        <v>1857</v>
      </c>
    </row>
    <row r="121" spans="1:26" ht="16.399999999999999" hidden="1" customHeight="1">
      <c r="A121" s="29" t="str">
        <f t="shared" si="1"/>
        <v>PROPERTY_ENERGY_CERTIFICATEEP_SCORE</v>
      </c>
      <c r="B121" s="141" t="s">
        <v>26</v>
      </c>
      <c r="C121" s="137" t="s">
        <v>54</v>
      </c>
      <c r="D121" s="133" t="s">
        <v>40</v>
      </c>
      <c r="E121" s="134" t="s">
        <v>123</v>
      </c>
      <c r="F121" s="471" t="s">
        <v>135</v>
      </c>
      <c r="G121" s="135" t="str">
        <f>VLOOKUP(A121,Plano_V3!$A$26:$G$768,7,0)</f>
        <v>4. Validação EF</v>
      </c>
      <c r="H121" s="135" t="s">
        <v>614</v>
      </c>
      <c r="I121" s="468"/>
      <c r="J121" s="356" t="s">
        <v>2423</v>
      </c>
      <c r="K121" s="356" t="s">
        <v>2452</v>
      </c>
      <c r="L121" s="153" t="s">
        <v>2462</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1"/>
        <v>PROPERTY_ENERGY_CERTIFICATEENERGY_CONSUMPTION_VALUE_YEAR</v>
      </c>
      <c r="B122" s="141" t="s">
        <v>26</v>
      </c>
      <c r="C122" s="137" t="s">
        <v>54</v>
      </c>
      <c r="D122" s="133" t="s">
        <v>40</v>
      </c>
      <c r="E122" s="134" t="s">
        <v>123</v>
      </c>
      <c r="F122" s="471" t="s">
        <v>51</v>
      </c>
      <c r="G122" s="135" t="str">
        <f>VLOOKUP(A122,Plano_V3!$A$26:$G$768,7,0)</f>
        <v>1. Concluído</v>
      </c>
      <c r="H122" s="135" t="s">
        <v>612</v>
      </c>
      <c r="I122" s="468"/>
      <c r="J122" s="356" t="s">
        <v>2423</v>
      </c>
      <c r="K122" s="356" t="s">
        <v>2452</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1"/>
        <v>modesg_param_sfics_taxon_europeiacod_regra</v>
      </c>
      <c r="B123" s="141" t="s">
        <v>26</v>
      </c>
      <c r="C123" s="137" t="s">
        <v>181</v>
      </c>
      <c r="D123" s="133" t="s">
        <v>40</v>
      </c>
      <c r="E123" s="134" t="s">
        <v>2097</v>
      </c>
      <c r="F123" s="471" t="s">
        <v>191</v>
      </c>
      <c r="G123" s="135" t="str">
        <f>VLOOKUP(A123,Plano_V3!$A$26:$G$768,7,0)</f>
        <v>1. Concluído</v>
      </c>
      <c r="H123" s="135" t="s">
        <v>612</v>
      </c>
      <c r="I123" s="468"/>
      <c r="J123" s="153"/>
      <c r="K123" s="356" t="s">
        <v>2452</v>
      </c>
      <c r="L123" s="365" t="s">
        <v>2462</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1"/>
        <v>modesg_param_sfics_taxon_europeianivel</v>
      </c>
      <c r="B124" s="141" t="s">
        <v>26</v>
      </c>
      <c r="C124" s="137" t="s">
        <v>181</v>
      </c>
      <c r="D124" s="133" t="s">
        <v>40</v>
      </c>
      <c r="E124" s="134" t="s">
        <v>2097</v>
      </c>
      <c r="F124" s="471" t="s">
        <v>2408</v>
      </c>
      <c r="G124" s="135" t="str">
        <f>VLOOKUP(A124,Plano_V3!$A$26:$G$768,7,0)</f>
        <v>0. Cancelado</v>
      </c>
      <c r="H124" s="135" t="s">
        <v>611</v>
      </c>
      <c r="I124" s="468"/>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1"/>
        <v>modesg_param_sfics_taxon_europeiagrupo_regra</v>
      </c>
      <c r="B125" s="141" t="s">
        <v>26</v>
      </c>
      <c r="C125" s="137" t="s">
        <v>181</v>
      </c>
      <c r="D125" s="133" t="s">
        <v>40</v>
      </c>
      <c r="E125" s="134" t="s">
        <v>2097</v>
      </c>
      <c r="F125" s="471" t="s">
        <v>2416</v>
      </c>
      <c r="G125" s="135" t="str">
        <f>VLOOKUP(A125,Plano_V3!$A$26:$G$768,7,0)</f>
        <v>0. Cancelado</v>
      </c>
      <c r="H125" s="135" t="s">
        <v>611</v>
      </c>
      <c r="I125" s="468"/>
      <c r="J125" s="153"/>
      <c r="K125" s="356" t="s">
        <v>2452</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2425</v>
      </c>
      <c r="Z125" s="321"/>
    </row>
    <row r="126" spans="1:26" ht="16.399999999999999" hidden="1" customHeight="1">
      <c r="A126" s="29" t="str">
        <f t="shared" si="1"/>
        <v>modesg_param_sfics_taxon_europeiadscrc</v>
      </c>
      <c r="B126" s="141" t="s">
        <v>26</v>
      </c>
      <c r="C126" s="137" t="s">
        <v>181</v>
      </c>
      <c r="D126" s="133" t="s">
        <v>40</v>
      </c>
      <c r="E126" s="134" t="s">
        <v>2097</v>
      </c>
      <c r="F126" s="471" t="s">
        <v>197</v>
      </c>
      <c r="G126" s="135" t="str">
        <f>VLOOKUP(A126,Plano_V3!$A$26:$G$768,7,0)</f>
        <v>1. Concluído</v>
      </c>
      <c r="H126" s="135" t="s">
        <v>612</v>
      </c>
      <c r="I126" s="468"/>
      <c r="J126" s="153"/>
      <c r="K126" s="356" t="s">
        <v>2452</v>
      </c>
      <c r="L126" s="365" t="s">
        <v>2462</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1"/>
        <v>modesg_param_sfics_taxon_europeiacomite</v>
      </c>
      <c r="B127" s="141" t="s">
        <v>26</v>
      </c>
      <c r="C127" s="137" t="s">
        <v>181</v>
      </c>
      <c r="D127" s="133" t="s">
        <v>40</v>
      </c>
      <c r="E127" s="134" t="s">
        <v>2097</v>
      </c>
      <c r="F127" s="471" t="s">
        <v>192</v>
      </c>
      <c r="G127" s="135" t="str">
        <f>VLOOKUP(A127,Plano_V3!$A$26:$G$768,7,0)</f>
        <v>1. Concluído</v>
      </c>
      <c r="H127" s="135" t="s">
        <v>612</v>
      </c>
      <c r="I127" s="468"/>
      <c r="J127" s="153"/>
      <c r="K127" s="356" t="s">
        <v>2452</v>
      </c>
      <c r="L127" s="365" t="s">
        <v>2462</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1"/>
        <v>modesg_param_sfics_taxon_europeiadata_aprvc</v>
      </c>
      <c r="B128" s="141" t="s">
        <v>26</v>
      </c>
      <c r="C128" s="137" t="s">
        <v>181</v>
      </c>
      <c r="D128" s="133" t="s">
        <v>40</v>
      </c>
      <c r="E128" s="134" t="s">
        <v>2097</v>
      </c>
      <c r="F128" s="471" t="s">
        <v>193</v>
      </c>
      <c r="G128" s="135" t="str">
        <f>VLOOKUP(A128,Plano_V3!$A$26:$G$768,7,0)</f>
        <v>1. Concluído</v>
      </c>
      <c r="H128" s="135" t="s">
        <v>612</v>
      </c>
      <c r="I128" s="468"/>
      <c r="J128" s="153"/>
      <c r="K128" s="356" t="s">
        <v>2452</v>
      </c>
      <c r="L128" s="365" t="s">
        <v>2462</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1"/>
        <v>modesg_param_sfics_taxon_europeiadata_inicial</v>
      </c>
      <c r="B129" s="141" t="s">
        <v>26</v>
      </c>
      <c r="C129" s="137" t="s">
        <v>181</v>
      </c>
      <c r="D129" s="133" t="s">
        <v>40</v>
      </c>
      <c r="E129" s="134" t="s">
        <v>2097</v>
      </c>
      <c r="F129" s="471" t="s">
        <v>195</v>
      </c>
      <c r="G129" s="135" t="str">
        <f>VLOOKUP(A129,Plano_V3!$A$26:$G$768,7,0)</f>
        <v>1. Concluído</v>
      </c>
      <c r="H129" s="135" t="s">
        <v>612</v>
      </c>
      <c r="I129" s="468"/>
      <c r="J129" s="153"/>
      <c r="K129" s="356" t="s">
        <v>2452</v>
      </c>
      <c r="L129" s="365" t="s">
        <v>2462</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1"/>
        <v>modesg_param_sfics_taxon_europeiadata_final</v>
      </c>
      <c r="B130" s="141" t="s">
        <v>26</v>
      </c>
      <c r="C130" s="137" t="s">
        <v>181</v>
      </c>
      <c r="D130" s="133" t="s">
        <v>40</v>
      </c>
      <c r="E130" s="134" t="s">
        <v>2097</v>
      </c>
      <c r="F130" s="471" t="s">
        <v>194</v>
      </c>
      <c r="G130" s="135" t="str">
        <f>VLOOKUP(A130,Plano_V3!$A$26:$G$768,7,0)</f>
        <v>1. Concluído</v>
      </c>
      <c r="H130" s="135" t="s">
        <v>612</v>
      </c>
      <c r="I130" s="468"/>
      <c r="J130" s="153"/>
      <c r="K130" s="356" t="s">
        <v>2452</v>
      </c>
      <c r="L130" s="365" t="s">
        <v>2462</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1"/>
        <v>modesg_param_sfics_taxon_europeiazcliente</v>
      </c>
      <c r="B131" s="141" t="s">
        <v>26</v>
      </c>
      <c r="C131" s="137" t="s">
        <v>181</v>
      </c>
      <c r="D131" s="133" t="s">
        <v>40</v>
      </c>
      <c r="E131" s="134" t="s">
        <v>2097</v>
      </c>
      <c r="F131" s="471" t="s">
        <v>209</v>
      </c>
      <c r="G131" s="135" t="str">
        <f>VLOOKUP(A131,Plano_V3!$A$26:$G$768,7,0)</f>
        <v>1. Concluído</v>
      </c>
      <c r="H131" s="135" t="s">
        <v>612</v>
      </c>
      <c r="I131" s="468"/>
      <c r="J131" s="153"/>
      <c r="K131" s="356" t="s">
        <v>2452</v>
      </c>
      <c r="L131" s="365" t="s">
        <v>2462</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1"/>
        <v>modesg_param_sfics_taxon_europeiacempcta</v>
      </c>
      <c r="B132" s="141" t="s">
        <v>26</v>
      </c>
      <c r="C132" s="137" t="s">
        <v>181</v>
      </c>
      <c r="D132" s="133" t="s">
        <v>40</v>
      </c>
      <c r="E132" s="134" t="s">
        <v>2097</v>
      </c>
      <c r="F132" s="471" t="s">
        <v>2403</v>
      </c>
      <c r="G132" s="135" t="str">
        <f>VLOOKUP(A132,Plano_V3!$A$26:$G$768,7,0)</f>
        <v>1. Concluído</v>
      </c>
      <c r="H132" s="135" t="s">
        <v>612</v>
      </c>
      <c r="I132" s="468"/>
      <c r="J132" s="153"/>
      <c r="K132" s="356" t="s">
        <v>2452</v>
      </c>
      <c r="L132" s="365" t="s">
        <v>2462</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1"/>
        <v>modesg_param_sfics_taxon_europeiackbalcao</v>
      </c>
      <c r="B133" s="141" t="s">
        <v>26</v>
      </c>
      <c r="C133" s="137" t="s">
        <v>181</v>
      </c>
      <c r="D133" s="133" t="s">
        <v>40</v>
      </c>
      <c r="E133" s="134" t="s">
        <v>2097</v>
      </c>
      <c r="F133" s="471" t="s">
        <v>457</v>
      </c>
      <c r="G133" s="135" t="str">
        <f>VLOOKUP(A133,Plano_V3!$A$26:$G$768,7,0)</f>
        <v>1. Concluído</v>
      </c>
      <c r="H133" s="135" t="s">
        <v>612</v>
      </c>
      <c r="I133" s="468"/>
      <c r="J133" s="153"/>
      <c r="K133" s="356" t="s">
        <v>2452</v>
      </c>
      <c r="L133" s="365" t="s">
        <v>2462</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1"/>
        <v>modesg_param_sfics_taxon_europeiacknumcta</v>
      </c>
      <c r="B134" s="141" t="s">
        <v>26</v>
      </c>
      <c r="C134" s="137" t="s">
        <v>181</v>
      </c>
      <c r="D134" s="133" t="s">
        <v>40</v>
      </c>
      <c r="E134" s="134" t="s">
        <v>2097</v>
      </c>
      <c r="F134" s="471" t="s">
        <v>458</v>
      </c>
      <c r="G134" s="135" t="str">
        <f>VLOOKUP(A134,Plano_V3!$A$26:$G$768,7,0)</f>
        <v>1. Concluído</v>
      </c>
      <c r="H134" s="135" t="s">
        <v>612</v>
      </c>
      <c r="I134" s="468"/>
      <c r="J134" s="153"/>
      <c r="K134" s="356" t="s">
        <v>2452</v>
      </c>
      <c r="L134" s="365" t="s">
        <v>2462</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1"/>
        <v>modesg_param_sfics_taxon_europeiazdeposit</v>
      </c>
      <c r="B135" s="141" t="s">
        <v>26</v>
      </c>
      <c r="C135" s="137" t="s">
        <v>181</v>
      </c>
      <c r="D135" s="133" t="s">
        <v>40</v>
      </c>
      <c r="E135" s="134" t="s">
        <v>2097</v>
      </c>
      <c r="F135" s="471" t="s">
        <v>210</v>
      </c>
      <c r="G135" s="135" t="str">
        <f>VLOOKUP(A135,Plano_V3!$A$26:$G$768,7,0)</f>
        <v>1. Concluído</v>
      </c>
      <c r="H135" s="135" t="s">
        <v>612</v>
      </c>
      <c r="I135" s="468"/>
      <c r="J135" s="153"/>
      <c r="K135" s="356" t="s">
        <v>2452</v>
      </c>
      <c r="L135" s="365" t="s">
        <v>2462</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1"/>
        <v>modesg_param_sfics_taxon_europeiackmetamis</v>
      </c>
      <c r="B136" s="141" t="s">
        <v>26</v>
      </c>
      <c r="C136" s="137" t="s">
        <v>181</v>
      </c>
      <c r="D136" s="133" t="s">
        <v>40</v>
      </c>
      <c r="E136" s="134" t="s">
        <v>2097</v>
      </c>
      <c r="F136" s="471" t="s">
        <v>185</v>
      </c>
      <c r="G136" s="135" t="str">
        <f>VLOOKUP(A136,Plano_V3!$A$26:$G$768,7,0)</f>
        <v>1. Concluído</v>
      </c>
      <c r="H136" s="135" t="s">
        <v>612</v>
      </c>
      <c r="I136" s="468"/>
      <c r="J136" s="153"/>
      <c r="K136" s="356" t="s">
        <v>2452</v>
      </c>
      <c r="L136" s="365" t="s">
        <v>2462</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2">E137&amp;F137</f>
        <v>modesg_param_sfics_taxon_europeiackprodmi</v>
      </c>
      <c r="B137" s="141" t="s">
        <v>26</v>
      </c>
      <c r="C137" s="137" t="s">
        <v>181</v>
      </c>
      <c r="D137" s="133" t="s">
        <v>40</v>
      </c>
      <c r="E137" s="134" t="s">
        <v>2097</v>
      </c>
      <c r="F137" s="471" t="s">
        <v>186</v>
      </c>
      <c r="G137" s="135" t="str">
        <f>VLOOKUP(A137,Plano_V3!$A$26:$G$768,7,0)</f>
        <v>1. Concluído</v>
      </c>
      <c r="H137" s="135" t="s">
        <v>612</v>
      </c>
      <c r="I137" s="468"/>
      <c r="J137" s="153"/>
      <c r="K137" s="356" t="s">
        <v>2452</v>
      </c>
      <c r="L137" s="365" t="s">
        <v>2462</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2"/>
        <v>modesg_param_sfics_taxon_europeiacmetanseg</v>
      </c>
      <c r="B138" s="141" t="s">
        <v>26</v>
      </c>
      <c r="C138" s="137" t="s">
        <v>181</v>
      </c>
      <c r="D138" s="133" t="s">
        <v>40</v>
      </c>
      <c r="E138" s="134" t="s">
        <v>2097</v>
      </c>
      <c r="F138" s="471" t="s">
        <v>187</v>
      </c>
      <c r="G138" s="135" t="str">
        <f>VLOOKUP(A138,Plano_V3!$A$26:$G$768,7,0)</f>
        <v>1. Concluído</v>
      </c>
      <c r="H138" s="135" t="s">
        <v>612</v>
      </c>
      <c r="I138" s="468"/>
      <c r="J138" s="153"/>
      <c r="K138" s="356" t="s">
        <v>2452</v>
      </c>
      <c r="L138" s="365" t="s">
        <v>2462</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2"/>
        <v>modesg_param_sfics_taxon_europeiaepc</v>
      </c>
      <c r="B139" s="141" t="s">
        <v>26</v>
      </c>
      <c r="C139" s="137" t="s">
        <v>181</v>
      </c>
      <c r="D139" s="133" t="s">
        <v>40</v>
      </c>
      <c r="E139" s="134" t="s">
        <v>2097</v>
      </c>
      <c r="F139" s="473" t="s">
        <v>198</v>
      </c>
      <c r="G139" s="135" t="str">
        <f>VLOOKUP(A139,Plano_V3!$A$26:$G$768,7,0)</f>
        <v>1. Concluído</v>
      </c>
      <c r="H139" s="135" t="s">
        <v>612</v>
      </c>
      <c r="I139" s="468"/>
      <c r="J139" s="484"/>
      <c r="K139" s="356" t="s">
        <v>2452</v>
      </c>
      <c r="L139" s="365" t="s">
        <v>2462</v>
      </c>
      <c r="M139" s="365">
        <v>45737</v>
      </c>
      <c r="N139" s="356"/>
      <c r="O139" s="484"/>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2"/>
        <v>modesg_param_sfics_taxon_europeiaambito</v>
      </c>
      <c r="B140" s="141" t="s">
        <v>26</v>
      </c>
      <c r="C140" s="137" t="s">
        <v>181</v>
      </c>
      <c r="D140" s="133" t="s">
        <v>40</v>
      </c>
      <c r="E140" s="134" t="s">
        <v>2097</v>
      </c>
      <c r="F140" s="471" t="s">
        <v>390</v>
      </c>
      <c r="G140" s="135" t="str">
        <f>VLOOKUP(A140,Plano_V3!$A$26:$G$768,7,0)</f>
        <v>1. Concluído</v>
      </c>
      <c r="H140" s="135" t="s">
        <v>612</v>
      </c>
      <c r="I140" s="468"/>
      <c r="J140" s="153"/>
      <c r="K140" s="356" t="s">
        <v>2452</v>
      </c>
      <c r="L140" s="365" t="s">
        <v>2462</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2"/>
        <v>modesg_param_sfics_taxon_europeianome_ctgr_sfics</v>
      </c>
      <c r="B141" s="141" t="s">
        <v>26</v>
      </c>
      <c r="C141" s="137" t="s">
        <v>181</v>
      </c>
      <c r="D141" s="133" t="s">
        <v>40</v>
      </c>
      <c r="E141" s="134" t="s">
        <v>2097</v>
      </c>
      <c r="F141" s="471" t="s">
        <v>2048</v>
      </c>
      <c r="G141" s="135" t="str">
        <f>VLOOKUP(A141,Plano_V3!$A$26:$G$768,7,0)</f>
        <v>1. Concluído</v>
      </c>
      <c r="H141" s="135" t="s">
        <v>612</v>
      </c>
      <c r="I141" s="468"/>
      <c r="J141" s="153"/>
      <c r="K141" s="356" t="s">
        <v>2452</v>
      </c>
      <c r="L141" s="365" t="s">
        <v>2462</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2"/>
        <v>modesg_param_sfics_taxon_europeiamontante_pndrc</v>
      </c>
      <c r="B142" s="141" t="s">
        <v>26</v>
      </c>
      <c r="C142" s="137" t="s">
        <v>181</v>
      </c>
      <c r="D142" s="133" t="s">
        <v>40</v>
      </c>
      <c r="E142" s="134" t="s">
        <v>2097</v>
      </c>
      <c r="F142" s="471" t="s">
        <v>202</v>
      </c>
      <c r="G142" s="135" t="str">
        <f>VLOOKUP(A142,Plano_V3!$A$26:$G$768,7,0)</f>
        <v>1. Concluído</v>
      </c>
      <c r="H142" s="135" t="s">
        <v>612</v>
      </c>
      <c r="I142" s="468"/>
      <c r="J142" s="153"/>
      <c r="K142" s="356" t="s">
        <v>2452</v>
      </c>
      <c r="L142" s="365" t="s">
        <v>2462</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2"/>
        <v>modesg_param_sfics_taxon_europeiacontraparte</v>
      </c>
      <c r="B143" s="141" t="s">
        <v>26</v>
      </c>
      <c r="C143" s="137" t="s">
        <v>181</v>
      </c>
      <c r="D143" s="133" t="s">
        <v>40</v>
      </c>
      <c r="E143" s="134" t="s">
        <v>2097</v>
      </c>
      <c r="F143" s="471" t="s">
        <v>394</v>
      </c>
      <c r="G143" s="135" t="str">
        <f>VLOOKUP(A143,Plano_V3!$A$26:$G$768,7,0)</f>
        <v>1. Concluído</v>
      </c>
      <c r="H143" s="135" t="s">
        <v>612</v>
      </c>
      <c r="I143" s="468"/>
      <c r="J143" s="153"/>
      <c r="K143" s="356" t="s">
        <v>2452</v>
      </c>
      <c r="L143" s="365" t="s">
        <v>2462</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2"/>
        <v>modesg_param_sfics_taxon_europeiaflag_project_finance</v>
      </c>
      <c r="B144" s="141" t="s">
        <v>26</v>
      </c>
      <c r="C144" s="137" t="s">
        <v>181</v>
      </c>
      <c r="D144" s="133" t="s">
        <v>40</v>
      </c>
      <c r="E144" s="134" t="s">
        <v>2097</v>
      </c>
      <c r="F144" s="471" t="s">
        <v>199</v>
      </c>
      <c r="G144" s="135" t="str">
        <f>VLOOKUP(A144,Plano_V3!$A$26:$G$768,7,0)</f>
        <v>1. Concluído</v>
      </c>
      <c r="H144" s="135" t="s">
        <v>612</v>
      </c>
      <c r="I144" s="468"/>
      <c r="J144" s="142"/>
      <c r="K144" s="356" t="s">
        <v>2452</v>
      </c>
      <c r="L144" s="365" t="s">
        <v>2462</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2"/>
        <v>modesg_param_sfics_taxon_europeiacgarante_bem</v>
      </c>
      <c r="B145" s="141" t="s">
        <v>26</v>
      </c>
      <c r="C145" s="137" t="s">
        <v>181</v>
      </c>
      <c r="D145" s="133" t="s">
        <v>40</v>
      </c>
      <c r="E145" s="134" t="s">
        <v>2097</v>
      </c>
      <c r="F145" s="471" t="s">
        <v>2410</v>
      </c>
      <c r="G145" s="135" t="str">
        <f>VLOOKUP(A145,Plano_V3!$A$26:$G$768,7,0)</f>
        <v>1. Concluído</v>
      </c>
      <c r="H145" s="135" t="s">
        <v>612</v>
      </c>
      <c r="I145" s="468"/>
      <c r="J145" s="142"/>
      <c r="K145" s="356" t="s">
        <v>2452</v>
      </c>
      <c r="L145" s="365" t="s">
        <v>2462</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2"/>
        <v>modesg_param_sfics_taxon_europeiaprdt_sprdt</v>
      </c>
      <c r="B146" s="141" t="s">
        <v>26</v>
      </c>
      <c r="C146" s="137" t="s">
        <v>181</v>
      </c>
      <c r="D146" s="133" t="s">
        <v>40</v>
      </c>
      <c r="E146" s="134" t="s">
        <v>2097</v>
      </c>
      <c r="F146" s="471" t="s">
        <v>2049</v>
      </c>
      <c r="G146" s="135" t="str">
        <f>VLOOKUP(A146,Plano_V3!$A$26:$G$768,7,0)</f>
        <v>1. Concluído</v>
      </c>
      <c r="H146" s="135" t="s">
        <v>612</v>
      </c>
      <c r="I146" s="468"/>
      <c r="J146" s="142"/>
      <c r="K146" s="356" t="s">
        <v>2452</v>
      </c>
      <c r="L146" s="365" t="s">
        <v>2462</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2"/>
        <v>modesg_param_sfics_taxon_europeiaflg_csrd</v>
      </c>
      <c r="B147" s="141" t="s">
        <v>26</v>
      </c>
      <c r="C147" s="137" t="s">
        <v>181</v>
      </c>
      <c r="D147" s="133" t="s">
        <v>40</v>
      </c>
      <c r="E147" s="134" t="s">
        <v>2097</v>
      </c>
      <c r="F147" s="471" t="s">
        <v>2050</v>
      </c>
      <c r="G147" s="135" t="str">
        <f>VLOOKUP(A147,Plano_V3!$A$26:$G$768,7,0)</f>
        <v>1. Concluído</v>
      </c>
      <c r="H147" s="135" t="s">
        <v>612</v>
      </c>
      <c r="I147" s="468"/>
      <c r="J147" s="142"/>
      <c r="K147" s="356" t="s">
        <v>2452</v>
      </c>
      <c r="L147" s="365" t="s">
        <v>2462</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2"/>
        <v>modesg_param_sfics_taxon_europeiacombustivel</v>
      </c>
      <c r="B148" s="141" t="s">
        <v>26</v>
      </c>
      <c r="C148" s="137" t="s">
        <v>181</v>
      </c>
      <c r="D148" s="133" t="s">
        <v>40</v>
      </c>
      <c r="E148" s="134" t="s">
        <v>2097</v>
      </c>
      <c r="F148" s="471" t="s">
        <v>2051</v>
      </c>
      <c r="G148" s="135" t="str">
        <f>VLOOKUP(A148,Plano_V3!$A$26:$G$768,7,0)</f>
        <v>1. Concluído</v>
      </c>
      <c r="H148" s="135" t="s">
        <v>612</v>
      </c>
      <c r="I148" s="468"/>
      <c r="J148" s="142"/>
      <c r="K148" s="356" t="s">
        <v>2452</v>
      </c>
      <c r="L148" s="365" t="s">
        <v>2462</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2"/>
        <v>modesg_param_sfics_taxon_europeiaco2</v>
      </c>
      <c r="B149" s="141" t="s">
        <v>26</v>
      </c>
      <c r="C149" s="137" t="s">
        <v>181</v>
      </c>
      <c r="D149" s="133" t="s">
        <v>40</v>
      </c>
      <c r="E149" s="134" t="s">
        <v>2097</v>
      </c>
      <c r="F149" s="471" t="s">
        <v>2052</v>
      </c>
      <c r="G149" s="135" t="str">
        <f>VLOOKUP(A149,Plano_V3!$A$26:$G$768,7,0)</f>
        <v>1. Concluído</v>
      </c>
      <c r="H149" s="135" t="s">
        <v>612</v>
      </c>
      <c r="I149" s="468"/>
      <c r="J149" s="153"/>
      <c r="K149" s="356" t="s">
        <v>2452</v>
      </c>
      <c r="L149" s="365" t="s">
        <v>2462</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2"/>
        <v>modesg_param_sfics_taxon_europeiacfamilia</v>
      </c>
      <c r="B150" s="141" t="s">
        <v>26</v>
      </c>
      <c r="C150" s="137" t="s">
        <v>181</v>
      </c>
      <c r="D150" s="133" t="s">
        <v>40</v>
      </c>
      <c r="E150" s="134" t="s">
        <v>2097</v>
      </c>
      <c r="F150" s="471" t="s">
        <v>2053</v>
      </c>
      <c r="G150" s="135" t="str">
        <f>VLOOKUP(A150,Plano_V3!$A$26:$G$768,7,0)</f>
        <v>1. Concluído</v>
      </c>
      <c r="H150" s="135" t="s">
        <v>612</v>
      </c>
      <c r="I150" s="468"/>
      <c r="J150" s="153"/>
      <c r="K150" s="356" t="s">
        <v>2452</v>
      </c>
      <c r="L150" s="365" t="s">
        <v>2462</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2"/>
        <v>modesg_param_sfics_taxon_europeiaflg_rsc_fsc_crnc</v>
      </c>
      <c r="B151" s="141" t="s">
        <v>26</v>
      </c>
      <c r="C151" s="137" t="s">
        <v>181</v>
      </c>
      <c r="D151" s="133" t="s">
        <v>40</v>
      </c>
      <c r="E151" s="134" t="s">
        <v>2097</v>
      </c>
      <c r="F151" s="471" t="s">
        <v>283</v>
      </c>
      <c r="G151" s="135" t="str">
        <f>VLOOKUP(A151,Plano_V3!$A$26:$G$768,7,0)</f>
        <v>1. Concluído</v>
      </c>
      <c r="H151" s="135" t="s">
        <v>612</v>
      </c>
      <c r="I151" s="468"/>
      <c r="J151" s="153"/>
      <c r="K151" s="356" t="s">
        <v>2452</v>
      </c>
      <c r="L151" s="365" t="s">
        <v>2462</v>
      </c>
      <c r="M151" s="365">
        <v>45737</v>
      </c>
      <c r="N151" s="356"/>
      <c r="O151" s="483"/>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2"/>
        <v>modesg_param_sfics_taxon_europeiaflg_rsc_fsc_agd</v>
      </c>
      <c r="B152" s="141" t="s">
        <v>26</v>
      </c>
      <c r="C152" s="137" t="s">
        <v>181</v>
      </c>
      <c r="D152" s="133" t="s">
        <v>40</v>
      </c>
      <c r="E152" s="134" t="s">
        <v>2097</v>
      </c>
      <c r="F152" s="471" t="s">
        <v>282</v>
      </c>
      <c r="G152" s="135" t="str">
        <f>VLOOKUP(A152,Plano_V3!$A$26:$G$768,7,0)</f>
        <v>1. Concluído</v>
      </c>
      <c r="H152" s="135" t="s">
        <v>612</v>
      </c>
      <c r="I152" s="468"/>
      <c r="J152" s="482"/>
      <c r="K152" s="356" t="s">
        <v>2452</v>
      </c>
      <c r="L152" s="365" t="s">
        <v>2462</v>
      </c>
      <c r="M152" s="365">
        <v>45737</v>
      </c>
      <c r="N152" s="356"/>
      <c r="O152" s="482"/>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2"/>
        <v>modesg_param_sfics_taxon_europeiaproperty_purpose_code</v>
      </c>
      <c r="B153" s="141" t="s">
        <v>26</v>
      </c>
      <c r="C153" s="137" t="s">
        <v>181</v>
      </c>
      <c r="D153" s="133" t="s">
        <v>40</v>
      </c>
      <c r="E153" s="134" t="s">
        <v>2097</v>
      </c>
      <c r="F153" s="471" t="s">
        <v>2054</v>
      </c>
      <c r="G153" s="135" t="str">
        <f>VLOOKUP(A153,Plano_V3!$A$26:$G$768,7,0)</f>
        <v>1. Concluído</v>
      </c>
      <c r="H153" s="135" t="s">
        <v>612</v>
      </c>
      <c r="I153" s="468"/>
      <c r="J153" s="482"/>
      <c r="K153" s="356" t="s">
        <v>2452</v>
      </c>
      <c r="L153" s="365" t="s">
        <v>2462</v>
      </c>
      <c r="M153" s="365">
        <v>45737</v>
      </c>
      <c r="N153" s="356"/>
      <c r="O153" s="482"/>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2"/>
        <v>modesg_param_sfics_taxon_europeiadabertur</v>
      </c>
      <c r="B154" s="141" t="s">
        <v>26</v>
      </c>
      <c r="C154" s="137" t="s">
        <v>181</v>
      </c>
      <c r="D154" s="133" t="s">
        <v>40</v>
      </c>
      <c r="E154" s="134" t="s">
        <v>2097</v>
      </c>
      <c r="F154" s="471" t="s">
        <v>2055</v>
      </c>
      <c r="G154" s="135" t="str">
        <f>VLOOKUP(A154,Plano_V3!$A$26:$G$768,7,0)</f>
        <v>1. Concluído</v>
      </c>
      <c r="H154" s="135" t="s">
        <v>612</v>
      </c>
      <c r="I154" s="468"/>
      <c r="J154" s="482"/>
      <c r="K154" s="356" t="s">
        <v>2452</v>
      </c>
      <c r="L154" s="365" t="s">
        <v>2462</v>
      </c>
      <c r="M154" s="365">
        <v>45737</v>
      </c>
      <c r="N154" s="356"/>
      <c r="O154" s="482"/>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2378</v>
      </c>
      <c r="Z154" s="321" t="s">
        <v>2309</v>
      </c>
    </row>
    <row r="155" spans="1:26" ht="16.399999999999999" hidden="1" customHeight="1">
      <c r="A155" s="29" t="str">
        <f t="shared" si="2"/>
        <v>modesg_param_sfics_taxon_europeiatipo_eqp</v>
      </c>
      <c r="B155" s="141" t="s">
        <v>26</v>
      </c>
      <c r="C155" s="137" t="s">
        <v>181</v>
      </c>
      <c r="D155" s="133" t="s">
        <v>40</v>
      </c>
      <c r="E155" s="134" t="s">
        <v>2097</v>
      </c>
      <c r="F155" s="471" t="s">
        <v>2056</v>
      </c>
      <c r="G155" s="135" t="str">
        <f>VLOOKUP(A155,Plano_V3!$A$26:$G$768,7,0)</f>
        <v>1. Concluído</v>
      </c>
      <c r="H155" s="135" t="s">
        <v>612</v>
      </c>
      <c r="I155" s="468"/>
      <c r="J155" s="142"/>
      <c r="K155" s="356" t="s">
        <v>2452</v>
      </c>
      <c r="L155" s="365" t="s">
        <v>2462</v>
      </c>
      <c r="M155" s="365">
        <v>45737</v>
      </c>
      <c r="N155" s="356"/>
      <c r="O155" s="482"/>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2378</v>
      </c>
      <c r="Z155" s="321" t="s">
        <v>2309</v>
      </c>
    </row>
    <row r="156" spans="1:26" ht="16.399999999999999" hidden="1" customHeight="1">
      <c r="A156" s="29" t="str">
        <f t="shared" si="2"/>
        <v>modesg_param_sfics_taxon_europeiaconstruction_year</v>
      </c>
      <c r="B156" s="141" t="s">
        <v>26</v>
      </c>
      <c r="C156" s="137" t="s">
        <v>181</v>
      </c>
      <c r="D156" s="133" t="s">
        <v>40</v>
      </c>
      <c r="E156" s="134" t="s">
        <v>2097</v>
      </c>
      <c r="F156" s="471" t="s">
        <v>2057</v>
      </c>
      <c r="G156" s="135" t="str">
        <f>VLOOKUP(A156,Plano_V3!$A$26:$G$768,7,0)</f>
        <v>1. Concluído</v>
      </c>
      <c r="H156" s="135" t="s">
        <v>612</v>
      </c>
      <c r="I156" s="468"/>
      <c r="J156" s="142"/>
      <c r="K156" s="356" t="s">
        <v>2452</v>
      </c>
      <c r="L156" s="365" t="s">
        <v>2462</v>
      </c>
      <c r="M156" s="365">
        <v>45737</v>
      </c>
      <c r="N156" s="356"/>
      <c r="O156" s="482"/>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2"/>
        <v>modesg_param_sfics_taxon_europeiaref_date</v>
      </c>
      <c r="B157" s="141" t="s">
        <v>26</v>
      </c>
      <c r="C157" s="137" t="s">
        <v>181</v>
      </c>
      <c r="D157" s="133" t="s">
        <v>40</v>
      </c>
      <c r="E157" s="134" t="s">
        <v>2097</v>
      </c>
      <c r="F157" s="471" t="s">
        <v>208</v>
      </c>
      <c r="G157" s="135" t="str">
        <f>VLOOKUP(A157,Plano_V3!$A$26:$G$768,7,0)</f>
        <v>1. Concluído</v>
      </c>
      <c r="H157" s="135" t="s">
        <v>612</v>
      </c>
      <c r="I157" s="468"/>
      <c r="J157" s="153"/>
      <c r="K157" s="356" t="s">
        <v>2452</v>
      </c>
      <c r="L157" s="365" t="s">
        <v>2462</v>
      </c>
      <c r="M157" s="365">
        <v>45737</v>
      </c>
      <c r="N157" s="356"/>
      <c r="O157" s="483"/>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2"/>
        <v>modesg_param_sfics_taxon_europeiacfinalidad</v>
      </c>
      <c r="B158" s="141" t="s">
        <v>26</v>
      </c>
      <c r="C158" s="137" t="s">
        <v>181</v>
      </c>
      <c r="D158" s="133" t="s">
        <v>40</v>
      </c>
      <c r="E158" s="134" t="s">
        <v>2097</v>
      </c>
      <c r="F158" s="471" t="s">
        <v>200</v>
      </c>
      <c r="G158" s="135" t="str">
        <f>VLOOKUP(A158,Plano_V3!$A$26:$G$768,7,0)</f>
        <v>1. Concluído</v>
      </c>
      <c r="H158" s="135" t="s">
        <v>612</v>
      </c>
      <c r="I158" s="468"/>
      <c r="J158" s="153"/>
      <c r="K158" s="356" t="s">
        <v>2452</v>
      </c>
      <c r="L158" s="365" t="s">
        <v>2462</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2"/>
        <v>modesg_param_sfics_taxon_europeiasst_indctr_aux</v>
      </c>
      <c r="B159" s="141" t="s">
        <v>26</v>
      </c>
      <c r="C159" s="137" t="s">
        <v>181</v>
      </c>
      <c r="D159" s="133" t="s">
        <v>40</v>
      </c>
      <c r="E159" s="134" t="s">
        <v>2097</v>
      </c>
      <c r="F159" s="471" t="s">
        <v>2417</v>
      </c>
      <c r="G159" s="135" t="str">
        <f>VLOOKUP(A159,Plano_V3!$A$26:$G$768,7,0)</f>
        <v>1. Concluído</v>
      </c>
      <c r="H159" s="135" t="s">
        <v>612</v>
      </c>
      <c r="I159" s="468"/>
      <c r="J159" s="153"/>
      <c r="K159" s="356" t="s">
        <v>2452</v>
      </c>
      <c r="L159" s="365" t="s">
        <v>2462</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2425</v>
      </c>
      <c r="Z159" s="321"/>
    </row>
    <row r="160" spans="1:26" ht="16.399999999999999" hidden="1" customHeight="1">
      <c r="A160" s="29" t="str">
        <f t="shared" si="2"/>
        <v>modesg_param_sfics_taxon_europeiaquality_score</v>
      </c>
      <c r="B160" s="141" t="s">
        <v>26</v>
      </c>
      <c r="C160" s="137" t="s">
        <v>181</v>
      </c>
      <c r="D160" s="133" t="s">
        <v>40</v>
      </c>
      <c r="E160" s="134" t="s">
        <v>2097</v>
      </c>
      <c r="F160" s="471" t="s">
        <v>2058</v>
      </c>
      <c r="G160" s="135" t="str">
        <f>VLOOKUP(A160,Plano_V3!$A$26:$G$768,7,0)</f>
        <v>1. Concluído</v>
      </c>
      <c r="H160" s="135" t="s">
        <v>612</v>
      </c>
      <c r="I160" s="468"/>
      <c r="J160" s="153"/>
      <c r="K160" s="356" t="s">
        <v>2452</v>
      </c>
      <c r="L160" s="365" t="s">
        <v>2462</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2"/>
        <v>modesg_param_sfics_taxon_europeiaprimary_energy_req_value</v>
      </c>
      <c r="B161" s="141" t="s">
        <v>26</v>
      </c>
      <c r="C161" s="137" t="s">
        <v>181</v>
      </c>
      <c r="D161" s="133" t="s">
        <v>40</v>
      </c>
      <c r="E161" s="134" t="s">
        <v>2097</v>
      </c>
      <c r="F161" s="471" t="s">
        <v>2412</v>
      </c>
      <c r="G161" s="135" t="str">
        <f>VLOOKUP(A161,Plano_V3!$A$26:$G$768,7,0)</f>
        <v>1. Concluído</v>
      </c>
      <c r="H161" s="135" t="s">
        <v>612</v>
      </c>
      <c r="I161" s="468"/>
      <c r="J161" s="153"/>
      <c r="K161" s="356" t="s">
        <v>2452</v>
      </c>
      <c r="L161" s="365" t="s">
        <v>2462</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2"/>
        <v>modesg_param_sfics_taxon_europeianet_floor_area</v>
      </c>
      <c r="B162" s="141" t="s">
        <v>26</v>
      </c>
      <c r="C162" s="137" t="s">
        <v>181</v>
      </c>
      <c r="D162" s="133" t="s">
        <v>40</v>
      </c>
      <c r="E162" s="134" t="s">
        <v>2097</v>
      </c>
      <c r="F162" s="471" t="s">
        <v>2401</v>
      </c>
      <c r="G162" s="135" t="str">
        <f>VLOOKUP(A162,Plano_V3!$A$26:$G$768,7,0)</f>
        <v>1. Concluído</v>
      </c>
      <c r="H162" s="135" t="s">
        <v>612</v>
      </c>
      <c r="I162" s="468"/>
      <c r="J162" s="153"/>
      <c r="K162" s="356" t="s">
        <v>2452</v>
      </c>
      <c r="L162" s="365" t="s">
        <v>2462</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2"/>
        <v>modesg_param_sfics_taxon_europeianome_purpose_esg_nalinh_tax</v>
      </c>
      <c r="B163" s="141" t="s">
        <v>26</v>
      </c>
      <c r="C163" s="137" t="s">
        <v>181</v>
      </c>
      <c r="D163" s="133" t="s">
        <v>40</v>
      </c>
      <c r="E163" s="134" t="s">
        <v>2097</v>
      </c>
      <c r="F163" s="471" t="s">
        <v>2060</v>
      </c>
      <c r="G163" s="135" t="str">
        <f>VLOOKUP(A163,Plano_V3!$A$26:$G$768,7,0)</f>
        <v>1. Concluído</v>
      </c>
      <c r="H163" s="135" t="s">
        <v>612</v>
      </c>
      <c r="I163" s="468"/>
      <c r="J163" s="153"/>
      <c r="K163" s="356" t="s">
        <v>2452</v>
      </c>
      <c r="L163" s="365" t="s">
        <v>2462</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2378</v>
      </c>
      <c r="Z163" s="321" t="s">
        <v>2309</v>
      </c>
    </row>
    <row r="164" spans="1:26" ht="16.399999999999999" hidden="1" customHeight="1">
      <c r="A164" s="29" t="str">
        <f t="shared" si="2"/>
        <v>modesg_param_sfics_taxon_europeianome_purpose_esg_alinh_tax</v>
      </c>
      <c r="B164" s="141" t="s">
        <v>26</v>
      </c>
      <c r="C164" s="137" t="s">
        <v>181</v>
      </c>
      <c r="D164" s="133" t="s">
        <v>40</v>
      </c>
      <c r="E164" s="134" t="s">
        <v>2097</v>
      </c>
      <c r="F164" s="471" t="s">
        <v>2059</v>
      </c>
      <c r="G164" s="135" t="str">
        <f>VLOOKUP(A164,Plano_V3!$A$26:$G$768,7,0)</f>
        <v>1. Concluído</v>
      </c>
      <c r="H164" s="135" t="s">
        <v>612</v>
      </c>
      <c r="I164" s="468"/>
      <c r="J164" s="153"/>
      <c r="K164" s="356" t="s">
        <v>2452</v>
      </c>
      <c r="L164" s="365" t="s">
        <v>2462</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2"/>
        <v>modesg_param_sfics_taxon_europeianome_general_specific_purpose</v>
      </c>
      <c r="B165" s="141" t="s">
        <v>26</v>
      </c>
      <c r="C165" s="137" t="s">
        <v>181</v>
      </c>
      <c r="D165" s="133" t="s">
        <v>40</v>
      </c>
      <c r="E165" s="134" t="s">
        <v>2097</v>
      </c>
      <c r="F165" s="471" t="s">
        <v>204</v>
      </c>
      <c r="G165" s="135" t="str">
        <f>VLOOKUP(A165,Plano_V3!$A$26:$G$768,7,0)</f>
        <v>1. Concluído</v>
      </c>
      <c r="H165" s="135" t="s">
        <v>612</v>
      </c>
      <c r="I165" s="468"/>
      <c r="J165" s="153"/>
      <c r="K165" s="356" t="s">
        <v>2452</v>
      </c>
      <c r="L165" s="365" t="s">
        <v>2462</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2"/>
        <v>modesg_param_sfics_taxon_europeianome_specific_eligible</v>
      </c>
      <c r="B166" s="141" t="s">
        <v>26</v>
      </c>
      <c r="C166" s="137" t="s">
        <v>181</v>
      </c>
      <c r="D166" s="133" t="s">
        <v>40</v>
      </c>
      <c r="E166" s="134" t="s">
        <v>2097</v>
      </c>
      <c r="F166" s="471" t="s">
        <v>206</v>
      </c>
      <c r="G166" s="135" t="str">
        <f>VLOOKUP(A166,Plano_V3!$A$26:$G$768,7,0)</f>
        <v>1. Concluído</v>
      </c>
      <c r="H166" s="135" t="s">
        <v>612</v>
      </c>
      <c r="I166" s="468"/>
      <c r="J166" s="153"/>
      <c r="K166" s="356" t="s">
        <v>2452</v>
      </c>
      <c r="L166" s="365" t="s">
        <v>2462</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2"/>
        <v>modesg_param_sfics_taxon_europeianome_specific_sustainable</v>
      </c>
      <c r="B167" s="141" t="s">
        <v>26</v>
      </c>
      <c r="C167" s="137" t="s">
        <v>181</v>
      </c>
      <c r="D167" s="133" t="s">
        <v>40</v>
      </c>
      <c r="E167" s="134" t="s">
        <v>2097</v>
      </c>
      <c r="F167" s="471" t="s">
        <v>207</v>
      </c>
      <c r="G167" s="135" t="str">
        <f>VLOOKUP(A167,Plano_V3!$A$26:$G$768,7,0)</f>
        <v>1. Concluído</v>
      </c>
      <c r="H167" s="135" t="s">
        <v>612</v>
      </c>
      <c r="I167" s="468"/>
      <c r="J167" s="153"/>
      <c r="K167" s="356" t="s">
        <v>2452</v>
      </c>
      <c r="L167" s="365" t="s">
        <v>2462</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customHeight="1">
      <c r="A168" s="29" t="str">
        <f t="shared" si="2"/>
        <v>lt006_instr_protprtctn_allctd_vl</v>
      </c>
      <c r="B168" s="141" t="s">
        <v>26</v>
      </c>
      <c r="C168" s="137" t="s">
        <v>26</v>
      </c>
      <c r="D168" s="133" t="s">
        <v>40</v>
      </c>
      <c r="E168" s="136" t="s">
        <v>441</v>
      </c>
      <c r="F168" s="475" t="s">
        <v>442</v>
      </c>
      <c r="G168" s="135" t="str">
        <f>VLOOKUP(A168,Plano_V3!$A$26:$G$768,7,0)</f>
        <v>5. Em Correção</v>
      </c>
      <c r="H168" s="135" t="s">
        <v>615</v>
      </c>
      <c r="I168" s="468"/>
      <c r="J168" s="356" t="s">
        <v>2307</v>
      </c>
      <c r="K168" s="142" t="s">
        <v>2450</v>
      </c>
      <c r="L168" s="153">
        <v>45726</v>
      </c>
      <c r="M168" s="153">
        <v>45730</v>
      </c>
      <c r="N168" s="142" t="s">
        <v>2447</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2459</v>
      </c>
      <c r="X168" s="321"/>
      <c r="Y168" s="369" t="s">
        <v>2321</v>
      </c>
      <c r="Z168" s="321" t="s">
        <v>2312</v>
      </c>
    </row>
    <row r="169" spans="1:26" ht="16.399999999999999" hidden="1" customHeight="1">
      <c r="A169" s="29" t="str">
        <f t="shared" si="2"/>
        <v>lt003_entityesg_sbsctr</v>
      </c>
      <c r="B169" s="141" t="s">
        <v>26</v>
      </c>
      <c r="C169" s="137" t="s">
        <v>26</v>
      </c>
      <c r="D169" s="133" t="s">
        <v>40</v>
      </c>
      <c r="E169" s="136" t="s">
        <v>335</v>
      </c>
      <c r="F169" s="475" t="s">
        <v>360</v>
      </c>
      <c r="G169" s="481" t="str">
        <f>VLOOKUP(A169,Plano_V3!$A$26:$G$768,7,0)</f>
        <v>1. Concluído</v>
      </c>
      <c r="H169" s="135" t="s">
        <v>612</v>
      </c>
      <c r="I169" s="468"/>
      <c r="J169" s="142" t="s">
        <v>2307</v>
      </c>
      <c r="K169" s="356" t="s">
        <v>2452</v>
      </c>
      <c r="L169" s="153">
        <v>45730</v>
      </c>
      <c r="M169" s="153">
        <v>45737</v>
      </c>
      <c r="N169" s="142" t="s">
        <v>2447</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2421</v>
      </c>
      <c r="W169" s="369" t="s">
        <v>2459</v>
      </c>
      <c r="X169" s="321"/>
      <c r="Y169" s="369" t="s">
        <v>2321</v>
      </c>
      <c r="Z169" s="321" t="s">
        <v>2311</v>
      </c>
    </row>
    <row r="170" spans="1:26" ht="16.399999999999999" customHeight="1">
      <c r="A170" s="29" t="str">
        <f t="shared" si="2"/>
        <v>lt004_protectiontyp_ep_scr</v>
      </c>
      <c r="B170" s="141" t="s">
        <v>26</v>
      </c>
      <c r="C170" s="137" t="s">
        <v>26</v>
      </c>
      <c r="D170" s="133" t="s">
        <v>40</v>
      </c>
      <c r="E170" s="136" t="s">
        <v>368</v>
      </c>
      <c r="F170" s="475" t="s">
        <v>369</v>
      </c>
      <c r="G170" s="135" t="str">
        <f>VLOOKUP(A170,Plano_V3!$A$26:$G$768,7,0)</f>
        <v>5. Em Correção</v>
      </c>
      <c r="H170" s="135" t="s">
        <v>615</v>
      </c>
      <c r="I170" s="468"/>
      <c r="J170" s="356" t="s">
        <v>2423</v>
      </c>
      <c r="K170" s="356" t="s">
        <v>2452</v>
      </c>
      <c r="L170" s="365">
        <v>45730</v>
      </c>
      <c r="M170" s="365">
        <v>45737</v>
      </c>
      <c r="N170" s="356" t="s">
        <v>2447</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2459</v>
      </c>
      <c r="X170" s="321"/>
      <c r="Y170" s="369" t="s">
        <v>2321</v>
      </c>
      <c r="Z170" s="321"/>
    </row>
    <row r="171" spans="1:26" ht="16.399999999999999" customHeight="1">
      <c r="A171" s="29" t="str">
        <f t="shared" si="2"/>
        <v>lt004_protectionep_scr</v>
      </c>
      <c r="B171" s="141" t="s">
        <v>26</v>
      </c>
      <c r="C171" s="137" t="s">
        <v>26</v>
      </c>
      <c r="D171" s="133" t="s">
        <v>40</v>
      </c>
      <c r="E171" s="136" t="s">
        <v>368</v>
      </c>
      <c r="F171" s="475" t="s">
        <v>370</v>
      </c>
      <c r="G171" s="135" t="str">
        <f>VLOOKUP(A171,Plano_V3!$A$26:$G$768,7,0)</f>
        <v>5. Em Correção</v>
      </c>
      <c r="H171" s="135" t="s">
        <v>615</v>
      </c>
      <c r="I171" s="468"/>
      <c r="J171" s="356" t="s">
        <v>2423</v>
      </c>
      <c r="K171" s="356" t="s">
        <v>2452</v>
      </c>
      <c r="L171" s="365">
        <v>45730</v>
      </c>
      <c r="M171" s="365">
        <v>45737</v>
      </c>
      <c r="N171" s="356" t="s">
        <v>2447</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2459</v>
      </c>
      <c r="X171" s="321"/>
      <c r="Y171" s="369" t="s">
        <v>2321</v>
      </c>
      <c r="Z171" s="321"/>
    </row>
    <row r="172" spans="1:26" ht="16.399999999999999" customHeight="1">
      <c r="A172" s="29" t="str">
        <f t="shared" si="2"/>
        <v>lt002_instrumentmthd_usd_instrmnt_scp_1</v>
      </c>
      <c r="B172" s="141" t="s">
        <v>26</v>
      </c>
      <c r="C172" s="137" t="s">
        <v>26</v>
      </c>
      <c r="D172" s="133" t="s">
        <v>40</v>
      </c>
      <c r="E172" s="136" t="s">
        <v>379</v>
      </c>
      <c r="F172" s="475" t="s">
        <v>385</v>
      </c>
      <c r="G172" s="481" t="str">
        <f>VLOOKUP(A172,Plano_V3!$A$26:$G$768,7,0)</f>
        <v>2.1 Em Teste</v>
      </c>
      <c r="H172" s="135" t="s">
        <v>1840</v>
      </c>
      <c r="I172" s="468"/>
      <c r="J172" s="142" t="s">
        <v>2423</v>
      </c>
      <c r="K172" s="356" t="s">
        <v>2452</v>
      </c>
      <c r="L172" s="153" t="s">
        <v>2462</v>
      </c>
      <c r="M172" s="153" t="s">
        <v>2460</v>
      </c>
      <c r="N172" s="142" t="s">
        <v>2447</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2459</v>
      </c>
      <c r="X172" s="321"/>
      <c r="Y172" s="369" t="s">
        <v>2321</v>
      </c>
      <c r="Z172" s="321" t="s">
        <v>1857</v>
      </c>
    </row>
    <row r="173" spans="1:26" ht="16.399999999999999" customHeight="1">
      <c r="A173" s="29" t="str">
        <f t="shared" si="2"/>
        <v>lt002_instrumentmthd_usd_instrmnt_scp_2</v>
      </c>
      <c r="B173" s="141" t="s">
        <v>26</v>
      </c>
      <c r="C173" s="137" t="s">
        <v>26</v>
      </c>
      <c r="D173" s="133" t="s">
        <v>40</v>
      </c>
      <c r="E173" s="136" t="s">
        <v>379</v>
      </c>
      <c r="F173" s="475" t="s">
        <v>386</v>
      </c>
      <c r="G173" s="481" t="str">
        <f>VLOOKUP(A173,Plano_V3!$A$26:$G$768,7,0)</f>
        <v>2.1 Em Teste</v>
      </c>
      <c r="H173" s="135" t="s">
        <v>1840</v>
      </c>
      <c r="I173" s="468"/>
      <c r="J173" s="142" t="s">
        <v>2423</v>
      </c>
      <c r="K173" s="356" t="s">
        <v>2452</v>
      </c>
      <c r="L173" s="153" t="s">
        <v>2462</v>
      </c>
      <c r="M173" s="153" t="s">
        <v>2460</v>
      </c>
      <c r="N173" s="142" t="s">
        <v>2447</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2459</v>
      </c>
      <c r="X173" s="321"/>
      <c r="Y173" s="369" t="s">
        <v>2321</v>
      </c>
      <c r="Z173" s="321" t="s">
        <v>1857</v>
      </c>
    </row>
    <row r="174" spans="1:26" ht="16.399999999999999" customHeight="1">
      <c r="A174" s="29" t="str">
        <f t="shared" si="2"/>
        <v>lt002_instrumentmthd_usd_instrmnt_scp_3</v>
      </c>
      <c r="B174" s="141" t="s">
        <v>26</v>
      </c>
      <c r="C174" s="137" t="s">
        <v>26</v>
      </c>
      <c r="D174" s="133" t="s">
        <v>40</v>
      </c>
      <c r="E174" s="136" t="s">
        <v>379</v>
      </c>
      <c r="F174" s="475" t="s">
        <v>387</v>
      </c>
      <c r="G174" s="481" t="str">
        <f>VLOOKUP(A174,Plano_V3!$A$26:$G$768,7,0)</f>
        <v>2.1 Em Teste</v>
      </c>
      <c r="H174" s="135" t="s">
        <v>1840</v>
      </c>
      <c r="I174" s="468"/>
      <c r="J174" s="142" t="s">
        <v>2423</v>
      </c>
      <c r="K174" s="356" t="s">
        <v>2452</v>
      </c>
      <c r="L174" s="153" t="s">
        <v>2462</v>
      </c>
      <c r="M174" s="153" t="s">
        <v>2460</v>
      </c>
      <c r="N174" s="142" t="s">
        <v>2447</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2459</v>
      </c>
      <c r="X174" s="321"/>
      <c r="Y174" s="369" t="s">
        <v>2321</v>
      </c>
      <c r="Z174" s="321" t="s">
        <v>1857</v>
      </c>
    </row>
    <row r="175" spans="1:26" ht="16.399999999999999" customHeight="1">
      <c r="A175" s="29" t="str">
        <f t="shared" si="2"/>
        <v>lt007_instr_activitysstnbl_indctr</v>
      </c>
      <c r="B175" s="141" t="s">
        <v>26</v>
      </c>
      <c r="C175" s="137" t="s">
        <v>26</v>
      </c>
      <c r="D175" s="133" t="s">
        <v>40</v>
      </c>
      <c r="E175" s="136" t="s">
        <v>1860</v>
      </c>
      <c r="F175" s="475" t="s">
        <v>418</v>
      </c>
      <c r="G175" s="135" t="str">
        <f>VLOOKUP(A175,Plano_V3!$A$26:$G$768,7,0)</f>
        <v>2.1 Em Teste</v>
      </c>
      <c r="H175" s="135" t="s">
        <v>1840</v>
      </c>
      <c r="I175" s="468"/>
      <c r="J175" s="356" t="s">
        <v>2423</v>
      </c>
      <c r="K175" s="356" t="s">
        <v>2453</v>
      </c>
      <c r="L175" s="365">
        <v>45744</v>
      </c>
      <c r="M175" s="365">
        <v>45751</v>
      </c>
      <c r="N175" s="356" t="s">
        <v>2447</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2459</v>
      </c>
      <c r="X175" s="321"/>
      <c r="Y175" s="369" t="s">
        <v>2321</v>
      </c>
      <c r="Z175" s="321" t="s">
        <v>2309</v>
      </c>
    </row>
    <row r="176" spans="1:26" ht="16.399999999999999" customHeight="1">
      <c r="A176" s="29" t="str">
        <f t="shared" si="2"/>
        <v>lt007_instr_activitysstnbl_ctgry</v>
      </c>
      <c r="B176" s="141" t="s">
        <v>26</v>
      </c>
      <c r="C176" s="137" t="s">
        <v>26</v>
      </c>
      <c r="D176" s="133" t="s">
        <v>40</v>
      </c>
      <c r="E176" s="136" t="s">
        <v>1860</v>
      </c>
      <c r="F176" s="475" t="s">
        <v>419</v>
      </c>
      <c r="G176" s="135" t="str">
        <f>VLOOKUP(A176,Plano_V3!$A$26:$G$768,7,0)</f>
        <v>2.1 Em Teste</v>
      </c>
      <c r="H176" s="135" t="s">
        <v>1840</v>
      </c>
      <c r="I176" s="468"/>
      <c r="J176" s="356" t="s">
        <v>2242</v>
      </c>
      <c r="K176" s="356" t="s">
        <v>2452</v>
      </c>
      <c r="L176" s="153" t="s">
        <v>2462</v>
      </c>
      <c r="M176" s="153">
        <v>45737</v>
      </c>
      <c r="N176" s="142" t="s">
        <v>2447</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2459</v>
      </c>
      <c r="X176" s="321"/>
      <c r="Y176" s="369" t="s">
        <v>2321</v>
      </c>
      <c r="Z176" s="321" t="s">
        <v>2309</v>
      </c>
    </row>
    <row r="177" spans="1:26" ht="16.399999999999999" hidden="1" customHeight="1">
      <c r="A177" s="29" t="str">
        <f t="shared" si="2"/>
        <v>modesg_param_sfics_taxon_europeian.a.</v>
      </c>
      <c r="B177" s="141" t="s">
        <v>26</v>
      </c>
      <c r="C177" s="137" t="s">
        <v>181</v>
      </c>
      <c r="D177" s="133" t="s">
        <v>36</v>
      </c>
      <c r="E177" s="134" t="s">
        <v>2097</v>
      </c>
      <c r="F177" s="471" t="s">
        <v>38</v>
      </c>
      <c r="G177" s="135" t="str">
        <f>VLOOKUP(A177,Plano_V3!$A$26:$G$768,7,0)</f>
        <v>1. Concluído</v>
      </c>
      <c r="H177" s="135" t="s">
        <v>612</v>
      </c>
      <c r="I177" s="468"/>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hidden="1" customHeight="1">
      <c r="A178" s="29" t="str">
        <f t="shared" si="2"/>
        <v>modesg_out_sfics_taxon_europeian.a.</v>
      </c>
      <c r="B178" s="141" t="s">
        <v>26</v>
      </c>
      <c r="C178" s="137" t="s">
        <v>310</v>
      </c>
      <c r="D178" s="133" t="s">
        <v>36</v>
      </c>
      <c r="E178" s="134" t="s">
        <v>2080</v>
      </c>
      <c r="F178" s="471" t="s">
        <v>38</v>
      </c>
      <c r="G178" s="135" t="str">
        <f>VLOOKUP(A178,Plano_V3!$A$26:$G$768,7,0)</f>
        <v>2.1 Em Teste</v>
      </c>
      <c r="H178" s="135" t="s">
        <v>1840</v>
      </c>
      <c r="I178" s="468"/>
      <c r="J178" s="142"/>
      <c r="K178" s="356" t="s">
        <v>2454</v>
      </c>
      <c r="L178" s="365"/>
      <c r="M178" s="490">
        <v>45763</v>
      </c>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hidden="1" customHeight="1">
      <c r="A179" s="29" t="str">
        <f t="shared" si="2"/>
        <v>modesg_out_sfics_taxon_europeiaorigem</v>
      </c>
      <c r="B179" s="141" t="s">
        <v>26</v>
      </c>
      <c r="C179" s="137" t="s">
        <v>310</v>
      </c>
      <c r="D179" s="133" t="s">
        <v>40</v>
      </c>
      <c r="E179" s="134" t="s">
        <v>2080</v>
      </c>
      <c r="F179" s="471" t="s">
        <v>72</v>
      </c>
      <c r="G179" s="135" t="str">
        <f>VLOOKUP(A179,Plano_V3!$A$26:$G$768,7,0)</f>
        <v>0. Cancelado</v>
      </c>
      <c r="H179" s="135" t="s">
        <v>611</v>
      </c>
      <c r="I179" s="468"/>
      <c r="J179" s="142"/>
      <c r="K179" s="356"/>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2"/>
        <v>lt003_entitynace_esg</v>
      </c>
      <c r="B180" s="141" t="s">
        <v>26</v>
      </c>
      <c r="C180" s="137" t="s">
        <v>26</v>
      </c>
      <c r="D180" s="133" t="s">
        <v>40</v>
      </c>
      <c r="E180" s="136" t="s">
        <v>335</v>
      </c>
      <c r="F180" s="475" t="s">
        <v>336</v>
      </c>
      <c r="G180" s="481" t="str">
        <f>VLOOKUP(A180,Plano_V3!$A$26:$G$768,7,0)</f>
        <v>1. Concluído</v>
      </c>
      <c r="H180" s="135" t="s">
        <v>612</v>
      </c>
      <c r="I180" s="468"/>
      <c r="J180" s="142"/>
      <c r="K180" s="356" t="s">
        <v>2452</v>
      </c>
      <c r="L180" s="153">
        <v>45730</v>
      </c>
      <c r="M180" s="153">
        <v>45737</v>
      </c>
      <c r="N180" s="142" t="s">
        <v>2447</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2459</v>
      </c>
      <c r="X180" s="321"/>
      <c r="Y180" s="369" t="s">
        <v>2321</v>
      </c>
      <c r="Z180" s="321" t="s">
        <v>1856</v>
      </c>
    </row>
    <row r="181" spans="1:26" ht="16.399999999999999" hidden="1" customHeight="1">
      <c r="A181" s="29" t="str">
        <f t="shared" si="2"/>
        <v>lt003_entityflg_act_physcl_rsk</v>
      </c>
      <c r="B181" s="141" t="s">
        <v>26</v>
      </c>
      <c r="C181" s="137" t="s">
        <v>26</v>
      </c>
      <c r="D181" s="133" t="s">
        <v>40</v>
      </c>
      <c r="E181" s="136" t="s">
        <v>335</v>
      </c>
      <c r="F181" s="475" t="s">
        <v>357</v>
      </c>
      <c r="G181" s="481" t="str">
        <f>VLOOKUP(A181,Plano_V3!$A$26:$G$768,7,0)</f>
        <v>1. Concluído</v>
      </c>
      <c r="H181" s="135" t="s">
        <v>612</v>
      </c>
      <c r="I181" s="468"/>
      <c r="J181" s="142"/>
      <c r="K181" s="356" t="s">
        <v>2452</v>
      </c>
      <c r="L181" s="153">
        <v>45730</v>
      </c>
      <c r="M181" s="153">
        <v>45737</v>
      </c>
      <c r="N181" s="142" t="s">
        <v>2447</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2459</v>
      </c>
      <c r="X181" s="321"/>
      <c r="Y181" s="369" t="s">
        <v>2321</v>
      </c>
      <c r="Z181" s="321" t="s">
        <v>1857</v>
      </c>
    </row>
    <row r="182" spans="1:26" ht="16.399999999999999" hidden="1" customHeight="1">
      <c r="A182" s="29" t="str">
        <f t="shared" si="2"/>
        <v>lt003_entityflg_chrnc_physcl_rsk</v>
      </c>
      <c r="B182" s="141" t="s">
        <v>26</v>
      </c>
      <c r="C182" s="137" t="s">
        <v>26</v>
      </c>
      <c r="D182" s="133" t="s">
        <v>40</v>
      </c>
      <c r="E182" s="136" t="s">
        <v>335</v>
      </c>
      <c r="F182" s="475" t="s">
        <v>358</v>
      </c>
      <c r="G182" s="481" t="str">
        <f>VLOOKUP(A182,Plano_V3!$A$26:$G$768,7,0)</f>
        <v>1. Concluído</v>
      </c>
      <c r="H182" s="135" t="s">
        <v>612</v>
      </c>
      <c r="I182" s="468"/>
      <c r="J182" s="142"/>
      <c r="K182" s="356" t="s">
        <v>2452</v>
      </c>
      <c r="L182" s="153">
        <v>45730</v>
      </c>
      <c r="M182" s="153">
        <v>45737</v>
      </c>
      <c r="N182" s="142" t="s">
        <v>2447</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2459</v>
      </c>
      <c r="X182" s="321"/>
      <c r="Y182" s="369" t="s">
        <v>2321</v>
      </c>
      <c r="Z182" s="321" t="s">
        <v>1857</v>
      </c>
    </row>
    <row r="183" spans="1:26" ht="16.399999999999999" customHeight="1">
      <c r="A183" s="29" t="str">
        <f t="shared" si="2"/>
        <v>lt002_instrumentrsk_mtgtd_ccp</v>
      </c>
      <c r="B183" s="141" t="s">
        <v>26</v>
      </c>
      <c r="C183" s="137" t="s">
        <v>26</v>
      </c>
      <c r="D183" s="133" t="s">
        <v>40</v>
      </c>
      <c r="E183" s="136" t="s">
        <v>379</v>
      </c>
      <c r="F183" s="475" t="s">
        <v>381</v>
      </c>
      <c r="G183" s="481" t="str">
        <f>VLOOKUP(A183,Plano_V3!$A$26:$G$768,7,0)</f>
        <v>5. Em Correção</v>
      </c>
      <c r="H183" s="135" t="s">
        <v>615</v>
      </c>
      <c r="I183" s="468"/>
      <c r="J183" s="142"/>
      <c r="K183" s="356" t="s">
        <v>2452</v>
      </c>
      <c r="L183" s="153">
        <v>45730</v>
      </c>
      <c r="M183" s="153">
        <v>45737</v>
      </c>
      <c r="N183" s="142" t="s">
        <v>2447</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2459</v>
      </c>
      <c r="X183" s="321"/>
      <c r="Y183" s="369" t="s">
        <v>2321</v>
      </c>
      <c r="Z183" s="321" t="s">
        <v>1856</v>
      </c>
    </row>
    <row r="184" spans="1:26" ht="16.399999999999999" customHeight="1">
      <c r="A184" s="29" t="str">
        <f t="shared" si="2"/>
        <v>lt007_instr_activityCOD_SOC</v>
      </c>
      <c r="B184" s="141" t="s">
        <v>26</v>
      </c>
      <c r="C184" s="137" t="s">
        <v>26</v>
      </c>
      <c r="D184" s="133" t="s">
        <v>40</v>
      </c>
      <c r="E184" s="136" t="s">
        <v>1860</v>
      </c>
      <c r="F184" s="475" t="s">
        <v>1293</v>
      </c>
      <c r="G184" s="135" t="str">
        <f>VLOOKUP(A184,Plano_V3!$A$26:$G$768,7,0)</f>
        <v>2.1 Em Teste</v>
      </c>
      <c r="H184" s="135" t="s">
        <v>1840</v>
      </c>
      <c r="I184" s="468"/>
      <c r="J184" s="356" t="s">
        <v>2241</v>
      </c>
      <c r="K184" s="356" t="s">
        <v>2451</v>
      </c>
      <c r="L184" s="365">
        <v>45726</v>
      </c>
      <c r="M184" s="365">
        <v>45735</v>
      </c>
      <c r="N184" s="356" t="s">
        <v>2446</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2382</v>
      </c>
      <c r="W184" s="321" t="s">
        <v>2458</v>
      </c>
      <c r="X184" s="369" t="s">
        <v>2361</v>
      </c>
      <c r="Y184" s="369" t="s">
        <v>2322</v>
      </c>
      <c r="Z184" s="321" t="s">
        <v>2309</v>
      </c>
    </row>
    <row r="185" spans="1:26" ht="16.399999999999999" hidden="1" customHeight="1">
      <c r="A185" s="29" t="str">
        <f t="shared" si="2"/>
        <v>lt007_instr_activityDT_RFRNC</v>
      </c>
      <c r="B185" s="141" t="s">
        <v>26</v>
      </c>
      <c r="C185" s="137" t="s">
        <v>26</v>
      </c>
      <c r="D185" s="133" t="s">
        <v>40</v>
      </c>
      <c r="E185" s="136" t="s">
        <v>1860</v>
      </c>
      <c r="F185" s="475" t="s">
        <v>1298</v>
      </c>
      <c r="G185" s="135" t="str">
        <f>VLOOKUP(A185,Plano_V3!$A$26:$G$768,7,0)</f>
        <v>1. Concluído</v>
      </c>
      <c r="H185" s="135" t="s">
        <v>612</v>
      </c>
      <c r="I185" s="468"/>
      <c r="J185" s="356" t="s">
        <v>2240</v>
      </c>
      <c r="K185" s="356" t="s">
        <v>2451</v>
      </c>
      <c r="L185" s="365">
        <v>45726</v>
      </c>
      <c r="M185" s="365">
        <v>45735</v>
      </c>
      <c r="N185" s="356" t="s">
        <v>2446</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2382</v>
      </c>
      <c r="W185" s="321" t="s">
        <v>2458</v>
      </c>
      <c r="X185" s="369" t="s">
        <v>2361</v>
      </c>
      <c r="Y185" s="369" t="s">
        <v>2322</v>
      </c>
      <c r="Z185" s="321" t="s">
        <v>2309</v>
      </c>
    </row>
    <row r="186" spans="1:26" ht="16.399999999999999" customHeight="1">
      <c r="A186" s="29" t="str">
        <f t="shared" si="2"/>
        <v>lt007_instr_activityINSTRMNT_ID</v>
      </c>
      <c r="B186" s="141" t="s">
        <v>26</v>
      </c>
      <c r="C186" s="137" t="s">
        <v>26</v>
      </c>
      <c r="D186" s="133" t="s">
        <v>40</v>
      </c>
      <c r="E186" s="136" t="s">
        <v>1860</v>
      </c>
      <c r="F186" s="475" t="s">
        <v>1307</v>
      </c>
      <c r="G186" s="135" t="str">
        <f>VLOOKUP(A186,Plano_V3!$A$26:$G$768,7,0)</f>
        <v>2.1 Em Teste</v>
      </c>
      <c r="H186" s="135" t="s">
        <v>1840</v>
      </c>
      <c r="I186" s="468"/>
      <c r="J186" s="356" t="s">
        <v>2241</v>
      </c>
      <c r="K186" s="356" t="s">
        <v>2451</v>
      </c>
      <c r="L186" s="365">
        <v>45726</v>
      </c>
      <c r="M186" s="365">
        <v>45735</v>
      </c>
      <c r="N186" s="356" t="s">
        <v>2446</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2382</v>
      </c>
      <c r="W186" s="321" t="s">
        <v>2458</v>
      </c>
      <c r="X186" s="369" t="s">
        <v>2361</v>
      </c>
      <c r="Y186" s="369" t="s">
        <v>2322</v>
      </c>
      <c r="Z186" s="321" t="s">
        <v>2309</v>
      </c>
    </row>
    <row r="187" spans="1:26" ht="16.399999999999999" hidden="1" customHeight="1">
      <c r="A187" s="29" t="str">
        <f t="shared" si="2"/>
        <v>lt007_instr_activityFLG_DNSH_CMPLNC</v>
      </c>
      <c r="B187" s="141" t="s">
        <v>26</v>
      </c>
      <c r="C187" s="137" t="s">
        <v>26</v>
      </c>
      <c r="D187" s="133" t="s">
        <v>40</v>
      </c>
      <c r="E187" s="136" t="s">
        <v>1860</v>
      </c>
      <c r="F187" s="475" t="s">
        <v>2294</v>
      </c>
      <c r="G187" s="135" t="str">
        <f>VLOOKUP(A187,Plano_V3!$A$26:$G$768,7,0)</f>
        <v>1. Concluído</v>
      </c>
      <c r="H187" s="135" t="s">
        <v>612</v>
      </c>
      <c r="I187" s="468"/>
      <c r="J187" s="356" t="s">
        <v>2307</v>
      </c>
      <c r="K187" s="356" t="s">
        <v>2451</v>
      </c>
      <c r="L187" s="365">
        <v>45726</v>
      </c>
      <c r="M187" s="365">
        <v>45735</v>
      </c>
      <c r="N187" s="356" t="s">
        <v>2447</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2383</v>
      </c>
      <c r="W187" s="321" t="s">
        <v>2458</v>
      </c>
      <c r="X187" s="369" t="s">
        <v>2361</v>
      </c>
      <c r="Y187" s="369" t="s">
        <v>2322</v>
      </c>
      <c r="Z187" s="321" t="s">
        <v>2311</v>
      </c>
    </row>
    <row r="188" spans="1:26" ht="16.399999999999999" customHeight="1">
      <c r="A188" s="29" t="str">
        <f t="shared" si="2"/>
        <v>lt007_instr_activityDNSH_DTL</v>
      </c>
      <c r="B188" s="141" t="s">
        <v>26</v>
      </c>
      <c r="C188" s="137" t="s">
        <v>26</v>
      </c>
      <c r="D188" s="133" t="s">
        <v>40</v>
      </c>
      <c r="E188" s="136" t="s">
        <v>1860</v>
      </c>
      <c r="F188" s="475" t="s">
        <v>2295</v>
      </c>
      <c r="G188" s="135" t="str">
        <f>VLOOKUP(A188,Plano_V3!$A$26:$G$768,7,0)</f>
        <v>2.1 Em Teste</v>
      </c>
      <c r="H188" s="135" t="s">
        <v>1840</v>
      </c>
      <c r="I188" s="468"/>
      <c r="J188" s="356" t="s">
        <v>2307</v>
      </c>
      <c r="K188" s="356" t="s">
        <v>2451</v>
      </c>
      <c r="L188" s="365">
        <v>45726</v>
      </c>
      <c r="M188" s="365">
        <v>45735</v>
      </c>
      <c r="N188" s="356" t="s">
        <v>2447</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2383</v>
      </c>
      <c r="W188" s="321" t="s">
        <v>2458</v>
      </c>
      <c r="X188" s="369" t="s">
        <v>2361</v>
      </c>
      <c r="Y188" s="369" t="s">
        <v>2322</v>
      </c>
      <c r="Z188" s="321" t="s">
        <v>2311</v>
      </c>
    </row>
    <row r="189" spans="1:26" ht="16.399999999999999" hidden="1" customHeight="1">
      <c r="A189" s="29" t="str">
        <f t="shared" si="2"/>
        <v>lt002_instrumentFLG_MNMM_SFGRDS</v>
      </c>
      <c r="B189" s="141" t="s">
        <v>26</v>
      </c>
      <c r="C189" s="137" t="s">
        <v>26</v>
      </c>
      <c r="D189" s="133" t="s">
        <v>40</v>
      </c>
      <c r="E189" s="136" t="s">
        <v>379</v>
      </c>
      <c r="F189" s="475" t="s">
        <v>2175</v>
      </c>
      <c r="G189" s="135" t="str">
        <f>VLOOKUP(A189,Plano_V3!$A$26:$G$768,7,0)</f>
        <v>1. Concluído</v>
      </c>
      <c r="H189" s="135" t="s">
        <v>612</v>
      </c>
      <c r="I189" s="468"/>
      <c r="J189" s="142" t="s">
        <v>2304</v>
      </c>
      <c r="K189" s="142" t="s">
        <v>2450</v>
      </c>
      <c r="L189" s="365">
        <v>45726</v>
      </c>
      <c r="M189" s="365">
        <v>45730</v>
      </c>
      <c r="N189" s="356" t="s">
        <v>2447</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2393</v>
      </c>
      <c r="W189" s="321" t="s">
        <v>2458</v>
      </c>
      <c r="X189" s="369" t="s">
        <v>2361</v>
      </c>
      <c r="Y189" s="369" t="s">
        <v>2322</v>
      </c>
      <c r="Z189" s="321" t="s">
        <v>1856</v>
      </c>
    </row>
    <row r="190" spans="1:26" ht="16.399999999999999" hidden="1" customHeight="1">
      <c r="A190" s="29" t="str">
        <f t="shared" si="2"/>
        <v>lt003_entitytxnmy_elgbl_capex_w</v>
      </c>
      <c r="B190" s="141" t="s">
        <v>26</v>
      </c>
      <c r="C190" s="137" t="s">
        <v>26</v>
      </c>
      <c r="D190" s="133" t="s">
        <v>40</v>
      </c>
      <c r="E190" s="136" t="s">
        <v>335</v>
      </c>
      <c r="F190" s="475" t="s">
        <v>2196</v>
      </c>
      <c r="G190" s="135" t="str">
        <f>VLOOKUP(A190,Plano_V3!$A$26:$G$768,7,0)</f>
        <v>1. Concluído</v>
      </c>
      <c r="H190" s="135" t="s">
        <v>612</v>
      </c>
      <c r="I190" s="468"/>
      <c r="J190" s="356" t="s">
        <v>2243</v>
      </c>
      <c r="K190" s="142" t="s">
        <v>2450</v>
      </c>
      <c r="L190" s="365">
        <v>45726</v>
      </c>
      <c r="M190" s="365">
        <v>45730</v>
      </c>
      <c r="N190" s="356" t="s">
        <v>2447</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2383</v>
      </c>
      <c r="W190" s="321" t="s">
        <v>2458</v>
      </c>
      <c r="X190" s="369" t="s">
        <v>2361</v>
      </c>
      <c r="Y190" s="369" t="s">
        <v>2322</v>
      </c>
      <c r="Z190" s="321" t="s">
        <v>1856</v>
      </c>
    </row>
    <row r="191" spans="1:26" ht="16.399999999999999" hidden="1" customHeight="1">
      <c r="A191" s="29" t="str">
        <f t="shared" si="2"/>
        <v>lt003_entitytxnmy_elgbl_trnvr_w</v>
      </c>
      <c r="B191" s="141" t="s">
        <v>26</v>
      </c>
      <c r="C191" s="137" t="s">
        <v>26</v>
      </c>
      <c r="D191" s="133" t="s">
        <v>40</v>
      </c>
      <c r="E191" s="136" t="s">
        <v>335</v>
      </c>
      <c r="F191" s="475" t="s">
        <v>2197</v>
      </c>
      <c r="G191" s="135" t="str">
        <f>VLOOKUP(A191,Plano_V3!$A$26:$G$768,7,0)</f>
        <v>1. Concluído</v>
      </c>
      <c r="H191" s="135" t="s">
        <v>612</v>
      </c>
      <c r="I191" s="468"/>
      <c r="J191" s="356" t="s">
        <v>2243</v>
      </c>
      <c r="K191" s="142" t="s">
        <v>2450</v>
      </c>
      <c r="L191" s="365">
        <v>45726</v>
      </c>
      <c r="M191" s="365">
        <v>45730</v>
      </c>
      <c r="N191" s="356" t="s">
        <v>2447</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2383</v>
      </c>
      <c r="W191" s="321" t="s">
        <v>2458</v>
      </c>
      <c r="X191" s="369" t="s">
        <v>2361</v>
      </c>
      <c r="Y191" s="369" t="s">
        <v>2322</v>
      </c>
      <c r="Z191" s="321" t="s">
        <v>1856</v>
      </c>
    </row>
    <row r="192" spans="1:26" ht="16.399999999999999" hidden="1" customHeight="1">
      <c r="A192" s="29" t="str">
        <f t="shared" si="2"/>
        <v>lt003_entitytxnmy_elgbl_capex_p</v>
      </c>
      <c r="B192" s="141" t="s">
        <v>26</v>
      </c>
      <c r="C192" s="137" t="s">
        <v>26</v>
      </c>
      <c r="D192" s="133" t="s">
        <v>40</v>
      </c>
      <c r="E192" s="136" t="s">
        <v>335</v>
      </c>
      <c r="F192" s="475" t="s">
        <v>2198</v>
      </c>
      <c r="G192" s="135" t="str">
        <f>VLOOKUP(A192,Plano_V3!$A$26:$G$768,7,0)</f>
        <v>1. Concluído</v>
      </c>
      <c r="H192" s="135" t="s">
        <v>612</v>
      </c>
      <c r="I192" s="468"/>
      <c r="J192" s="356" t="s">
        <v>2243</v>
      </c>
      <c r="K192" s="142" t="s">
        <v>2450</v>
      </c>
      <c r="L192" s="365">
        <v>45726</v>
      </c>
      <c r="M192" s="365">
        <v>45730</v>
      </c>
      <c r="N192" s="356" t="s">
        <v>2447</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2383</v>
      </c>
      <c r="W192" s="321" t="s">
        <v>2458</v>
      </c>
      <c r="X192" s="369" t="s">
        <v>2361</v>
      </c>
      <c r="Y192" s="369" t="s">
        <v>2322</v>
      </c>
      <c r="Z192" s="321" t="s">
        <v>1856</v>
      </c>
    </row>
    <row r="193" spans="1:26" ht="16.399999999999999" hidden="1" customHeight="1">
      <c r="A193" s="29" t="str">
        <f t="shared" si="2"/>
        <v>lt003_entitytxnmy_elgbl_trnvr_p</v>
      </c>
      <c r="B193" s="141" t="s">
        <v>26</v>
      </c>
      <c r="C193" s="137" t="s">
        <v>26</v>
      </c>
      <c r="D193" s="133" t="s">
        <v>40</v>
      </c>
      <c r="E193" s="136" t="s">
        <v>335</v>
      </c>
      <c r="F193" s="475" t="s">
        <v>2199</v>
      </c>
      <c r="G193" s="135" t="str">
        <f>VLOOKUP(A193,Plano_V3!$A$26:$G$768,7,0)</f>
        <v>1. Concluído</v>
      </c>
      <c r="H193" s="135" t="s">
        <v>612</v>
      </c>
      <c r="I193" s="468"/>
      <c r="J193" s="356" t="s">
        <v>2243</v>
      </c>
      <c r="K193" s="142" t="s">
        <v>2450</v>
      </c>
      <c r="L193" s="365">
        <v>45726</v>
      </c>
      <c r="M193" s="365">
        <v>45730</v>
      </c>
      <c r="N193" s="356" t="s">
        <v>2447</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2383</v>
      </c>
      <c r="W193" s="321" t="s">
        <v>2458</v>
      </c>
      <c r="X193" s="369" t="s">
        <v>2361</v>
      </c>
      <c r="Y193" s="369" t="s">
        <v>2322</v>
      </c>
      <c r="Z193" s="321" t="s">
        <v>1856</v>
      </c>
    </row>
    <row r="194" spans="1:26" ht="16.399999999999999" hidden="1" customHeight="1">
      <c r="A194" s="29" t="str">
        <f t="shared" si="2"/>
        <v>lt003_entitytxnmy_elgbl_capex_b</v>
      </c>
      <c r="B194" s="141" t="s">
        <v>26</v>
      </c>
      <c r="C194" s="137" t="s">
        <v>26</v>
      </c>
      <c r="D194" s="133" t="s">
        <v>40</v>
      </c>
      <c r="E194" s="136" t="s">
        <v>335</v>
      </c>
      <c r="F194" s="475" t="s">
        <v>2200</v>
      </c>
      <c r="G194" s="135" t="str">
        <f>VLOOKUP(A194,Plano_V3!$A$26:$G$768,7,0)</f>
        <v>1. Concluído</v>
      </c>
      <c r="H194" s="135" t="s">
        <v>612</v>
      </c>
      <c r="I194" s="468"/>
      <c r="J194" s="356" t="s">
        <v>2243</v>
      </c>
      <c r="K194" s="142" t="s">
        <v>2450</v>
      </c>
      <c r="L194" s="365">
        <v>45726</v>
      </c>
      <c r="M194" s="365">
        <v>45730</v>
      </c>
      <c r="N194" s="356" t="s">
        <v>2447</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2383</v>
      </c>
      <c r="W194" s="321" t="s">
        <v>2458</v>
      </c>
      <c r="X194" s="369" t="s">
        <v>2361</v>
      </c>
      <c r="Y194" s="369" t="s">
        <v>2322</v>
      </c>
      <c r="Z194" s="321" t="s">
        <v>1856</v>
      </c>
    </row>
    <row r="195" spans="1:26" ht="16.399999999999999" hidden="1" customHeight="1">
      <c r="A195" s="29" t="str">
        <f t="shared" si="2"/>
        <v>lt003_entitytxnmy_elgbl_trnvr_b</v>
      </c>
      <c r="B195" s="141" t="s">
        <v>26</v>
      </c>
      <c r="C195" s="137" t="s">
        <v>26</v>
      </c>
      <c r="D195" s="133" t="s">
        <v>40</v>
      </c>
      <c r="E195" s="136" t="s">
        <v>335</v>
      </c>
      <c r="F195" s="475" t="s">
        <v>2201</v>
      </c>
      <c r="G195" s="135" t="str">
        <f>VLOOKUP(A195,Plano_V3!$A$26:$G$768,7,0)</f>
        <v>1. Concluído</v>
      </c>
      <c r="H195" s="135" t="s">
        <v>612</v>
      </c>
      <c r="I195" s="468"/>
      <c r="J195" s="356" t="s">
        <v>2243</v>
      </c>
      <c r="K195" s="142" t="s">
        <v>2450</v>
      </c>
      <c r="L195" s="365">
        <v>45726</v>
      </c>
      <c r="M195" s="365">
        <v>45730</v>
      </c>
      <c r="N195" s="356" t="s">
        <v>2447</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2383</v>
      </c>
      <c r="W195" s="321" t="s">
        <v>2458</v>
      </c>
      <c r="X195" s="369" t="s">
        <v>2361</v>
      </c>
      <c r="Y195" s="369" t="s">
        <v>2322</v>
      </c>
      <c r="Z195" s="321" t="s">
        <v>1856</v>
      </c>
    </row>
    <row r="196" spans="1:26" ht="16.399999999999999" hidden="1" customHeight="1">
      <c r="A196" s="29" t="str">
        <f t="shared" si="2"/>
        <v>lt003_entitytxnmy_elgbl_capex_ce</v>
      </c>
      <c r="B196" s="141" t="s">
        <v>26</v>
      </c>
      <c r="C196" s="137" t="s">
        <v>26</v>
      </c>
      <c r="D196" s="133" t="s">
        <v>40</v>
      </c>
      <c r="E196" s="136" t="s">
        <v>335</v>
      </c>
      <c r="F196" s="475" t="s">
        <v>2202</v>
      </c>
      <c r="G196" s="135" t="str">
        <f>VLOOKUP(A196,Plano_V3!$A$26:$G$768,7,0)</f>
        <v>1. Concluído</v>
      </c>
      <c r="H196" s="135" t="s">
        <v>612</v>
      </c>
      <c r="I196" s="468"/>
      <c r="J196" s="356" t="s">
        <v>2243</v>
      </c>
      <c r="K196" s="142" t="s">
        <v>2450</v>
      </c>
      <c r="L196" s="365">
        <v>45726</v>
      </c>
      <c r="M196" s="365">
        <v>45730</v>
      </c>
      <c r="N196" s="356" t="s">
        <v>2447</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2383</v>
      </c>
      <c r="W196" s="321" t="s">
        <v>2458</v>
      </c>
      <c r="X196" s="369" t="s">
        <v>2361</v>
      </c>
      <c r="Y196" s="369" t="s">
        <v>2322</v>
      </c>
      <c r="Z196" s="321" t="s">
        <v>1856</v>
      </c>
    </row>
    <row r="197" spans="1:26" ht="16.399999999999999" hidden="1" customHeight="1">
      <c r="A197" s="29" t="str">
        <f t="shared" si="2"/>
        <v>lt003_entitytxnmy_elgbl_trnvr_ce</v>
      </c>
      <c r="B197" s="141" t="s">
        <v>26</v>
      </c>
      <c r="C197" s="137" t="s">
        <v>26</v>
      </c>
      <c r="D197" s="133" t="s">
        <v>40</v>
      </c>
      <c r="E197" s="136" t="s">
        <v>335</v>
      </c>
      <c r="F197" s="475" t="s">
        <v>2203</v>
      </c>
      <c r="G197" s="135" t="str">
        <f>VLOOKUP(A197,Plano_V3!$A$26:$G$768,7,0)</f>
        <v>1. Concluído</v>
      </c>
      <c r="H197" s="135" t="s">
        <v>612</v>
      </c>
      <c r="I197" s="468"/>
      <c r="J197" s="356" t="s">
        <v>2243</v>
      </c>
      <c r="K197" s="142" t="s">
        <v>2450</v>
      </c>
      <c r="L197" s="365">
        <v>45726</v>
      </c>
      <c r="M197" s="365">
        <v>45730</v>
      </c>
      <c r="N197" s="356" t="s">
        <v>2447</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2383</v>
      </c>
      <c r="W197" s="321" t="s">
        <v>2458</v>
      </c>
      <c r="X197" s="369" t="s">
        <v>2361</v>
      </c>
      <c r="Y197" s="369" t="s">
        <v>2322</v>
      </c>
      <c r="Z197" s="321" t="s">
        <v>1856</v>
      </c>
    </row>
    <row r="198" spans="1:26" ht="16.399999999999999" hidden="1" customHeight="1">
      <c r="A198" s="29" t="str">
        <f t="shared" si="2"/>
        <v>lt003_entitypure_capex_p</v>
      </c>
      <c r="B198" s="141" t="s">
        <v>26</v>
      </c>
      <c r="C198" s="137" t="s">
        <v>26</v>
      </c>
      <c r="D198" s="133" t="s">
        <v>40</v>
      </c>
      <c r="E198" s="136" t="s">
        <v>335</v>
      </c>
      <c r="F198" s="475" t="s">
        <v>2204</v>
      </c>
      <c r="G198" s="135" t="str">
        <f>VLOOKUP(A198,Plano_V3!$A$26:$G$768,7,0)</f>
        <v>1. Concluído</v>
      </c>
      <c r="H198" s="135" t="s">
        <v>612</v>
      </c>
      <c r="I198" s="468"/>
      <c r="J198" s="356" t="s">
        <v>2243</v>
      </c>
      <c r="K198" s="142" t="s">
        <v>2450</v>
      </c>
      <c r="L198" s="365">
        <v>45726</v>
      </c>
      <c r="M198" s="365">
        <v>45730</v>
      </c>
      <c r="N198" s="356" t="s">
        <v>2447</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2383</v>
      </c>
      <c r="W198" s="321" t="s">
        <v>2458</v>
      </c>
      <c r="X198" s="369" t="s">
        <v>2361</v>
      </c>
      <c r="Y198" s="369" t="s">
        <v>2322</v>
      </c>
      <c r="Z198" s="321" t="s">
        <v>1856</v>
      </c>
    </row>
    <row r="199" spans="1:26" ht="16.399999999999999" hidden="1" customHeight="1">
      <c r="A199" s="29" t="str">
        <f t="shared" si="2"/>
        <v>lt003_entitypure_trnvr_p</v>
      </c>
      <c r="B199" s="141" t="s">
        <v>26</v>
      </c>
      <c r="C199" s="137" t="s">
        <v>26</v>
      </c>
      <c r="D199" s="133" t="s">
        <v>40</v>
      </c>
      <c r="E199" s="136" t="s">
        <v>335</v>
      </c>
      <c r="F199" s="475" t="s">
        <v>2205</v>
      </c>
      <c r="G199" s="135" t="str">
        <f>VLOOKUP(A199,Plano_V3!$A$26:$G$768,7,0)</f>
        <v>1. Concluído</v>
      </c>
      <c r="H199" s="135" t="s">
        <v>612</v>
      </c>
      <c r="I199" s="468"/>
      <c r="J199" s="356" t="s">
        <v>2243</v>
      </c>
      <c r="K199" s="142" t="s">
        <v>2450</v>
      </c>
      <c r="L199" s="365">
        <v>45726</v>
      </c>
      <c r="M199" s="365">
        <v>45730</v>
      </c>
      <c r="N199" s="356" t="s">
        <v>2447</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2383</v>
      </c>
      <c r="W199" s="321" t="s">
        <v>2458</v>
      </c>
      <c r="X199" s="369" t="s">
        <v>2361</v>
      </c>
      <c r="Y199" s="369" t="s">
        <v>2322</v>
      </c>
      <c r="Z199" s="321" t="s">
        <v>1856</v>
      </c>
    </row>
    <row r="200" spans="1:26" ht="16.399999999999999" hidden="1" customHeight="1">
      <c r="A200" s="29" t="str">
        <f t="shared" si="2"/>
        <v>lt003_entitypure_capex_b</v>
      </c>
      <c r="B200" s="141" t="s">
        <v>26</v>
      </c>
      <c r="C200" s="137" t="s">
        <v>26</v>
      </c>
      <c r="D200" s="133" t="s">
        <v>40</v>
      </c>
      <c r="E200" s="136" t="s">
        <v>335</v>
      </c>
      <c r="F200" s="475" t="s">
        <v>2206</v>
      </c>
      <c r="G200" s="135" t="str">
        <f>VLOOKUP(A200,Plano_V3!$A$26:$G$768,7,0)</f>
        <v>1. Concluído</v>
      </c>
      <c r="H200" s="135" t="s">
        <v>612</v>
      </c>
      <c r="I200" s="468"/>
      <c r="J200" s="356" t="s">
        <v>2243</v>
      </c>
      <c r="K200" s="142" t="s">
        <v>2450</v>
      </c>
      <c r="L200" s="365">
        <v>45726</v>
      </c>
      <c r="M200" s="365">
        <v>45730</v>
      </c>
      <c r="N200" s="356" t="s">
        <v>2447</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2383</v>
      </c>
      <c r="W200" s="321" t="s">
        <v>2458</v>
      </c>
      <c r="X200" s="369" t="s">
        <v>2361</v>
      </c>
      <c r="Y200" s="369" t="s">
        <v>2322</v>
      </c>
      <c r="Z200" s="321" t="s">
        <v>1856</v>
      </c>
    </row>
    <row r="201" spans="1:26" ht="16.399999999999999" hidden="1" customHeight="1">
      <c r="A201" s="29" t="str">
        <f t="shared" ref="A201:A266" si="3">E201&amp;F201</f>
        <v>lt003_entitypure_trnvr_b</v>
      </c>
      <c r="B201" s="141" t="s">
        <v>26</v>
      </c>
      <c r="C201" s="137" t="s">
        <v>26</v>
      </c>
      <c r="D201" s="133" t="s">
        <v>40</v>
      </c>
      <c r="E201" s="136" t="s">
        <v>335</v>
      </c>
      <c r="F201" s="475" t="s">
        <v>2207</v>
      </c>
      <c r="G201" s="135" t="str">
        <f>VLOOKUP(A201,Plano_V3!$A$26:$G$768,7,0)</f>
        <v>1. Concluído</v>
      </c>
      <c r="H201" s="135" t="s">
        <v>612</v>
      </c>
      <c r="I201" s="468"/>
      <c r="J201" s="356" t="s">
        <v>2243</v>
      </c>
      <c r="K201" s="142" t="s">
        <v>2450</v>
      </c>
      <c r="L201" s="365">
        <v>45726</v>
      </c>
      <c r="M201" s="365">
        <v>45730</v>
      </c>
      <c r="N201" s="356" t="s">
        <v>2447</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2383</v>
      </c>
      <c r="W201" s="321" t="s">
        <v>2458</v>
      </c>
      <c r="X201" s="369" t="s">
        <v>2361</v>
      </c>
      <c r="Y201" s="369" t="s">
        <v>2322</v>
      </c>
      <c r="Z201" s="321" t="s">
        <v>1856</v>
      </c>
    </row>
    <row r="202" spans="1:26" ht="16.399999999999999" hidden="1" customHeight="1">
      <c r="A202" s="29" t="str">
        <f t="shared" si="3"/>
        <v>lt003_entitypure_capex_w</v>
      </c>
      <c r="B202" s="141" t="s">
        <v>26</v>
      </c>
      <c r="C202" s="137" t="s">
        <v>26</v>
      </c>
      <c r="D202" s="133" t="s">
        <v>40</v>
      </c>
      <c r="E202" s="136" t="s">
        <v>335</v>
      </c>
      <c r="F202" s="475" t="s">
        <v>2208</v>
      </c>
      <c r="G202" s="135" t="str">
        <f>VLOOKUP(A202,Plano_V3!$A$26:$G$768,7,0)</f>
        <v>1. Concluído</v>
      </c>
      <c r="H202" s="135" t="s">
        <v>612</v>
      </c>
      <c r="I202" s="468"/>
      <c r="J202" s="356" t="s">
        <v>2243</v>
      </c>
      <c r="K202" s="142" t="s">
        <v>2450</v>
      </c>
      <c r="L202" s="365">
        <v>45726</v>
      </c>
      <c r="M202" s="365">
        <v>45730</v>
      </c>
      <c r="N202" s="356" t="s">
        <v>2447</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2383</v>
      </c>
      <c r="W202" s="321" t="s">
        <v>2458</v>
      </c>
      <c r="X202" s="369" t="s">
        <v>2361</v>
      </c>
      <c r="Y202" s="369" t="s">
        <v>2322</v>
      </c>
      <c r="Z202" s="321" t="s">
        <v>1856</v>
      </c>
    </row>
    <row r="203" spans="1:26" ht="16.399999999999999" hidden="1" customHeight="1">
      <c r="A203" s="29" t="str">
        <f t="shared" si="3"/>
        <v>lt003_entitypure_trnvr_w</v>
      </c>
      <c r="B203" s="141" t="s">
        <v>26</v>
      </c>
      <c r="C203" s="137" t="s">
        <v>26</v>
      </c>
      <c r="D203" s="133" t="s">
        <v>40</v>
      </c>
      <c r="E203" s="136" t="s">
        <v>335</v>
      </c>
      <c r="F203" s="475" t="s">
        <v>2209</v>
      </c>
      <c r="G203" s="135" t="str">
        <f>VLOOKUP(A203,Plano_V3!$A$26:$G$768,7,0)</f>
        <v>1. Concluído</v>
      </c>
      <c r="H203" s="135" t="s">
        <v>612</v>
      </c>
      <c r="I203" s="468"/>
      <c r="J203" s="356" t="s">
        <v>2243</v>
      </c>
      <c r="K203" s="142" t="s">
        <v>2450</v>
      </c>
      <c r="L203" s="365">
        <v>45726</v>
      </c>
      <c r="M203" s="365">
        <v>45730</v>
      </c>
      <c r="N203" s="356" t="s">
        <v>2447</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2383</v>
      </c>
      <c r="W203" s="321" t="s">
        <v>2458</v>
      </c>
      <c r="X203" s="369" t="s">
        <v>2361</v>
      </c>
      <c r="Y203" s="369" t="s">
        <v>2322</v>
      </c>
      <c r="Z203" s="321" t="s">
        <v>1856</v>
      </c>
    </row>
    <row r="204" spans="1:26" ht="16.399999999999999" hidden="1" customHeight="1">
      <c r="A204" s="29" t="str">
        <f t="shared" si="3"/>
        <v>lt003_entitypure_capex_ce</v>
      </c>
      <c r="B204" s="141" t="s">
        <v>26</v>
      </c>
      <c r="C204" s="137" t="s">
        <v>26</v>
      </c>
      <c r="D204" s="133" t="s">
        <v>40</v>
      </c>
      <c r="E204" s="136" t="s">
        <v>335</v>
      </c>
      <c r="F204" s="475" t="s">
        <v>2210</v>
      </c>
      <c r="G204" s="135" t="str">
        <f>VLOOKUP(A204,Plano_V3!$A$26:$G$768,7,0)</f>
        <v>1. Concluído</v>
      </c>
      <c r="H204" s="135" t="s">
        <v>612</v>
      </c>
      <c r="I204" s="468"/>
      <c r="J204" s="356" t="s">
        <v>2243</v>
      </c>
      <c r="K204" s="142" t="s">
        <v>2450</v>
      </c>
      <c r="L204" s="365">
        <v>45726</v>
      </c>
      <c r="M204" s="365">
        <v>45730</v>
      </c>
      <c r="N204" s="356" t="s">
        <v>2447</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2383</v>
      </c>
      <c r="W204" s="321" t="s">
        <v>2458</v>
      </c>
      <c r="X204" s="369" t="s">
        <v>2361</v>
      </c>
      <c r="Y204" s="369" t="s">
        <v>2322</v>
      </c>
      <c r="Z204" s="321" t="s">
        <v>1856</v>
      </c>
    </row>
    <row r="205" spans="1:26" ht="16.399999999999999" hidden="1" customHeight="1">
      <c r="A205" s="29" t="str">
        <f t="shared" si="3"/>
        <v>lt003_entitypure_trnvr_ce</v>
      </c>
      <c r="B205" s="141" t="s">
        <v>26</v>
      </c>
      <c r="C205" s="137" t="s">
        <v>26</v>
      </c>
      <c r="D205" s="133" t="s">
        <v>40</v>
      </c>
      <c r="E205" s="136" t="s">
        <v>335</v>
      </c>
      <c r="F205" s="475" t="s">
        <v>2211</v>
      </c>
      <c r="G205" s="135" t="str">
        <f>VLOOKUP(A205,Plano_V3!$A$26:$G$768,7,0)</f>
        <v>1. Concluído</v>
      </c>
      <c r="H205" s="135" t="s">
        <v>612</v>
      </c>
      <c r="I205" s="468"/>
      <c r="J205" s="356" t="s">
        <v>2243</v>
      </c>
      <c r="K205" s="142" t="s">
        <v>2450</v>
      </c>
      <c r="L205" s="365">
        <v>45726</v>
      </c>
      <c r="M205" s="365">
        <v>45730</v>
      </c>
      <c r="N205" s="356" t="s">
        <v>2447</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2383</v>
      </c>
      <c r="W205" s="321" t="s">
        <v>2458</v>
      </c>
      <c r="X205" s="369" t="s">
        <v>2361</v>
      </c>
      <c r="Y205" s="369" t="s">
        <v>2322</v>
      </c>
      <c r="Z205" s="321" t="s">
        <v>1856</v>
      </c>
    </row>
    <row r="206" spans="1:26" ht="16.399999999999999" hidden="1" customHeight="1">
      <c r="A206" s="29" t="str">
        <f t="shared" si="3"/>
        <v>lt003_entityenblng_capex_w</v>
      </c>
      <c r="B206" s="141" t="s">
        <v>26</v>
      </c>
      <c r="C206" s="137" t="s">
        <v>26</v>
      </c>
      <c r="D206" s="133" t="s">
        <v>40</v>
      </c>
      <c r="E206" s="136" t="s">
        <v>335</v>
      </c>
      <c r="F206" s="475" t="s">
        <v>2212</v>
      </c>
      <c r="G206" s="135" t="str">
        <f>VLOOKUP(A206,Plano_V3!$A$26:$G$768,7,0)</f>
        <v>1. Concluído</v>
      </c>
      <c r="H206" s="135" t="s">
        <v>612</v>
      </c>
      <c r="I206" s="468"/>
      <c r="J206" s="356" t="s">
        <v>2243</v>
      </c>
      <c r="K206" s="142" t="s">
        <v>2450</v>
      </c>
      <c r="L206" s="365">
        <v>45726</v>
      </c>
      <c r="M206" s="365">
        <v>45730</v>
      </c>
      <c r="N206" s="356" t="s">
        <v>2447</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2383</v>
      </c>
      <c r="W206" s="321" t="s">
        <v>2458</v>
      </c>
      <c r="X206" s="369" t="s">
        <v>2361</v>
      </c>
      <c r="Y206" s="369" t="s">
        <v>2322</v>
      </c>
      <c r="Z206" s="321" t="s">
        <v>1856</v>
      </c>
    </row>
    <row r="207" spans="1:26" ht="16.399999999999999" hidden="1" customHeight="1">
      <c r="A207" s="29" t="str">
        <f t="shared" si="3"/>
        <v>lt003_entityenblng_trnvr_w</v>
      </c>
      <c r="B207" s="141" t="s">
        <v>26</v>
      </c>
      <c r="C207" s="137" t="s">
        <v>26</v>
      </c>
      <c r="D207" s="133" t="s">
        <v>40</v>
      </c>
      <c r="E207" s="136" t="s">
        <v>335</v>
      </c>
      <c r="F207" s="475" t="s">
        <v>2213</v>
      </c>
      <c r="G207" s="135" t="str">
        <f>VLOOKUP(A207,Plano_V3!$A$26:$G$768,7,0)</f>
        <v>1. Concluído</v>
      </c>
      <c r="H207" s="135" t="s">
        <v>612</v>
      </c>
      <c r="I207" s="468"/>
      <c r="J207" s="356" t="s">
        <v>2243</v>
      </c>
      <c r="K207" s="142" t="s">
        <v>2450</v>
      </c>
      <c r="L207" s="365">
        <v>45726</v>
      </c>
      <c r="M207" s="365">
        <v>45730</v>
      </c>
      <c r="N207" s="356" t="s">
        <v>2447</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2383</v>
      </c>
      <c r="W207" s="321" t="s">
        <v>2458</v>
      </c>
      <c r="X207" s="369" t="s">
        <v>2361</v>
      </c>
      <c r="Y207" s="369" t="s">
        <v>2322</v>
      </c>
      <c r="Z207" s="321" t="s">
        <v>1856</v>
      </c>
    </row>
    <row r="208" spans="1:26" ht="16.399999999999999" hidden="1" customHeight="1">
      <c r="A208" s="29" t="str">
        <f t="shared" si="3"/>
        <v>lt003_entityenblng_capex_ce</v>
      </c>
      <c r="B208" s="141" t="s">
        <v>26</v>
      </c>
      <c r="C208" s="137" t="s">
        <v>26</v>
      </c>
      <c r="D208" s="133" t="s">
        <v>40</v>
      </c>
      <c r="E208" s="136" t="s">
        <v>335</v>
      </c>
      <c r="F208" s="475" t="s">
        <v>2214</v>
      </c>
      <c r="G208" s="135" t="str">
        <f>VLOOKUP(A208,Plano_V3!$A$26:$G$768,7,0)</f>
        <v>1. Concluído</v>
      </c>
      <c r="H208" s="135" t="s">
        <v>612</v>
      </c>
      <c r="I208" s="468"/>
      <c r="J208" s="356" t="s">
        <v>2243</v>
      </c>
      <c r="K208" s="142" t="s">
        <v>2450</v>
      </c>
      <c r="L208" s="365">
        <v>45726</v>
      </c>
      <c r="M208" s="365">
        <v>45730</v>
      </c>
      <c r="N208" s="356" t="s">
        <v>2447</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2383</v>
      </c>
      <c r="W208" s="321" t="s">
        <v>2458</v>
      </c>
      <c r="X208" s="369" t="s">
        <v>2361</v>
      </c>
      <c r="Y208" s="369" t="s">
        <v>2322</v>
      </c>
      <c r="Z208" s="321" t="s">
        <v>1856</v>
      </c>
    </row>
    <row r="209" spans="1:26" ht="16.399999999999999" hidden="1" customHeight="1">
      <c r="A209" s="29" t="str">
        <f t="shared" si="3"/>
        <v>lt003_entityenblng_trnvr_ce</v>
      </c>
      <c r="B209" s="141" t="s">
        <v>26</v>
      </c>
      <c r="C209" s="137" t="s">
        <v>26</v>
      </c>
      <c r="D209" s="133" t="s">
        <v>40</v>
      </c>
      <c r="E209" s="136" t="s">
        <v>335</v>
      </c>
      <c r="F209" s="475" t="s">
        <v>2215</v>
      </c>
      <c r="G209" s="135" t="str">
        <f>VLOOKUP(A209,Plano_V3!$A$26:$G$768,7,0)</f>
        <v>1. Concluído</v>
      </c>
      <c r="H209" s="135" t="s">
        <v>612</v>
      </c>
      <c r="I209" s="468"/>
      <c r="J209" s="356" t="s">
        <v>2243</v>
      </c>
      <c r="K209" s="142" t="s">
        <v>2450</v>
      </c>
      <c r="L209" s="365">
        <v>45726</v>
      </c>
      <c r="M209" s="365">
        <v>45730</v>
      </c>
      <c r="N209" s="356" t="s">
        <v>2447</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2383</v>
      </c>
      <c r="W209" s="321" t="s">
        <v>2458</v>
      </c>
      <c r="X209" s="369" t="s">
        <v>2361</v>
      </c>
      <c r="Y209" s="369" t="s">
        <v>2322</v>
      </c>
      <c r="Z209" s="321" t="s">
        <v>1856</v>
      </c>
    </row>
    <row r="210" spans="1:26" ht="16.399999999999999" hidden="1" customHeight="1">
      <c r="A210" s="29" t="str">
        <f t="shared" si="3"/>
        <v>lt004_protectionTYP_EMSSNS_LBL</v>
      </c>
      <c r="B210" s="141" t="s">
        <v>26</v>
      </c>
      <c r="C210" s="137" t="s">
        <v>26</v>
      </c>
      <c r="D210" s="133" t="s">
        <v>40</v>
      </c>
      <c r="E210" s="136" t="s">
        <v>368</v>
      </c>
      <c r="F210" s="475" t="s">
        <v>2247</v>
      </c>
      <c r="G210" s="135" t="str">
        <f>VLOOKUP(A210,Plano_V3!$A$26:$G$768,7,0)</f>
        <v>1. Concluído</v>
      </c>
      <c r="H210" s="135" t="s">
        <v>612</v>
      </c>
      <c r="I210" s="468"/>
      <c r="J210" s="356" t="s">
        <v>2307</v>
      </c>
      <c r="K210" s="142" t="s">
        <v>2450</v>
      </c>
      <c r="L210" s="365">
        <v>45726</v>
      </c>
      <c r="M210" s="365">
        <v>45730</v>
      </c>
      <c r="N210" s="356" t="s">
        <v>2447</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2396</v>
      </c>
      <c r="W210" s="321" t="s">
        <v>2458</v>
      </c>
      <c r="X210" s="369" t="s">
        <v>2361</v>
      </c>
      <c r="Y210" s="369" t="s">
        <v>2322</v>
      </c>
      <c r="Z210" s="321" t="s">
        <v>1856</v>
      </c>
    </row>
    <row r="211" spans="1:26" ht="16.399999999999999" hidden="1" customHeight="1">
      <c r="A211" s="29" t="str">
        <f t="shared" si="3"/>
        <v>lt004_protectionVHCL_EMSSNS_LBL</v>
      </c>
      <c r="B211" s="141" t="s">
        <v>26</v>
      </c>
      <c r="C211" s="137" t="s">
        <v>26</v>
      </c>
      <c r="D211" s="133" t="s">
        <v>40</v>
      </c>
      <c r="E211" s="136" t="s">
        <v>368</v>
      </c>
      <c r="F211" s="475" t="s">
        <v>2249</v>
      </c>
      <c r="G211" s="135" t="str">
        <f>VLOOKUP(A211,Plano_V3!$A$26:$G$768,7,0)</f>
        <v>1. Concluído</v>
      </c>
      <c r="H211" s="135" t="s">
        <v>612</v>
      </c>
      <c r="I211" s="468"/>
      <c r="J211" s="356" t="s">
        <v>2307</v>
      </c>
      <c r="K211" s="142" t="s">
        <v>2450</v>
      </c>
      <c r="L211" s="365">
        <v>45726</v>
      </c>
      <c r="M211" s="365">
        <v>45730</v>
      </c>
      <c r="N211" s="356" t="s">
        <v>2447</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2396</v>
      </c>
      <c r="W211" s="321" t="s">
        <v>2458</v>
      </c>
      <c r="X211" s="369" t="s">
        <v>2361</v>
      </c>
      <c r="Y211" s="369" t="s">
        <v>2322</v>
      </c>
      <c r="Z211" s="321" t="s">
        <v>1856</v>
      </c>
    </row>
    <row r="212" spans="1:26" ht="16.399999999999999" hidden="1" customHeight="1">
      <c r="A212" s="29" t="str">
        <f t="shared" si="3"/>
        <v>lt004_protectionVHCL_EMSSNS_SCR</v>
      </c>
      <c r="B212" s="141" t="s">
        <v>26</v>
      </c>
      <c r="C212" s="137" t="s">
        <v>26</v>
      </c>
      <c r="D212" s="133" t="s">
        <v>40</v>
      </c>
      <c r="E212" s="136" t="s">
        <v>368</v>
      </c>
      <c r="F212" s="475" t="s">
        <v>2252</v>
      </c>
      <c r="G212" s="135" t="str">
        <f>VLOOKUP(A212,Plano_V3!$A$26:$G$768,7,0)</f>
        <v>1. Concluído</v>
      </c>
      <c r="H212" s="135" t="s">
        <v>612</v>
      </c>
      <c r="I212" s="468"/>
      <c r="J212" s="356" t="s">
        <v>2307</v>
      </c>
      <c r="K212" s="142" t="s">
        <v>2450</v>
      </c>
      <c r="L212" s="365">
        <v>45726</v>
      </c>
      <c r="M212" s="365">
        <v>45730</v>
      </c>
      <c r="N212" s="356" t="s">
        <v>2447</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2396</v>
      </c>
      <c r="W212" s="321" t="s">
        <v>2458</v>
      </c>
      <c r="X212" s="369" t="s">
        <v>2361</v>
      </c>
      <c r="Y212" s="369" t="s">
        <v>2322</v>
      </c>
      <c r="Z212" s="321" t="s">
        <v>1856</v>
      </c>
    </row>
    <row r="213" spans="1:26" ht="16.399999999999999" hidden="1" customHeight="1">
      <c r="A213" s="29" t="str">
        <f t="shared" si="3"/>
        <v>lt004_protectionINSRNC_ID</v>
      </c>
      <c r="B213" s="141" t="s">
        <v>26</v>
      </c>
      <c r="C213" s="137" t="s">
        <v>26</v>
      </c>
      <c r="D213" s="133" t="s">
        <v>40</v>
      </c>
      <c r="E213" s="136" t="s">
        <v>368</v>
      </c>
      <c r="F213" s="475" t="s">
        <v>2253</v>
      </c>
      <c r="G213" s="135" t="str">
        <f>VLOOKUP(A213,Plano_V3!$A$26:$G$768,7,0)</f>
        <v>1. Concluído</v>
      </c>
      <c r="H213" s="135" t="s">
        <v>612</v>
      </c>
      <c r="I213" s="468"/>
      <c r="J213" s="356" t="s">
        <v>2307</v>
      </c>
      <c r="K213" s="142" t="s">
        <v>2450</v>
      </c>
      <c r="L213" s="365">
        <v>45726</v>
      </c>
      <c r="M213" s="365">
        <v>45730</v>
      </c>
      <c r="N213" s="356" t="s">
        <v>2447</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2396</v>
      </c>
      <c r="W213" s="321" t="s">
        <v>2458</v>
      </c>
      <c r="X213" s="369" t="s">
        <v>2361</v>
      </c>
      <c r="Y213" s="369" t="s">
        <v>2322</v>
      </c>
      <c r="Z213" s="321" t="s">
        <v>1856</v>
      </c>
    </row>
    <row r="214" spans="1:26" ht="16.399999999999999" hidden="1" customHeight="1">
      <c r="A214" s="29" t="str">
        <f t="shared" si="3"/>
        <v>lt004_protectionTYP_HZRDS_INSRD</v>
      </c>
      <c r="B214" s="141" t="s">
        <v>26</v>
      </c>
      <c r="C214" s="137" t="s">
        <v>26</v>
      </c>
      <c r="D214" s="133" t="s">
        <v>40</v>
      </c>
      <c r="E214" s="136" t="s">
        <v>368</v>
      </c>
      <c r="F214" s="475" t="s">
        <v>2254</v>
      </c>
      <c r="G214" s="135" t="str">
        <f>VLOOKUP(A214,Plano_V3!$A$26:$G$768,7,0)</f>
        <v>1. Concluído</v>
      </c>
      <c r="H214" s="135" t="s">
        <v>612</v>
      </c>
      <c r="I214" s="468"/>
      <c r="J214" s="356" t="s">
        <v>2307</v>
      </c>
      <c r="K214" s="142" t="s">
        <v>2450</v>
      </c>
      <c r="L214" s="365">
        <v>45726</v>
      </c>
      <c r="M214" s="365">
        <v>45730</v>
      </c>
      <c r="N214" s="356" t="s">
        <v>2447</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2396</v>
      </c>
      <c r="W214" s="321" t="s">
        <v>2458</v>
      </c>
      <c r="X214" s="369" t="s">
        <v>2361</v>
      </c>
      <c r="Y214" s="369" t="s">
        <v>2322</v>
      </c>
      <c r="Z214" s="321" t="s">
        <v>1856</v>
      </c>
    </row>
    <row r="215" spans="1:26" ht="16.399999999999999" hidden="1" customHeight="1">
      <c r="A215" s="29" t="str">
        <f t="shared" si="3"/>
        <v>lt004_protectionAMNT_CVRD_INSRNC</v>
      </c>
      <c r="B215" s="141" t="s">
        <v>26</v>
      </c>
      <c r="C215" s="137" t="s">
        <v>26</v>
      </c>
      <c r="D215" s="133" t="s">
        <v>40</v>
      </c>
      <c r="E215" s="136" t="s">
        <v>368</v>
      </c>
      <c r="F215" s="475" t="s">
        <v>2255</v>
      </c>
      <c r="G215" s="135" t="str">
        <f>VLOOKUP(A215,Plano_V3!$A$26:$G$768,7,0)</f>
        <v>1. Concluído</v>
      </c>
      <c r="H215" s="135" t="s">
        <v>612</v>
      </c>
      <c r="I215" s="468"/>
      <c r="J215" s="356" t="s">
        <v>2307</v>
      </c>
      <c r="K215" s="142" t="s">
        <v>2450</v>
      </c>
      <c r="L215" s="365">
        <v>45726</v>
      </c>
      <c r="M215" s="365">
        <v>45730</v>
      </c>
      <c r="N215" s="356" t="s">
        <v>2447</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2396</v>
      </c>
      <c r="W215" s="321" t="s">
        <v>2458</v>
      </c>
      <c r="X215" s="369" t="s">
        <v>2361</v>
      </c>
      <c r="Y215" s="369" t="s">
        <v>2322</v>
      </c>
      <c r="Z215" s="321" t="s">
        <v>1856</v>
      </c>
    </row>
    <row r="216" spans="1:26" ht="16.399999999999999" hidden="1" customHeight="1">
      <c r="A216" s="29" t="str">
        <f t="shared" si="3"/>
        <v>lt004_protectionDT_MTRTY_INSRNC</v>
      </c>
      <c r="B216" s="141" t="s">
        <v>26</v>
      </c>
      <c r="C216" s="137" t="s">
        <v>26</v>
      </c>
      <c r="D216" s="133" t="s">
        <v>40</v>
      </c>
      <c r="E216" s="136" t="s">
        <v>368</v>
      </c>
      <c r="F216" s="475" t="s">
        <v>2256</v>
      </c>
      <c r="G216" s="135" t="str">
        <f>VLOOKUP(A216,Plano_V3!$A$26:$G$768,7,0)</f>
        <v>1. Concluído</v>
      </c>
      <c r="H216" s="135" t="s">
        <v>612</v>
      </c>
      <c r="I216" s="468"/>
      <c r="J216" s="356" t="s">
        <v>2307</v>
      </c>
      <c r="K216" s="142" t="s">
        <v>2450</v>
      </c>
      <c r="L216" s="365">
        <v>45726</v>
      </c>
      <c r="M216" s="365">
        <v>45730</v>
      </c>
      <c r="N216" s="356" t="s">
        <v>2447</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2396</v>
      </c>
      <c r="W216" s="321" t="s">
        <v>2458</v>
      </c>
      <c r="X216" s="369" t="s">
        <v>2361</v>
      </c>
      <c r="Y216" s="369" t="s">
        <v>2322</v>
      </c>
      <c r="Z216" s="321" t="s">
        <v>1856</v>
      </c>
    </row>
    <row r="217" spans="1:26" ht="16.399999999999999" hidden="1" customHeight="1">
      <c r="A217" s="29" t="str">
        <f t="shared" si="3"/>
        <v>lt004_protectionFLG_FRST_HM</v>
      </c>
      <c r="B217" s="141" t="s">
        <v>26</v>
      </c>
      <c r="C217" s="137" t="s">
        <v>26</v>
      </c>
      <c r="D217" s="133" t="s">
        <v>40</v>
      </c>
      <c r="E217" s="136" t="s">
        <v>368</v>
      </c>
      <c r="F217" s="475" t="s">
        <v>2257</v>
      </c>
      <c r="G217" s="135" t="str">
        <f>VLOOKUP(A217,Plano_V3!$A$26:$G$768,7,0)</f>
        <v>1. Concluído</v>
      </c>
      <c r="H217" s="135" t="s">
        <v>612</v>
      </c>
      <c r="I217" s="468"/>
      <c r="J217" s="356" t="s">
        <v>2307</v>
      </c>
      <c r="K217" s="142" t="s">
        <v>2450</v>
      </c>
      <c r="L217" s="365">
        <v>45726</v>
      </c>
      <c r="M217" s="365">
        <v>45730</v>
      </c>
      <c r="N217" s="356" t="s">
        <v>2447</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2396</v>
      </c>
      <c r="W217" s="321" t="s">
        <v>2458</v>
      </c>
      <c r="X217" s="369" t="s">
        <v>2361</v>
      </c>
      <c r="Y217" s="369" t="s">
        <v>2322</v>
      </c>
      <c r="Z217" s="321" t="s">
        <v>1856</v>
      </c>
    </row>
    <row r="218" spans="1:26" ht="16.399999999999999" hidden="1" customHeight="1">
      <c r="A218" s="29" t="str">
        <f>E218&amp;F218</f>
        <v>lt004_protectionRL_ESTT_CRTFCTN</v>
      </c>
      <c r="B218" s="141" t="s">
        <v>26</v>
      </c>
      <c r="C218" s="137" t="s">
        <v>26</v>
      </c>
      <c r="D218" s="133" t="s">
        <v>40</v>
      </c>
      <c r="E218" s="136" t="s">
        <v>368</v>
      </c>
      <c r="F218" s="475" t="s">
        <v>2260</v>
      </c>
      <c r="G218" s="135" t="str">
        <f>VLOOKUP(A218,Plano_V3!$A$26:$G$768,7,0)</f>
        <v>1. Concluído</v>
      </c>
      <c r="H218" s="135" t="s">
        <v>612</v>
      </c>
      <c r="I218" s="468"/>
      <c r="J218" s="356" t="s">
        <v>2307</v>
      </c>
      <c r="K218" s="142" t="s">
        <v>2450</v>
      </c>
      <c r="L218" s="365">
        <v>45726</v>
      </c>
      <c r="M218" s="365">
        <v>45730</v>
      </c>
      <c r="N218" s="356" t="s">
        <v>2447</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2393</v>
      </c>
      <c r="W218" s="321" t="s">
        <v>2458</v>
      </c>
      <c r="X218" s="369" t="s">
        <v>2361</v>
      </c>
      <c r="Y218" s="369" t="s">
        <v>2322</v>
      </c>
      <c r="Z218" s="321" t="s">
        <v>1856</v>
      </c>
    </row>
    <row r="219" spans="1:26" ht="16.399999999999999" hidden="1" customHeight="1">
      <c r="A219" s="29" t="str">
        <f>E219&amp;F219</f>
        <v>lt004_protectionDT_RGSTRTN</v>
      </c>
      <c r="B219" s="141" t="s">
        <v>26</v>
      </c>
      <c r="C219" s="137" t="s">
        <v>26</v>
      </c>
      <c r="D219" s="133" t="s">
        <v>40</v>
      </c>
      <c r="E219" s="136" t="s">
        <v>368</v>
      </c>
      <c r="F219" s="475" t="s">
        <v>2262</v>
      </c>
      <c r="G219" s="135" t="str">
        <f>VLOOKUP(A219,Plano_V3!$A$26:$G$768,7,0)</f>
        <v>1. Concluído</v>
      </c>
      <c r="H219" s="135" t="s">
        <v>612</v>
      </c>
      <c r="I219" s="468"/>
      <c r="J219" s="356" t="s">
        <v>2307</v>
      </c>
      <c r="K219" s="142" t="s">
        <v>2450</v>
      </c>
      <c r="L219" s="365">
        <v>45726</v>
      </c>
      <c r="M219" s="365">
        <v>45730</v>
      </c>
      <c r="N219" s="356" t="s">
        <v>2447</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2393</v>
      </c>
      <c r="W219" s="321" t="s">
        <v>2458</v>
      </c>
      <c r="X219" s="369" t="s">
        <v>2361</v>
      </c>
      <c r="Y219" s="369" t="s">
        <v>2322</v>
      </c>
      <c r="Z219" s="321" t="s">
        <v>1856</v>
      </c>
    </row>
    <row r="220" spans="1:26" ht="16.399999999999999" hidden="1" customHeight="1">
      <c r="A220" s="29" t="str">
        <f>E220&amp;F220</f>
        <v>lt004_protectionPRMRY_ENRGY_DMND_NN_RNWBL</v>
      </c>
      <c r="B220" s="141" t="s">
        <v>26</v>
      </c>
      <c r="C220" s="137" t="s">
        <v>26</v>
      </c>
      <c r="D220" s="133" t="s">
        <v>40</v>
      </c>
      <c r="E220" s="136" t="s">
        <v>368</v>
      </c>
      <c r="F220" s="475" t="s">
        <v>2263</v>
      </c>
      <c r="G220" s="135" t="str">
        <f>VLOOKUP(A220,Plano_V3!$A$26:$G$768,7,0)</f>
        <v>1. Concluído</v>
      </c>
      <c r="H220" s="135" t="s">
        <v>612</v>
      </c>
      <c r="I220" s="468"/>
      <c r="J220" s="356" t="s">
        <v>2240</v>
      </c>
      <c r="K220" s="142" t="s">
        <v>2450</v>
      </c>
      <c r="L220" s="365">
        <v>45726</v>
      </c>
      <c r="M220" s="365">
        <v>45730</v>
      </c>
      <c r="N220" s="356" t="s">
        <v>2447</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2393</v>
      </c>
      <c r="W220" s="321" t="s">
        <v>2458</v>
      </c>
      <c r="X220" s="369" t="s">
        <v>2361</v>
      </c>
      <c r="Y220" s="369" t="s">
        <v>2322</v>
      </c>
      <c r="Z220" s="321" t="s">
        <v>1857</v>
      </c>
    </row>
    <row r="221" spans="1:26" ht="16.399999999999999" hidden="1" customHeight="1">
      <c r="A221" s="29" t="str">
        <f t="shared" si="3"/>
        <v>lt002_instrumentgrss_intrst_incm</v>
      </c>
      <c r="B221" s="141" t="s">
        <v>26</v>
      </c>
      <c r="C221" s="137" t="s">
        <v>26</v>
      </c>
      <c r="D221" s="133" t="s">
        <v>40</v>
      </c>
      <c r="E221" s="136" t="s">
        <v>379</v>
      </c>
      <c r="F221" s="475" t="s">
        <v>420</v>
      </c>
      <c r="G221" s="135" t="str">
        <f>VLOOKUP(A221,Plano_V3!$A$26:$G$768,7,0)</f>
        <v xml:space="preserve">6. Em implementação </v>
      </c>
      <c r="H221" s="135" t="s">
        <v>2320</v>
      </c>
      <c r="I221" s="468"/>
      <c r="J221" s="356" t="s">
        <v>2423</v>
      </c>
      <c r="K221" s="356" t="s">
        <v>2436</v>
      </c>
      <c r="L221" s="365">
        <v>45793</v>
      </c>
      <c r="M221" s="365" t="s">
        <v>25</v>
      </c>
      <c r="N221" s="356" t="s">
        <v>2448</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2459</v>
      </c>
      <c r="X221" s="321"/>
      <c r="Y221" s="369" t="s">
        <v>2321</v>
      </c>
      <c r="Z221" s="320" t="s">
        <v>1857</v>
      </c>
    </row>
    <row r="222" spans="1:26" ht="16.399999999999999" hidden="1" customHeight="1">
      <c r="A222" s="29" t="str">
        <f t="shared" si="3"/>
        <v>lt002_instrumentgrss_cmmssn_incm</v>
      </c>
      <c r="B222" s="141" t="s">
        <v>26</v>
      </c>
      <c r="C222" s="137" t="s">
        <v>26</v>
      </c>
      <c r="D222" s="133" t="s">
        <v>40</v>
      </c>
      <c r="E222" s="136" t="s">
        <v>379</v>
      </c>
      <c r="F222" s="475" t="s">
        <v>421</v>
      </c>
      <c r="G222" s="135" t="str">
        <f>VLOOKUP(A222,Plano_V3!$A$26:$G$768,7,0)</f>
        <v xml:space="preserve">6. Em implementação </v>
      </c>
      <c r="H222" s="135" t="s">
        <v>2320</v>
      </c>
      <c r="I222" s="468"/>
      <c r="J222" s="356" t="s">
        <v>2423</v>
      </c>
      <c r="K222" s="356" t="s">
        <v>2436</v>
      </c>
      <c r="L222" s="365">
        <v>45793</v>
      </c>
      <c r="M222" s="365" t="s">
        <v>25</v>
      </c>
      <c r="N222" s="356" t="s">
        <v>2448</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2459</v>
      </c>
      <c r="X222" s="321"/>
      <c r="Y222" s="369" t="s">
        <v>2321</v>
      </c>
      <c r="Z222" s="320" t="s">
        <v>1857</v>
      </c>
    </row>
    <row r="223" spans="1:26" ht="16.399999999999999" hidden="1" customHeight="1">
      <c r="A223" s="29" t="str">
        <f t="shared" si="3"/>
        <v>lt002_instrumentgrss_cmmssn_incm_off_blnc</v>
      </c>
      <c r="B223" s="141" t="s">
        <v>26</v>
      </c>
      <c r="C223" s="137" t="s">
        <v>26</v>
      </c>
      <c r="D223" s="133" t="s">
        <v>40</v>
      </c>
      <c r="E223" s="136" t="s">
        <v>379</v>
      </c>
      <c r="F223" s="475" t="s">
        <v>422</v>
      </c>
      <c r="G223" s="135" t="str">
        <f>VLOOKUP(A223,Plano_V3!$A$26:$G$768,7,0)</f>
        <v xml:space="preserve">6. Em implementação </v>
      </c>
      <c r="H223" s="135" t="s">
        <v>2320</v>
      </c>
      <c r="I223" s="468"/>
      <c r="J223" s="356" t="s">
        <v>2423</v>
      </c>
      <c r="K223" s="356" t="s">
        <v>2436</v>
      </c>
      <c r="L223" s="365">
        <v>45793</v>
      </c>
      <c r="M223" s="365" t="s">
        <v>25</v>
      </c>
      <c r="N223" s="356" t="s">
        <v>2448</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2459</v>
      </c>
      <c r="X223" s="321"/>
      <c r="Y223" s="369" t="s">
        <v>2321</v>
      </c>
      <c r="Z223" s="320" t="s">
        <v>1857</v>
      </c>
    </row>
    <row r="224" spans="1:26" ht="16.399999999999999" hidden="1" customHeight="1">
      <c r="A224" s="29" t="str">
        <f t="shared" si="3"/>
        <v>lt002_instrumentFRBRNC_STTS_INSTRMNT</v>
      </c>
      <c r="B224" s="141" t="s">
        <v>26</v>
      </c>
      <c r="C224" s="137" t="s">
        <v>26</v>
      </c>
      <c r="D224" s="133" t="s">
        <v>40</v>
      </c>
      <c r="E224" s="136" t="s">
        <v>379</v>
      </c>
      <c r="F224" s="475" t="s">
        <v>2164</v>
      </c>
      <c r="G224" s="135" t="str">
        <f>VLOOKUP(A224,Plano_V3!$A$26:$G$768,7,0)</f>
        <v>1. Concluído</v>
      </c>
      <c r="H224" s="135" t="s">
        <v>612</v>
      </c>
      <c r="I224" s="468"/>
      <c r="J224" s="142" t="s">
        <v>2310</v>
      </c>
      <c r="K224" s="356" t="s">
        <v>2451</v>
      </c>
      <c r="L224" s="365">
        <v>45726</v>
      </c>
      <c r="M224" s="365">
        <v>45735</v>
      </c>
      <c r="N224" s="356" t="s">
        <v>2446</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2384</v>
      </c>
      <c r="W224" s="321" t="s">
        <v>2458</v>
      </c>
      <c r="X224" s="369" t="s">
        <v>2360</v>
      </c>
      <c r="Y224" s="369" t="s">
        <v>2322</v>
      </c>
      <c r="Z224" s="320" t="s">
        <v>1856</v>
      </c>
    </row>
    <row r="225" spans="1:26" ht="16.399999999999999" hidden="1" customHeight="1">
      <c r="A225" s="29" t="str">
        <f t="shared" si="3"/>
        <v>lt002_instrumentINTRNL_SGMNT</v>
      </c>
      <c r="B225" s="141" t="s">
        <v>26</v>
      </c>
      <c r="C225" s="137" t="s">
        <v>26</v>
      </c>
      <c r="D225" s="133" t="s">
        <v>40</v>
      </c>
      <c r="E225" s="136" t="s">
        <v>379</v>
      </c>
      <c r="F225" s="475" t="s">
        <v>2165</v>
      </c>
      <c r="G225" s="135" t="str">
        <f>VLOOKUP(A225,Plano_V3!$A$26:$G$768,7,0)</f>
        <v>1. Concluído</v>
      </c>
      <c r="H225" s="135" t="s">
        <v>612</v>
      </c>
      <c r="I225" s="468"/>
      <c r="J225" s="142" t="s">
        <v>2305</v>
      </c>
      <c r="K225" s="356" t="s">
        <v>2451</v>
      </c>
      <c r="L225" s="365">
        <v>45726</v>
      </c>
      <c r="M225" s="365">
        <v>45735</v>
      </c>
      <c r="N225" s="356" t="s">
        <v>2446</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2385</v>
      </c>
      <c r="W225" s="321" t="s">
        <v>2458</v>
      </c>
      <c r="X225" s="369" t="s">
        <v>2360</v>
      </c>
      <c r="Y225" s="369" t="s">
        <v>2322</v>
      </c>
      <c r="Z225" s="320" t="s">
        <v>1857</v>
      </c>
    </row>
    <row r="226" spans="1:26" ht="16.399999999999999" hidden="1" customHeight="1">
      <c r="A226" s="29" t="str">
        <f t="shared" si="3"/>
        <v>lt002_instrumentDT_ORGNL_MTRTY</v>
      </c>
      <c r="B226" s="141" t="s">
        <v>26</v>
      </c>
      <c r="C226" s="137" t="s">
        <v>26</v>
      </c>
      <c r="D226" s="133" t="s">
        <v>40</v>
      </c>
      <c r="E226" s="136" t="s">
        <v>379</v>
      </c>
      <c r="F226" s="475" t="s">
        <v>2166</v>
      </c>
      <c r="G226" s="135" t="str">
        <f>VLOOKUP(A226,Plano_V3!$A$26:$G$768,7,0)</f>
        <v>1. Concluído</v>
      </c>
      <c r="H226" s="135" t="s">
        <v>612</v>
      </c>
      <c r="I226" s="468"/>
      <c r="J226" s="142" t="s">
        <v>2305</v>
      </c>
      <c r="K226" s="356" t="s">
        <v>2451</v>
      </c>
      <c r="L226" s="365">
        <v>45726</v>
      </c>
      <c r="M226" s="365">
        <v>45735</v>
      </c>
      <c r="N226" s="356" t="s">
        <v>2446</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2386</v>
      </c>
      <c r="W226" s="321" t="s">
        <v>2458</v>
      </c>
      <c r="X226" s="369" t="s">
        <v>2360</v>
      </c>
      <c r="Y226" s="369" t="s">
        <v>2322</v>
      </c>
      <c r="Z226" s="320" t="s">
        <v>1857</v>
      </c>
    </row>
    <row r="227" spans="1:26" ht="16.399999999999999" hidden="1" customHeight="1">
      <c r="A227" s="29" t="str">
        <f t="shared" si="3"/>
        <v>lt002_instrumentEAD</v>
      </c>
      <c r="B227" s="141" t="s">
        <v>26</v>
      </c>
      <c r="C227" s="137" t="s">
        <v>26</v>
      </c>
      <c r="D227" s="133" t="s">
        <v>40</v>
      </c>
      <c r="E227" s="136" t="s">
        <v>379</v>
      </c>
      <c r="F227" s="475" t="s">
        <v>2167</v>
      </c>
      <c r="G227" s="135" t="str">
        <f>VLOOKUP(A227,Plano_V3!$A$26:$G$768,7,0)</f>
        <v>1. Concluído</v>
      </c>
      <c r="H227" s="135" t="s">
        <v>612</v>
      </c>
      <c r="I227" s="468"/>
      <c r="J227" s="142" t="s">
        <v>2305</v>
      </c>
      <c r="K227" s="356" t="s">
        <v>2451</v>
      </c>
      <c r="L227" s="365">
        <v>45726</v>
      </c>
      <c r="M227" s="365">
        <v>45735</v>
      </c>
      <c r="N227" s="356" t="s">
        <v>2446</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2387</v>
      </c>
      <c r="W227" s="321" t="s">
        <v>2458</v>
      </c>
      <c r="X227" s="369" t="s">
        <v>2360</v>
      </c>
      <c r="Y227" s="369" t="s">
        <v>2322</v>
      </c>
      <c r="Z227" s="320" t="s">
        <v>1857</v>
      </c>
    </row>
    <row r="228" spans="1:26" ht="16.399999999999999" hidden="1" customHeight="1">
      <c r="A228" s="29" t="str">
        <f t="shared" si="3"/>
        <v>lt002_instrumentRWA</v>
      </c>
      <c r="B228" s="141" t="s">
        <v>26</v>
      </c>
      <c r="C228" s="137" t="s">
        <v>26</v>
      </c>
      <c r="D228" s="133" t="s">
        <v>40</v>
      </c>
      <c r="E228" s="136" t="s">
        <v>379</v>
      </c>
      <c r="F228" s="475" t="s">
        <v>1418</v>
      </c>
      <c r="G228" s="135" t="str">
        <f>VLOOKUP(A228,Plano_V3!$A$26:$G$768,7,0)</f>
        <v>1. Concluído</v>
      </c>
      <c r="H228" s="135" t="s">
        <v>612</v>
      </c>
      <c r="I228" s="468"/>
      <c r="J228" s="142" t="s">
        <v>2305</v>
      </c>
      <c r="K228" s="356" t="s">
        <v>2451</v>
      </c>
      <c r="L228" s="365">
        <v>45726</v>
      </c>
      <c r="M228" s="365">
        <v>45735</v>
      </c>
      <c r="N228" s="356" t="s">
        <v>2446</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2389</v>
      </c>
      <c r="W228" s="321" t="s">
        <v>2458</v>
      </c>
      <c r="X228" s="369" t="s">
        <v>2360</v>
      </c>
      <c r="Y228" s="369" t="s">
        <v>2322</v>
      </c>
      <c r="Z228" s="320" t="s">
        <v>1857</v>
      </c>
    </row>
    <row r="229" spans="1:26" ht="16.399999999999999" hidden="1" customHeight="1">
      <c r="A229" s="29" t="str">
        <f t="shared" si="3"/>
        <v>lt002_instrumentLTV</v>
      </c>
      <c r="B229" s="141" t="s">
        <v>26</v>
      </c>
      <c r="C229" s="137" t="s">
        <v>26</v>
      </c>
      <c r="D229" s="133" t="s">
        <v>40</v>
      </c>
      <c r="E229" s="136" t="s">
        <v>379</v>
      </c>
      <c r="F229" s="475" t="s">
        <v>2168</v>
      </c>
      <c r="G229" s="135" t="str">
        <f>VLOOKUP(A229,Plano_V3!$A$26:$G$768,7,0)</f>
        <v>1. Concluído</v>
      </c>
      <c r="H229" s="135" t="s">
        <v>612</v>
      </c>
      <c r="I229" s="468"/>
      <c r="J229" s="142" t="s">
        <v>2305</v>
      </c>
      <c r="K229" s="356" t="s">
        <v>2451</v>
      </c>
      <c r="L229" s="365">
        <v>45726</v>
      </c>
      <c r="M229" s="365">
        <v>45735</v>
      </c>
      <c r="N229" s="356" t="s">
        <v>2446</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2390</v>
      </c>
      <c r="W229" s="321" t="s">
        <v>2458</v>
      </c>
      <c r="X229" s="369" t="s">
        <v>2360</v>
      </c>
      <c r="Y229" s="369" t="s">
        <v>2322</v>
      </c>
      <c r="Z229" s="320" t="s">
        <v>1857</v>
      </c>
    </row>
    <row r="230" spans="1:26" ht="16.399999999999999" hidden="1" customHeight="1">
      <c r="A230" s="29" t="str">
        <f t="shared" si="3"/>
        <v>lt002_instrumentLTV_INCPTN</v>
      </c>
      <c r="B230" s="141" t="s">
        <v>26</v>
      </c>
      <c r="C230" s="137" t="s">
        <v>26</v>
      </c>
      <c r="D230" s="133" t="s">
        <v>40</v>
      </c>
      <c r="E230" s="136" t="s">
        <v>379</v>
      </c>
      <c r="F230" s="475" t="s">
        <v>2169</v>
      </c>
      <c r="G230" s="135" t="str">
        <f>VLOOKUP(A230,Plano_V3!$A$26:$G$768,7,0)</f>
        <v>1. Concluído</v>
      </c>
      <c r="H230" s="135" t="s">
        <v>612</v>
      </c>
      <c r="I230" s="468"/>
      <c r="J230" s="142" t="s">
        <v>2305</v>
      </c>
      <c r="K230" s="356" t="s">
        <v>2451</v>
      </c>
      <c r="L230" s="365">
        <v>45726</v>
      </c>
      <c r="M230" s="365">
        <v>45735</v>
      </c>
      <c r="N230" s="356" t="s">
        <v>2446</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2390</v>
      </c>
      <c r="W230" s="321" t="s">
        <v>2458</v>
      </c>
      <c r="X230" s="369" t="s">
        <v>2360</v>
      </c>
      <c r="Y230" s="369" t="s">
        <v>2322</v>
      </c>
      <c r="Z230" s="320" t="s">
        <v>1856</v>
      </c>
    </row>
    <row r="231" spans="1:26" ht="16.399999999999999" hidden="1" customHeight="1">
      <c r="A231" s="29" t="str">
        <f t="shared" si="3"/>
        <v>lt002_instrumentEIR</v>
      </c>
      <c r="B231" s="141" t="s">
        <v>26</v>
      </c>
      <c r="C231" s="137" t="s">
        <v>26</v>
      </c>
      <c r="D231" s="133" t="s">
        <v>40</v>
      </c>
      <c r="E231" s="136" t="s">
        <v>379</v>
      </c>
      <c r="F231" s="475" t="s">
        <v>2170</v>
      </c>
      <c r="G231" s="135" t="str">
        <f>VLOOKUP(A231,Plano_V3!$A$26:$G$768,7,0)</f>
        <v>1. Concluído</v>
      </c>
      <c r="H231" s="135" t="s">
        <v>612</v>
      </c>
      <c r="I231" s="468"/>
      <c r="J231" s="142" t="s">
        <v>2305</v>
      </c>
      <c r="K231" s="356" t="s">
        <v>2451</v>
      </c>
      <c r="L231" s="365">
        <v>45726</v>
      </c>
      <c r="M231" s="365">
        <v>45735</v>
      </c>
      <c r="N231" s="356" t="s">
        <v>2446</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2384</v>
      </c>
      <c r="W231" s="321" t="s">
        <v>2458</v>
      </c>
      <c r="X231" s="369" t="s">
        <v>2360</v>
      </c>
      <c r="Y231" s="369" t="s">
        <v>2322</v>
      </c>
      <c r="Z231" s="320" t="s">
        <v>1856</v>
      </c>
    </row>
    <row r="232" spans="1:26" ht="16.399999999999999" hidden="1" customHeight="1">
      <c r="A232" s="29" t="str">
        <f t="shared" si="3"/>
        <v>lt002_instrumentEIR_INCPTN</v>
      </c>
      <c r="B232" s="141" t="s">
        <v>26</v>
      </c>
      <c r="C232" s="137" t="s">
        <v>26</v>
      </c>
      <c r="D232" s="133" t="s">
        <v>40</v>
      </c>
      <c r="E232" s="136" t="s">
        <v>379</v>
      </c>
      <c r="F232" s="475" t="s">
        <v>2171</v>
      </c>
      <c r="G232" s="135" t="str">
        <f>VLOOKUP(A232,Plano_V3!$A$26:$G$768,7,0)</f>
        <v>1. Concluído</v>
      </c>
      <c r="H232" s="135" t="s">
        <v>612</v>
      </c>
      <c r="I232" s="468"/>
      <c r="J232" s="142" t="s">
        <v>2305</v>
      </c>
      <c r="K232" s="356" t="s">
        <v>2451</v>
      </c>
      <c r="L232" s="365">
        <v>45726</v>
      </c>
      <c r="M232" s="365">
        <v>45735</v>
      </c>
      <c r="N232" s="356" t="s">
        <v>2446</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2390</v>
      </c>
      <c r="W232" s="321" t="s">
        <v>2458</v>
      </c>
      <c r="X232" s="369" t="s">
        <v>2360</v>
      </c>
      <c r="Y232" s="369" t="s">
        <v>2322</v>
      </c>
      <c r="Z232" s="320" t="s">
        <v>1856</v>
      </c>
    </row>
    <row r="233" spans="1:26" ht="16.399999999999999" hidden="1" customHeight="1">
      <c r="A233" s="29" t="str">
        <f t="shared" si="3"/>
        <v>lt002_instrumentINTRNL_SGMNT_CAT_MSTA</v>
      </c>
      <c r="B233" s="141" t="s">
        <v>26</v>
      </c>
      <c r="C233" s="137" t="s">
        <v>26</v>
      </c>
      <c r="D233" s="133" t="s">
        <v>40</v>
      </c>
      <c r="E233" s="136" t="s">
        <v>379</v>
      </c>
      <c r="F233" s="475" t="s">
        <v>2172</v>
      </c>
      <c r="G233" s="135" t="str">
        <f>VLOOKUP(A233,Plano_V3!$A$26:$G$768,7,0)</f>
        <v>1. Concluído</v>
      </c>
      <c r="H233" s="135" t="s">
        <v>612</v>
      </c>
      <c r="I233" s="468"/>
      <c r="J233" s="142" t="s">
        <v>2305</v>
      </c>
      <c r="K233" s="356" t="s">
        <v>2451</v>
      </c>
      <c r="L233" s="365">
        <v>45726</v>
      </c>
      <c r="M233" s="365">
        <v>45735</v>
      </c>
      <c r="N233" s="356" t="s">
        <v>2446</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2391</v>
      </c>
      <c r="W233" s="321" t="s">
        <v>2458</v>
      </c>
      <c r="X233" s="369" t="s">
        <v>2360</v>
      </c>
      <c r="Y233" s="369" t="s">
        <v>2322</v>
      </c>
      <c r="Z233" s="320" t="s">
        <v>1856</v>
      </c>
    </row>
    <row r="234" spans="1:26" ht="16.399999999999999" hidden="1" customHeight="1">
      <c r="A234" s="29" t="str">
        <f t="shared" si="3"/>
        <v>lt002_instrumentINTRNL_SGMNT_CATGSUB</v>
      </c>
      <c r="B234" s="141" t="s">
        <v>26</v>
      </c>
      <c r="C234" s="137" t="s">
        <v>26</v>
      </c>
      <c r="D234" s="133" t="s">
        <v>40</v>
      </c>
      <c r="E234" s="136" t="s">
        <v>379</v>
      </c>
      <c r="F234" s="475" t="s">
        <v>2173</v>
      </c>
      <c r="G234" s="135" t="str">
        <f>VLOOKUP(A234,Plano_V3!$A$26:$G$768,7,0)</f>
        <v>1. Concluído</v>
      </c>
      <c r="H234" s="135" t="s">
        <v>612</v>
      </c>
      <c r="I234" s="468"/>
      <c r="J234" s="142" t="s">
        <v>2305</v>
      </c>
      <c r="K234" s="356" t="s">
        <v>2451</v>
      </c>
      <c r="L234" s="365">
        <v>45726</v>
      </c>
      <c r="M234" s="365">
        <v>45735</v>
      </c>
      <c r="N234" s="356" t="s">
        <v>2446</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2391</v>
      </c>
      <c r="W234" s="321" t="s">
        <v>2458</v>
      </c>
      <c r="X234" s="369" t="s">
        <v>2360</v>
      </c>
      <c r="Y234" s="369" t="s">
        <v>2322</v>
      </c>
      <c r="Z234" s="320" t="s">
        <v>1856</v>
      </c>
    </row>
    <row r="235" spans="1:26" ht="16.399999999999999" hidden="1" customHeight="1">
      <c r="A235" s="29" t="str">
        <f t="shared" si="3"/>
        <v>lt003_entityentty_nm</v>
      </c>
      <c r="B235" s="141" t="s">
        <v>26</v>
      </c>
      <c r="C235" s="137" t="s">
        <v>26</v>
      </c>
      <c r="D235" s="133" t="s">
        <v>40</v>
      </c>
      <c r="E235" s="136" t="s">
        <v>335</v>
      </c>
      <c r="F235" s="475" t="s">
        <v>2192</v>
      </c>
      <c r="G235" s="135" t="str">
        <f>VLOOKUP(A235,Plano_V3!$A$26:$G$768,7,0)</f>
        <v>1. Concluído</v>
      </c>
      <c r="H235" s="135" t="s">
        <v>612</v>
      </c>
      <c r="I235" s="468"/>
      <c r="J235" s="356" t="s">
        <v>2240</v>
      </c>
      <c r="K235" s="356" t="s">
        <v>2451</v>
      </c>
      <c r="L235" s="365">
        <v>45726</v>
      </c>
      <c r="M235" s="365">
        <v>45735</v>
      </c>
      <c r="N235" s="356" t="s">
        <v>2446</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2386</v>
      </c>
      <c r="W235" s="321" t="s">
        <v>2458</v>
      </c>
      <c r="X235" s="369" t="s">
        <v>2360</v>
      </c>
      <c r="Y235" s="369" t="s">
        <v>2322</v>
      </c>
      <c r="Z235" s="320" t="s">
        <v>1856</v>
      </c>
    </row>
    <row r="236" spans="1:26" ht="16.399999999999999" hidden="1" customHeight="1">
      <c r="A236" s="29" t="str">
        <f t="shared" si="3"/>
        <v>modesg_out_sfics_taxon_europeiacbalcao</v>
      </c>
      <c r="B236" s="141" t="s">
        <v>26</v>
      </c>
      <c r="C236" s="137" t="s">
        <v>310</v>
      </c>
      <c r="D236" s="133" t="s">
        <v>40</v>
      </c>
      <c r="E236" s="134" t="s">
        <v>2080</v>
      </c>
      <c r="F236" s="471" t="s">
        <v>183</v>
      </c>
      <c r="G236" s="135" t="str">
        <f>VLOOKUP(A236,Plano_V3!$A$26:$G$768,7,0)</f>
        <v>2.1 Em Teste</v>
      </c>
      <c r="H236" s="135" t="s">
        <v>1840</v>
      </c>
      <c r="I236" s="468"/>
      <c r="J236" s="142" t="s">
        <v>2242</v>
      </c>
      <c r="K236" s="356" t="s">
        <v>2454</v>
      </c>
      <c r="L236" s="490">
        <v>45747</v>
      </c>
      <c r="M236" s="490">
        <v>45763</v>
      </c>
      <c r="N236" s="488"/>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hidden="1" customHeight="1">
      <c r="A237" s="29" t="str">
        <f t="shared" si="3"/>
        <v>modesg_out_sfics_taxon_europeiacempresa</v>
      </c>
      <c r="B237" s="141" t="s">
        <v>26</v>
      </c>
      <c r="C237" s="137" t="s">
        <v>310</v>
      </c>
      <c r="D237" s="133" t="s">
        <v>40</v>
      </c>
      <c r="E237" s="134" t="s">
        <v>2080</v>
      </c>
      <c r="F237" s="471" t="s">
        <v>184</v>
      </c>
      <c r="G237" s="135" t="str">
        <f>VLOOKUP(A237,Plano_V3!$A$26:$G$768,7,0)</f>
        <v>2.1 Em Teste</v>
      </c>
      <c r="H237" s="135" t="s">
        <v>1840</v>
      </c>
      <c r="I237" s="468"/>
      <c r="J237" s="142" t="s">
        <v>2242</v>
      </c>
      <c r="K237" s="356" t="s">
        <v>2454</v>
      </c>
      <c r="L237" s="490">
        <v>45747</v>
      </c>
      <c r="M237" s="490">
        <v>45763</v>
      </c>
      <c r="N237" s="488"/>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hidden="1" customHeight="1">
      <c r="A238" s="29" t="str">
        <f t="shared" si="3"/>
        <v>modesg_out_sfics_taxon_europeiacnumecta</v>
      </c>
      <c r="B238" s="141" t="s">
        <v>26</v>
      </c>
      <c r="C238" s="137" t="s">
        <v>310</v>
      </c>
      <c r="D238" s="133" t="s">
        <v>40</v>
      </c>
      <c r="E238" s="134" t="s">
        <v>2080</v>
      </c>
      <c r="F238" s="471" t="s">
        <v>189</v>
      </c>
      <c r="G238" s="135" t="str">
        <f>VLOOKUP(A238,Plano_V3!$A$26:$G$768,7,0)</f>
        <v>2.1 Em Teste</v>
      </c>
      <c r="H238" s="135" t="s">
        <v>1840</v>
      </c>
      <c r="I238" s="215"/>
      <c r="J238" s="142" t="s">
        <v>2242</v>
      </c>
      <c r="K238" s="356" t="s">
        <v>2454</v>
      </c>
      <c r="L238" s="490">
        <v>45747</v>
      </c>
      <c r="M238" s="490">
        <v>45763</v>
      </c>
      <c r="N238" s="488"/>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hidden="1" customHeight="1">
      <c r="A239" s="29" t="str">
        <f t="shared" si="3"/>
        <v>modesg_out_sfics_taxon_europeiacod_regra</v>
      </c>
      <c r="B239" s="141" t="s">
        <v>26</v>
      </c>
      <c r="C239" s="137" t="s">
        <v>310</v>
      </c>
      <c r="D239" s="133" t="s">
        <v>40</v>
      </c>
      <c r="E239" s="134" t="s">
        <v>2080</v>
      </c>
      <c r="F239" s="471" t="s">
        <v>191</v>
      </c>
      <c r="G239" s="135" t="str">
        <f>VLOOKUP(A239,Plano_V3!$A$26:$G$768,7,0)</f>
        <v>0. Cancelado</v>
      </c>
      <c r="H239" s="135" t="s">
        <v>611</v>
      </c>
      <c r="I239" s="468"/>
      <c r="J239" s="142" t="s">
        <v>2242</v>
      </c>
      <c r="K239" s="356" t="s">
        <v>2454</v>
      </c>
      <c r="L239" s="490">
        <v>45747</v>
      </c>
      <c r="M239" s="490">
        <v>45763</v>
      </c>
      <c r="N239" s="488"/>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hidden="1" customHeight="1">
      <c r="A240" s="29" t="str">
        <f t="shared" si="3"/>
        <v>modesg_out_sfics_taxon_europeianivel</v>
      </c>
      <c r="B240" s="141" t="s">
        <v>26</v>
      </c>
      <c r="C240" s="137" t="s">
        <v>310</v>
      </c>
      <c r="D240" s="133" t="s">
        <v>40</v>
      </c>
      <c r="E240" s="134" t="s">
        <v>2080</v>
      </c>
      <c r="F240" s="471" t="s">
        <v>2408</v>
      </c>
      <c r="G240" s="135" t="str">
        <f>VLOOKUP(A240,Plano_V3!$A$26:$G$768,7,0)</f>
        <v>0. Cancelado</v>
      </c>
      <c r="H240" s="135" t="s">
        <v>611</v>
      </c>
      <c r="I240" s="468"/>
      <c r="J240" s="142" t="s">
        <v>2242</v>
      </c>
      <c r="K240" s="485"/>
      <c r="L240" s="490"/>
      <c r="M240" s="490"/>
      <c r="N240" s="488"/>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2425</v>
      </c>
      <c r="Z240" s="320"/>
    </row>
    <row r="241" spans="1:26" ht="16.399999999999999" hidden="1" customHeight="1">
      <c r="A241" s="29" t="str">
        <f t="shared" si="3"/>
        <v>modesg_out_sfics_taxon_europeiamontante_pndrc</v>
      </c>
      <c r="B241" s="141" t="s">
        <v>26</v>
      </c>
      <c r="C241" s="137" t="s">
        <v>310</v>
      </c>
      <c r="D241" s="133" t="s">
        <v>40</v>
      </c>
      <c r="E241" s="134" t="s">
        <v>2080</v>
      </c>
      <c r="F241" s="471" t="s">
        <v>202</v>
      </c>
      <c r="G241" s="135" t="str">
        <f>VLOOKUP(A241,Plano_V3!$A$26:$G$768,7,0)</f>
        <v>2.1 Em Teste</v>
      </c>
      <c r="H241" s="135" t="s">
        <v>1840</v>
      </c>
      <c r="I241" s="468"/>
      <c r="J241" s="142" t="s">
        <v>2242</v>
      </c>
      <c r="K241" s="356" t="s">
        <v>2454</v>
      </c>
      <c r="L241" s="490">
        <v>45747</v>
      </c>
      <c r="M241" s="490">
        <v>45763</v>
      </c>
      <c r="N241" s="488"/>
      <c r="O241" s="482"/>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hidden="1" customHeight="1">
      <c r="A242" s="29" t="str">
        <f t="shared" si="3"/>
        <v>modesg_out_sfics_taxon_europeianome_ctgr_sfics</v>
      </c>
      <c r="B242" s="141" t="s">
        <v>26</v>
      </c>
      <c r="C242" s="137" t="s">
        <v>310</v>
      </c>
      <c r="D242" s="133" t="s">
        <v>40</v>
      </c>
      <c r="E242" s="134" t="s">
        <v>2080</v>
      </c>
      <c r="F242" s="471" t="s">
        <v>2048</v>
      </c>
      <c r="G242" s="135" t="str">
        <f>VLOOKUP(A242,Plano_V3!$A$26:$G$768,7,0)</f>
        <v>2.1 Em Teste</v>
      </c>
      <c r="H242" s="135" t="s">
        <v>1840</v>
      </c>
      <c r="I242" s="468"/>
      <c r="J242" s="142" t="s">
        <v>2242</v>
      </c>
      <c r="K242" s="356" t="s">
        <v>2454</v>
      </c>
      <c r="L242" s="490">
        <v>45747</v>
      </c>
      <c r="M242" s="490">
        <v>45763</v>
      </c>
      <c r="N242" s="488"/>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hidden="1" customHeight="1">
      <c r="A243" s="29" t="str">
        <f t="shared" si="3"/>
        <v>modesg_out_sfics_taxon_europeianome_general_specific_purpose</v>
      </c>
      <c r="B243" s="141" t="s">
        <v>26</v>
      </c>
      <c r="C243" s="137" t="s">
        <v>310</v>
      </c>
      <c r="D243" s="133" t="s">
        <v>40</v>
      </c>
      <c r="E243" s="134" t="s">
        <v>2080</v>
      </c>
      <c r="F243" s="471" t="s">
        <v>204</v>
      </c>
      <c r="G243" s="135" t="str">
        <f>VLOOKUP(A243,Plano_V3!$A$26:$G$768,7,0)</f>
        <v>2.1 Em Teste</v>
      </c>
      <c r="H243" s="135" t="s">
        <v>1840</v>
      </c>
      <c r="I243" s="468"/>
      <c r="J243" s="142" t="s">
        <v>2242</v>
      </c>
      <c r="K243" s="356" t="s">
        <v>2454</v>
      </c>
      <c r="L243" s="490">
        <v>45747</v>
      </c>
      <c r="M243" s="490">
        <v>45763</v>
      </c>
      <c r="N243" s="488"/>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hidden="1" customHeight="1">
      <c r="A244" s="29" t="str">
        <f t="shared" si="3"/>
        <v>modesg_out_sfics_taxon_europeianome_purpose_esg_alinh_tax</v>
      </c>
      <c r="B244" s="141" t="s">
        <v>26</v>
      </c>
      <c r="C244" s="137" t="s">
        <v>310</v>
      </c>
      <c r="D244" s="133" t="s">
        <v>40</v>
      </c>
      <c r="E244" s="134" t="s">
        <v>2080</v>
      </c>
      <c r="F244" s="471" t="s">
        <v>2059</v>
      </c>
      <c r="G244" s="135" t="str">
        <f>VLOOKUP(A244,Plano_V3!$A$26:$G$768,7,0)</f>
        <v>2.1 Em Teste</v>
      </c>
      <c r="H244" s="135" t="s">
        <v>1840</v>
      </c>
      <c r="I244" s="468"/>
      <c r="J244" s="142" t="s">
        <v>2242</v>
      </c>
      <c r="K244" s="356" t="s">
        <v>2454</v>
      </c>
      <c r="L244" s="490">
        <v>45747</v>
      </c>
      <c r="M244" s="490">
        <v>45763</v>
      </c>
      <c r="N244" s="488"/>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hidden="1" customHeight="1">
      <c r="A245" s="29" t="str">
        <f t="shared" si="3"/>
        <v>modesg_out_sfics_taxon_europeianome_purpose_esg_nalinh_tax</v>
      </c>
      <c r="B245" s="141" t="s">
        <v>26</v>
      </c>
      <c r="C245" s="137" t="s">
        <v>310</v>
      </c>
      <c r="D245" s="133" t="s">
        <v>40</v>
      </c>
      <c r="E245" s="134" t="s">
        <v>2080</v>
      </c>
      <c r="F245" s="471" t="s">
        <v>2060</v>
      </c>
      <c r="G245" s="135" t="str">
        <f>VLOOKUP(A245,Plano_V3!$A$26:$G$768,7,0)</f>
        <v>2.1 Em Teste</v>
      </c>
      <c r="H245" s="135" t="s">
        <v>1840</v>
      </c>
      <c r="I245" s="468"/>
      <c r="J245" s="142" t="s">
        <v>2242</v>
      </c>
      <c r="K245" s="356" t="s">
        <v>2454</v>
      </c>
      <c r="L245" s="490">
        <v>45747</v>
      </c>
      <c r="M245" s="490">
        <v>45763</v>
      </c>
      <c r="N245" s="488"/>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hidden="1" customHeight="1">
      <c r="A246" s="29" t="str">
        <f t="shared" si="3"/>
        <v>modesg_out_sfics_taxon_europeianome_specific_eligible</v>
      </c>
      <c r="B246" s="141" t="s">
        <v>26</v>
      </c>
      <c r="C246" s="137" t="s">
        <v>310</v>
      </c>
      <c r="D246" s="133" t="s">
        <v>40</v>
      </c>
      <c r="E246" s="134" t="s">
        <v>2080</v>
      </c>
      <c r="F246" s="471" t="s">
        <v>206</v>
      </c>
      <c r="G246" s="135" t="str">
        <f>VLOOKUP(A246,Plano_V3!$A$26:$G$768,7,0)</f>
        <v>2.1 Em Teste</v>
      </c>
      <c r="H246" s="135" t="s">
        <v>1840</v>
      </c>
      <c r="I246" s="468"/>
      <c r="J246" s="142" t="s">
        <v>2242</v>
      </c>
      <c r="K246" s="356" t="s">
        <v>2454</v>
      </c>
      <c r="L246" s="490">
        <v>45747</v>
      </c>
      <c r="M246" s="490">
        <v>45763</v>
      </c>
      <c r="N246" s="488"/>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hidden="1" customHeight="1">
      <c r="A247" s="29" t="str">
        <f t="shared" si="3"/>
        <v>modesg_out_sfics_taxon_europeianome_specific_sustainable</v>
      </c>
      <c r="B247" s="141" t="s">
        <v>26</v>
      </c>
      <c r="C247" s="137" t="s">
        <v>310</v>
      </c>
      <c r="D247" s="133" t="s">
        <v>40</v>
      </c>
      <c r="E247" s="134" t="s">
        <v>2080</v>
      </c>
      <c r="F247" s="471" t="s">
        <v>207</v>
      </c>
      <c r="G247" s="135" t="str">
        <f>VLOOKUP(A247,Plano_V3!$A$26:$G$768,7,0)</f>
        <v>2.1 Em Teste</v>
      </c>
      <c r="H247" s="135" t="s">
        <v>1840</v>
      </c>
      <c r="I247" s="468"/>
      <c r="J247" s="142" t="s">
        <v>2242</v>
      </c>
      <c r="K247" s="356" t="s">
        <v>2454</v>
      </c>
      <c r="L247" s="490">
        <v>45747</v>
      </c>
      <c r="M247" s="490">
        <v>45763</v>
      </c>
      <c r="N247" s="488"/>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hidden="1" customHeight="1">
      <c r="A248" s="29" t="str">
        <f t="shared" si="3"/>
        <v>modesg_out_sfics_taxon_europeiasstnbl_indctr</v>
      </c>
      <c r="B248" s="141" t="s">
        <v>26</v>
      </c>
      <c r="C248" s="137" t="s">
        <v>310</v>
      </c>
      <c r="D248" s="133" t="s">
        <v>40</v>
      </c>
      <c r="E248" s="134" t="s">
        <v>2080</v>
      </c>
      <c r="F248" s="471" t="s">
        <v>418</v>
      </c>
      <c r="G248" s="135" t="str">
        <f>VLOOKUP(A248,Plano_V3!$A$26:$G$768,7,0)</f>
        <v>2.1 Em Teste</v>
      </c>
      <c r="H248" s="135" t="s">
        <v>1840</v>
      </c>
      <c r="I248" s="468"/>
      <c r="J248" s="356" t="s">
        <v>2423</v>
      </c>
      <c r="K248" s="356" t="s">
        <v>2454</v>
      </c>
      <c r="L248" s="490">
        <v>45747</v>
      </c>
      <c r="M248" s="490">
        <v>45763</v>
      </c>
      <c r="N248" s="488"/>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2425</v>
      </c>
      <c r="Z248" s="320"/>
    </row>
    <row r="249" spans="1:26" ht="16.399999999999999" hidden="1" customHeight="1">
      <c r="A249" s="29" t="str">
        <f t="shared" si="3"/>
        <v>modesg_out_sfics_taxon_europeiaref_date</v>
      </c>
      <c r="B249" s="141" t="s">
        <v>26</v>
      </c>
      <c r="C249" s="137" t="s">
        <v>310</v>
      </c>
      <c r="D249" s="133" t="s">
        <v>40</v>
      </c>
      <c r="E249" s="134" t="s">
        <v>2080</v>
      </c>
      <c r="F249" s="471" t="s">
        <v>208</v>
      </c>
      <c r="G249" s="135" t="str">
        <f>VLOOKUP(A249,Plano_V3!$A$26:$G$768,7,0)</f>
        <v>2.1 Em Teste</v>
      </c>
      <c r="H249" s="135" t="s">
        <v>1840</v>
      </c>
      <c r="I249" s="468"/>
      <c r="J249" s="142" t="s">
        <v>2242</v>
      </c>
      <c r="K249" s="356" t="s">
        <v>2454</v>
      </c>
      <c r="L249" s="490">
        <v>45747</v>
      </c>
      <c r="M249" s="490">
        <v>45763</v>
      </c>
      <c r="N249" s="488"/>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hidden="1" customHeight="1">
      <c r="A250" s="29" t="str">
        <f t="shared" si="3"/>
        <v>modesg_out_sfics_taxon_europeiazdeposit</v>
      </c>
      <c r="B250" s="141" t="s">
        <v>26</v>
      </c>
      <c r="C250" s="137" t="s">
        <v>310</v>
      </c>
      <c r="D250" s="133" t="s">
        <v>40</v>
      </c>
      <c r="E250" s="134" t="s">
        <v>2080</v>
      </c>
      <c r="F250" s="471" t="s">
        <v>210</v>
      </c>
      <c r="G250" s="135" t="str">
        <f>VLOOKUP(A250,Plano_V3!$A$26:$G$768,7,0)</f>
        <v>2.1 Em Teste</v>
      </c>
      <c r="H250" s="135" t="s">
        <v>1840</v>
      </c>
      <c r="I250" s="468"/>
      <c r="J250" s="142" t="s">
        <v>2242</v>
      </c>
      <c r="K250" s="356" t="s">
        <v>2454</v>
      </c>
      <c r="L250" s="490">
        <v>45747</v>
      </c>
      <c r="M250" s="490">
        <v>45763</v>
      </c>
      <c r="N250" s="488"/>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3"/>
        <v>ENERGY_CERTIFICATE_EST_INPUTn.a.</v>
      </c>
      <c r="B251" s="141" t="s">
        <v>26</v>
      </c>
      <c r="C251" s="137" t="s">
        <v>34</v>
      </c>
      <c r="D251" s="133" t="s">
        <v>36</v>
      </c>
      <c r="E251" s="134" t="s">
        <v>37</v>
      </c>
      <c r="F251" s="471" t="s">
        <v>38</v>
      </c>
      <c r="G251" s="135" t="str">
        <f>VLOOKUP(A251,Plano_V3!$A$26:$G$768,7,0)</f>
        <v>1. Concluído</v>
      </c>
      <c r="H251" s="135" t="s">
        <v>612</v>
      </c>
      <c r="I251" s="468" t="s">
        <v>2415</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3"/>
        <v>ENERGY_CERTIFICATE_EST_INPUTDATA_PROVIDER</v>
      </c>
      <c r="B252" s="141" t="s">
        <v>26</v>
      </c>
      <c r="C252" s="137" t="s">
        <v>34</v>
      </c>
      <c r="D252" s="133" t="s">
        <v>40</v>
      </c>
      <c r="E252" s="134" t="s">
        <v>37</v>
      </c>
      <c r="F252" s="472" t="s">
        <v>48</v>
      </c>
      <c r="G252" s="135" t="str">
        <f>VLOOKUP(A252,Plano_V3!$A$26:$G$768,7,0)</f>
        <v>0. Cancelado</v>
      </c>
      <c r="H252" s="135" t="s">
        <v>611</v>
      </c>
      <c r="I252" s="468" t="s">
        <v>2415</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3"/>
        <v>ENERGY_CERTIFICATE_EST_INPUTACTUAL_VALUE_IND</v>
      </c>
      <c r="B253" s="141" t="s">
        <v>26</v>
      </c>
      <c r="C253" s="137" t="s">
        <v>34</v>
      </c>
      <c r="D253" s="133" t="s">
        <v>40</v>
      </c>
      <c r="E253" s="134" t="s">
        <v>37</v>
      </c>
      <c r="F253" s="472" t="s">
        <v>49</v>
      </c>
      <c r="G253" s="135" t="str">
        <f>VLOOKUP(A253,Plano_V3!$A$26:$G$768,7,0)</f>
        <v>0. Cancelado</v>
      </c>
      <c r="H253" s="135" t="s">
        <v>611</v>
      </c>
      <c r="I253" s="468" t="s">
        <v>2415</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3"/>
        <v>PROCESSn.a.</v>
      </c>
      <c r="B254" s="141" t="s">
        <v>26</v>
      </c>
      <c r="C254" s="137" t="s">
        <v>54</v>
      </c>
      <c r="D254" s="133" t="s">
        <v>36</v>
      </c>
      <c r="E254" s="134" t="s">
        <v>55</v>
      </c>
      <c r="F254" s="471" t="s">
        <v>38</v>
      </c>
      <c r="G254" s="135" t="str">
        <f>VLOOKUP(A254,Plano_V3!$A$26:$G$768,7,0)</f>
        <v>1. Concluído</v>
      </c>
      <c r="H254" s="135" t="s">
        <v>612</v>
      </c>
      <c r="I254" s="468"/>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3"/>
        <v>PROCESSPROCESS_BANK_ID</v>
      </c>
      <c r="B255" s="141" t="s">
        <v>26</v>
      </c>
      <c r="C255" s="137" t="s">
        <v>54</v>
      </c>
      <c r="D255" s="133" t="s">
        <v>40</v>
      </c>
      <c r="E255" s="134" t="s">
        <v>55</v>
      </c>
      <c r="F255" s="471" t="s">
        <v>57</v>
      </c>
      <c r="G255" s="135" t="str">
        <f>VLOOKUP(A255,Plano_V3!$A$26:$G$768,7,0)</f>
        <v>1. Concluído</v>
      </c>
      <c r="H255" s="135" t="s">
        <v>612</v>
      </c>
      <c r="I255" s="468"/>
      <c r="J255" s="153"/>
      <c r="K255" s="153"/>
      <c r="L255" s="153"/>
      <c r="M255" s="153"/>
      <c r="N255" s="489"/>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3"/>
        <v>PROCESSPROCESS_BRANCH_CODE</v>
      </c>
      <c r="B256" s="141" t="s">
        <v>26</v>
      </c>
      <c r="C256" s="137" t="s">
        <v>54</v>
      </c>
      <c r="D256" s="133" t="s">
        <v>40</v>
      </c>
      <c r="E256" s="134" t="s">
        <v>55</v>
      </c>
      <c r="F256" s="471" t="s">
        <v>58</v>
      </c>
      <c r="G256" s="135" t="str">
        <f>VLOOKUP(A256,Plano_V3!$A$26:$G$768,7,0)</f>
        <v>1. Concluído</v>
      </c>
      <c r="H256" s="135" t="s">
        <v>612</v>
      </c>
      <c r="I256" s="468"/>
      <c r="J256" s="153"/>
      <c r="K256" s="153"/>
      <c r="L256" s="153"/>
      <c r="M256" s="153"/>
      <c r="N256" s="489"/>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3"/>
        <v>PROCESSPROCESS_ACCOUNT_ID</v>
      </c>
      <c r="B257" s="141" t="s">
        <v>26</v>
      </c>
      <c r="C257" s="137" t="s">
        <v>54</v>
      </c>
      <c r="D257" s="133" t="s">
        <v>40</v>
      </c>
      <c r="E257" s="134" t="s">
        <v>55</v>
      </c>
      <c r="F257" s="471" t="s">
        <v>59</v>
      </c>
      <c r="G257" s="135" t="str">
        <f>VLOOKUP(A257,Plano_V3!$A$26:$G$768,7,0)</f>
        <v>1. Concluído</v>
      </c>
      <c r="H257" s="135" t="s">
        <v>612</v>
      </c>
      <c r="I257" s="468"/>
      <c r="J257" s="153"/>
      <c r="K257" s="153"/>
      <c r="L257" s="153"/>
      <c r="M257" s="153"/>
      <c r="N257" s="489"/>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3"/>
        <v>PROCESScod_estd_prcs</v>
      </c>
      <c r="B258" s="141" t="s">
        <v>26</v>
      </c>
      <c r="C258" s="137" t="s">
        <v>54</v>
      </c>
      <c r="D258" s="133" t="s">
        <v>40</v>
      </c>
      <c r="E258" s="134" t="s">
        <v>55</v>
      </c>
      <c r="F258" s="471" t="s">
        <v>60</v>
      </c>
      <c r="G258" s="135" t="str">
        <f>VLOOKUP(A258,Plano_V3!$A$26:$G$768,7,0)</f>
        <v>0. Cancelado</v>
      </c>
      <c r="H258" s="135" t="s">
        <v>611</v>
      </c>
      <c r="I258" s="468"/>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3"/>
        <v>PROCESSGUARANTEE_CODE</v>
      </c>
      <c r="B259" s="141" t="s">
        <v>26</v>
      </c>
      <c r="C259" s="137" t="s">
        <v>54</v>
      </c>
      <c r="D259" s="133" t="s">
        <v>40</v>
      </c>
      <c r="E259" s="134" t="s">
        <v>55</v>
      </c>
      <c r="F259" s="471" t="s">
        <v>61</v>
      </c>
      <c r="G259" s="135" t="str">
        <f>VLOOKUP(A259,Plano_V3!$A$26:$G$768,7,0)</f>
        <v>1. Concluído</v>
      </c>
      <c r="H259" s="135" t="s">
        <v>612</v>
      </c>
      <c r="I259" s="468"/>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3"/>
        <v>PROCESSCURRENCY_CODE</v>
      </c>
      <c r="B260" s="141" t="s">
        <v>26</v>
      </c>
      <c r="C260" s="137" t="s">
        <v>54</v>
      </c>
      <c r="D260" s="133" t="s">
        <v>40</v>
      </c>
      <c r="E260" s="134" t="s">
        <v>55</v>
      </c>
      <c r="F260" s="471" t="s">
        <v>62</v>
      </c>
      <c r="G260" s="135" t="str">
        <f>VLOOKUP(A260,Plano_V3!$A$26:$G$768,7,0)</f>
        <v>1. Concluído</v>
      </c>
      <c r="H260" s="135" t="s">
        <v>612</v>
      </c>
      <c r="I260" s="468"/>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3"/>
        <v>PROCESSPROCESS_CAMPAIGN_CODE</v>
      </c>
      <c r="B261" s="141" t="s">
        <v>26</v>
      </c>
      <c r="C261" s="137" t="s">
        <v>54</v>
      </c>
      <c r="D261" s="133" t="s">
        <v>40</v>
      </c>
      <c r="E261" s="134" t="s">
        <v>55</v>
      </c>
      <c r="F261" s="471" t="s">
        <v>63</v>
      </c>
      <c r="G261" s="135" t="str">
        <f>VLOOKUP(A261,Plano_V3!$A$26:$G$768,7,0)</f>
        <v>1. Concluído</v>
      </c>
      <c r="H261" s="135" t="s">
        <v>612</v>
      </c>
      <c r="I261" s="468"/>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3"/>
        <v>PROCESSPROCESS_PRODUCT_ID</v>
      </c>
      <c r="B262" s="141" t="s">
        <v>26</v>
      </c>
      <c r="C262" s="137" t="s">
        <v>54</v>
      </c>
      <c r="D262" s="133" t="s">
        <v>40</v>
      </c>
      <c r="E262" s="134" t="s">
        <v>55</v>
      </c>
      <c r="F262" s="471" t="s">
        <v>64</v>
      </c>
      <c r="G262" s="135" t="str">
        <f>VLOOKUP(A262,Plano_V3!$A$26:$G$768,7,0)</f>
        <v>1. Concluído</v>
      </c>
      <c r="H262" s="135" t="s">
        <v>612</v>
      </c>
      <c r="I262" s="468"/>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3"/>
        <v>PROCESSPROCESS_SUBPRODUCT_ID</v>
      </c>
      <c r="B263" s="141" t="s">
        <v>26</v>
      </c>
      <c r="C263" s="137" t="s">
        <v>54</v>
      </c>
      <c r="D263" s="133" t="s">
        <v>40</v>
      </c>
      <c r="E263" s="134" t="s">
        <v>55</v>
      </c>
      <c r="F263" s="471" t="s">
        <v>65</v>
      </c>
      <c r="G263" s="135" t="str">
        <f>VLOOKUP(A263,Plano_V3!$A$26:$G$768,7,0)</f>
        <v>1. Concluído</v>
      </c>
      <c r="H263" s="135" t="s">
        <v>612</v>
      </c>
      <c r="I263" s="468"/>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3"/>
        <v>PROCESSGUARANTEE_TYPE_CODE</v>
      </c>
      <c r="B264" s="141" t="s">
        <v>26</v>
      </c>
      <c r="C264" s="137" t="s">
        <v>54</v>
      </c>
      <c r="D264" s="133" t="s">
        <v>40</v>
      </c>
      <c r="E264" s="134" t="s">
        <v>55</v>
      </c>
      <c r="F264" s="471" t="s">
        <v>66</v>
      </c>
      <c r="G264" s="135" t="str">
        <f>VLOOKUP(A264,Plano_V3!$A$26:$G$768,7,0)</f>
        <v>1. Concluído</v>
      </c>
      <c r="H264" s="135" t="s">
        <v>612</v>
      </c>
      <c r="I264" s="468"/>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3"/>
        <v>PROCESSPROCESS_REFERENCE_CODE</v>
      </c>
      <c r="B265" s="141" t="s">
        <v>26</v>
      </c>
      <c r="C265" s="137" t="s">
        <v>54</v>
      </c>
      <c r="D265" s="133" t="s">
        <v>40</v>
      </c>
      <c r="E265" s="134" t="s">
        <v>55</v>
      </c>
      <c r="F265" s="471" t="s">
        <v>67</v>
      </c>
      <c r="G265" s="135" t="str">
        <f>VLOOKUP(A265,Plano_V3!$A$26:$G$768,7,0)</f>
        <v>1. Concluído</v>
      </c>
      <c r="H265" s="135" t="s">
        <v>612</v>
      </c>
      <c r="I265" s="468"/>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3"/>
        <v>PROCESSPROCESS_START_DATE</v>
      </c>
      <c r="B266" s="141" t="s">
        <v>26</v>
      </c>
      <c r="C266" s="137" t="s">
        <v>54</v>
      </c>
      <c r="D266" s="133" t="s">
        <v>40</v>
      </c>
      <c r="E266" s="134" t="s">
        <v>55</v>
      </c>
      <c r="F266" s="471" t="s">
        <v>68</v>
      </c>
      <c r="G266" s="135" t="str">
        <f>VLOOKUP(A266,Plano_V3!$A$26:$G$768,7,0)</f>
        <v>1. Concluído</v>
      </c>
      <c r="H266" s="135" t="s">
        <v>612</v>
      </c>
      <c r="I266" s="468"/>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4">E267&amp;F267</f>
        <v>PROCESSPROCESS_DUE_DATE</v>
      </c>
      <c r="B267" s="141" t="s">
        <v>26</v>
      </c>
      <c r="C267" s="137" t="s">
        <v>54</v>
      </c>
      <c r="D267" s="133" t="s">
        <v>40</v>
      </c>
      <c r="E267" s="134" t="s">
        <v>55</v>
      </c>
      <c r="F267" s="471" t="s">
        <v>69</v>
      </c>
      <c r="G267" s="135" t="str">
        <f>VLOOKUP(A267,Plano_V3!$A$26:$G$768,7,0)</f>
        <v>1. Concluído</v>
      </c>
      <c r="H267" s="135" t="s">
        <v>612</v>
      </c>
      <c r="I267" s="468"/>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4"/>
        <v>PROCESSmontante_eur</v>
      </c>
      <c r="B268" s="141" t="s">
        <v>26</v>
      </c>
      <c r="C268" s="137" t="s">
        <v>54</v>
      </c>
      <c r="D268" s="133" t="s">
        <v>40</v>
      </c>
      <c r="E268" s="134" t="s">
        <v>55</v>
      </c>
      <c r="F268" s="471" t="s">
        <v>70</v>
      </c>
      <c r="G268" s="135" t="str">
        <f>VLOOKUP(A268,Plano_V3!$A$26:$G$768,7,0)</f>
        <v>0. Cancelado</v>
      </c>
      <c r="H268" s="135" t="s">
        <v>611</v>
      </c>
      <c r="I268" s="468"/>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4"/>
        <v>PROCESSmontante_org</v>
      </c>
      <c r="B269" s="141" t="s">
        <v>26</v>
      </c>
      <c r="C269" s="137" t="s">
        <v>54</v>
      </c>
      <c r="D269" s="133" t="s">
        <v>40</v>
      </c>
      <c r="E269" s="134" t="s">
        <v>55</v>
      </c>
      <c r="F269" s="471" t="s">
        <v>71</v>
      </c>
      <c r="G269" s="135" t="str">
        <f>VLOOKUP(A269,Plano_V3!$A$26:$G$768,7,0)</f>
        <v>0. Cancelado</v>
      </c>
      <c r="H269" s="135" t="s">
        <v>611</v>
      </c>
      <c r="I269" s="468"/>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4"/>
        <v>PROCESSorigem</v>
      </c>
      <c r="B270" s="141" t="s">
        <v>26</v>
      </c>
      <c r="C270" s="137" t="s">
        <v>54</v>
      </c>
      <c r="D270" s="133" t="s">
        <v>40</v>
      </c>
      <c r="E270" s="134" t="s">
        <v>55</v>
      </c>
      <c r="F270" s="471" t="s">
        <v>72</v>
      </c>
      <c r="G270" s="135" t="str">
        <f>VLOOKUP(A270,Plano_V3!$A$26:$G$768,7,0)</f>
        <v>0. Cancelado</v>
      </c>
      <c r="H270" s="135" t="s">
        <v>611</v>
      </c>
      <c r="I270" s="468"/>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4"/>
        <v>PROCESSDATA_DATE_PART</v>
      </c>
      <c r="B271" s="141" t="s">
        <v>26</v>
      </c>
      <c r="C271" s="137" t="s">
        <v>54</v>
      </c>
      <c r="D271" s="133" t="s">
        <v>40</v>
      </c>
      <c r="E271" s="134" t="s">
        <v>55</v>
      </c>
      <c r="F271" s="471" t="s">
        <v>73</v>
      </c>
      <c r="G271" s="135" t="str">
        <f>VLOOKUP(A271,Plano_V3!$A$26:$G$768,7,0)</f>
        <v>1. Concluído</v>
      </c>
      <c r="H271" s="135" t="s">
        <v>612</v>
      </c>
      <c r="I271" s="468"/>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4"/>
        <v>PROCESSSOURCE_CODE</v>
      </c>
      <c r="B272" s="141" t="s">
        <v>26</v>
      </c>
      <c r="C272" s="137" t="s">
        <v>54</v>
      </c>
      <c r="D272" s="133" t="s">
        <v>40</v>
      </c>
      <c r="E272" s="134" t="s">
        <v>55</v>
      </c>
      <c r="F272" s="471" t="s">
        <v>87</v>
      </c>
      <c r="G272" s="135" t="str">
        <f>VLOOKUP(A272,Plano_V3!$A$26:$G$768,7,0)</f>
        <v>1. Concluído</v>
      </c>
      <c r="H272" s="135" t="s">
        <v>612</v>
      </c>
      <c r="I272" s="468"/>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4"/>
        <v>RESPONSIBILITY_PROCESS_RELn.a.</v>
      </c>
      <c r="B273" s="141" t="s">
        <v>26</v>
      </c>
      <c r="C273" s="137" t="s">
        <v>54</v>
      </c>
      <c r="D273" s="133" t="s">
        <v>36</v>
      </c>
      <c r="E273" s="134" t="s">
        <v>74</v>
      </c>
      <c r="F273" s="471" t="s">
        <v>38</v>
      </c>
      <c r="G273" s="135" t="str">
        <f>VLOOKUP(A273,Plano_V3!$A$26:$G$768,7,0)</f>
        <v>1. Concluído</v>
      </c>
      <c r="H273" s="135" t="s">
        <v>612</v>
      </c>
      <c r="I273" s="468"/>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4"/>
        <v>RESPONSIBILITY_PROCESS_RELPROCESS_BANK_ID</v>
      </c>
      <c r="B274" s="141" t="s">
        <v>26</v>
      </c>
      <c r="C274" s="137" t="s">
        <v>54</v>
      </c>
      <c r="D274" s="133" t="s">
        <v>40</v>
      </c>
      <c r="E274" s="134" t="s">
        <v>74</v>
      </c>
      <c r="F274" s="471" t="s">
        <v>57</v>
      </c>
      <c r="G274" s="135" t="str">
        <f>VLOOKUP(A274,Plano_V3!$A$26:$G$768,7,0)</f>
        <v>1. Concluído</v>
      </c>
      <c r="H274" s="135" t="s">
        <v>612</v>
      </c>
      <c r="I274" s="468"/>
      <c r="J274" s="153"/>
      <c r="K274" s="153"/>
      <c r="L274" s="153"/>
      <c r="M274" s="153"/>
      <c r="N274" s="489"/>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4"/>
        <v>RESPONSIBILITY_PROCESS_RELBANK_ID</v>
      </c>
      <c r="B275" s="141" t="s">
        <v>26</v>
      </c>
      <c r="C275" s="137" t="s">
        <v>54</v>
      </c>
      <c r="D275" s="133" t="s">
        <v>40</v>
      </c>
      <c r="E275" s="134" t="s">
        <v>74</v>
      </c>
      <c r="F275" s="471" t="s">
        <v>75</v>
      </c>
      <c r="G275" s="135" t="str">
        <f>VLOOKUP(A275,Plano_V3!$A$26:$G$768,7,0)</f>
        <v>1. Concluído</v>
      </c>
      <c r="H275" s="135" t="s">
        <v>612</v>
      </c>
      <c r="I275" s="468"/>
      <c r="J275" s="153"/>
      <c r="K275" s="153"/>
      <c r="L275" s="153"/>
      <c r="M275" s="153"/>
      <c r="N275" s="489"/>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4"/>
        <v>RESPONSIBILITY_PROCESS_RELPROCESS_BRANCH_CODE</v>
      </c>
      <c r="B276" s="141" t="s">
        <v>26</v>
      </c>
      <c r="C276" s="137" t="s">
        <v>54</v>
      </c>
      <c r="D276" s="133" t="s">
        <v>40</v>
      </c>
      <c r="E276" s="134" t="s">
        <v>74</v>
      </c>
      <c r="F276" s="471" t="s">
        <v>58</v>
      </c>
      <c r="G276" s="135" t="str">
        <f>VLOOKUP(A276,Plano_V3!$A$26:$G$768,7,0)</f>
        <v>1. Concluído</v>
      </c>
      <c r="H276" s="135" t="s">
        <v>612</v>
      </c>
      <c r="I276" s="468"/>
      <c r="J276" s="153"/>
      <c r="K276" s="153"/>
      <c r="L276" s="153"/>
      <c r="M276" s="153"/>
      <c r="N276" s="489"/>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4"/>
        <v>RESPONSIBILITY_PROCESS_RELBRANCH_CODE</v>
      </c>
      <c r="B277" s="141" t="s">
        <v>26</v>
      </c>
      <c r="C277" s="137" t="s">
        <v>54</v>
      </c>
      <c r="D277" s="133" t="s">
        <v>40</v>
      </c>
      <c r="E277" s="134" t="s">
        <v>74</v>
      </c>
      <c r="F277" s="471" t="s">
        <v>76</v>
      </c>
      <c r="G277" s="135" t="str">
        <f>VLOOKUP(A277,Plano_V3!$A$26:$G$768,7,0)</f>
        <v>1. Concluído</v>
      </c>
      <c r="H277" s="135" t="s">
        <v>612</v>
      </c>
      <c r="I277" s="468"/>
      <c r="J277" s="153"/>
      <c r="K277" s="153"/>
      <c r="L277" s="153"/>
      <c r="M277" s="153"/>
      <c r="N277" s="489"/>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4"/>
        <v>RESPONSIBILITY_PROCESS_RELCONTRACT_ID</v>
      </c>
      <c r="B278" s="141" t="s">
        <v>26</v>
      </c>
      <c r="C278" s="137" t="s">
        <v>54</v>
      </c>
      <c r="D278" s="133" t="s">
        <v>40</v>
      </c>
      <c r="E278" s="134" t="s">
        <v>74</v>
      </c>
      <c r="F278" s="471" t="s">
        <v>77</v>
      </c>
      <c r="G278" s="135" t="str">
        <f>VLOOKUP(A278,Plano_V3!$A$26:$G$768,7,0)</f>
        <v>1. Concluído</v>
      </c>
      <c r="H278" s="135" t="s">
        <v>612</v>
      </c>
      <c r="I278" s="468"/>
      <c r="J278" s="153"/>
      <c r="K278" s="153"/>
      <c r="L278" s="153"/>
      <c r="M278" s="153"/>
      <c r="N278" s="489"/>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4"/>
        <v>RESPONSIBILITY_PROCESS_RELPROCESS_ACCOUNT_ID</v>
      </c>
      <c r="B279" s="141" t="s">
        <v>26</v>
      </c>
      <c r="C279" s="137" t="s">
        <v>54</v>
      </c>
      <c r="D279" s="133" t="s">
        <v>40</v>
      </c>
      <c r="E279" s="134" t="s">
        <v>74</v>
      </c>
      <c r="F279" s="471" t="s">
        <v>59</v>
      </c>
      <c r="G279" s="135" t="str">
        <f>VLOOKUP(A279,Plano_V3!$A$26:$G$768,7,0)</f>
        <v>1. Concluído</v>
      </c>
      <c r="H279" s="135" t="s">
        <v>612</v>
      </c>
      <c r="I279" s="468"/>
      <c r="J279" s="153"/>
      <c r="K279" s="153"/>
      <c r="L279" s="153"/>
      <c r="M279" s="153"/>
      <c r="N279" s="489"/>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4"/>
        <v>RESPONSIBILITY_PROCESS_RELREFERENCE_CODE</v>
      </c>
      <c r="B280" s="141" t="s">
        <v>26</v>
      </c>
      <c r="C280" s="137" t="s">
        <v>54</v>
      </c>
      <c r="D280" s="133" t="s">
        <v>40</v>
      </c>
      <c r="E280" s="134" t="s">
        <v>74</v>
      </c>
      <c r="F280" s="471" t="s">
        <v>78</v>
      </c>
      <c r="G280" s="135" t="str">
        <f>VLOOKUP(A280,Plano_V3!$A$26:$G$768,7,0)</f>
        <v>1. Concluído</v>
      </c>
      <c r="H280" s="135" t="s">
        <v>612</v>
      </c>
      <c r="I280" s="468"/>
      <c r="J280" s="153"/>
      <c r="K280" s="153"/>
      <c r="L280" s="153"/>
      <c r="M280" s="153"/>
      <c r="N280" s="489"/>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4"/>
        <v>RESPONSIBILITY_PROCESS_RELPURPOSE_CODE</v>
      </c>
      <c r="B281" s="141" t="s">
        <v>26</v>
      </c>
      <c r="C281" s="137" t="s">
        <v>54</v>
      </c>
      <c r="D281" s="133" t="s">
        <v>40</v>
      </c>
      <c r="E281" s="134" t="s">
        <v>74</v>
      </c>
      <c r="F281" s="471" t="s">
        <v>79</v>
      </c>
      <c r="G281" s="135" t="str">
        <f>VLOOKUP(A281,Plano_V3!$A$26:$G$768,7,0)</f>
        <v>1. Concluído</v>
      </c>
      <c r="H281" s="135" t="s">
        <v>612</v>
      </c>
      <c r="I281" s="468"/>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4"/>
        <v>RESPONSIBILITY_PROCESS_RELINDIVIDUAL_OCCUPATION_CODE</v>
      </c>
      <c r="B282" s="141" t="s">
        <v>26</v>
      </c>
      <c r="C282" s="137" t="s">
        <v>54</v>
      </c>
      <c r="D282" s="133" t="s">
        <v>40</v>
      </c>
      <c r="E282" s="134" t="s">
        <v>74</v>
      </c>
      <c r="F282" s="471" t="s">
        <v>80</v>
      </c>
      <c r="G282" s="135" t="str">
        <f>VLOOKUP(A282,Plano_V3!$A$26:$G$768,7,0)</f>
        <v>1. Concluído</v>
      </c>
      <c r="H282" s="135" t="s">
        <v>612</v>
      </c>
      <c r="I282" s="468"/>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4"/>
        <v>RESPONSIBILITY_PROCESS_RELPRODUCT_ID</v>
      </c>
      <c r="B283" s="141" t="s">
        <v>26</v>
      </c>
      <c r="C283" s="137" t="s">
        <v>54</v>
      </c>
      <c r="D283" s="133" t="s">
        <v>40</v>
      </c>
      <c r="E283" s="134" t="s">
        <v>74</v>
      </c>
      <c r="F283" s="471" t="s">
        <v>81</v>
      </c>
      <c r="G283" s="135" t="str">
        <f>VLOOKUP(A283,Plano_V3!$A$26:$G$768,7,0)</f>
        <v>1. Concluído</v>
      </c>
      <c r="H283" s="135" t="s">
        <v>612</v>
      </c>
      <c r="I283" s="468"/>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4"/>
        <v>RESPONSIBILITY_PROCESS_RELcod_sit</v>
      </c>
      <c r="B284" s="141" t="s">
        <v>26</v>
      </c>
      <c r="C284" s="137" t="s">
        <v>54</v>
      </c>
      <c r="D284" s="133" t="s">
        <v>40</v>
      </c>
      <c r="E284" s="134" t="s">
        <v>74</v>
      </c>
      <c r="F284" s="471" t="s">
        <v>82</v>
      </c>
      <c r="G284" s="135" t="str">
        <f>VLOOKUP(A284,Plano_V3!$A$26:$G$768,7,0)</f>
        <v>0. Cancelado</v>
      </c>
      <c r="H284" s="135" t="s">
        <v>611</v>
      </c>
      <c r="I284" s="468"/>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4"/>
        <v>RESPONSIBILITY_PROCESS_RELSUBPRODUCT_ID</v>
      </c>
      <c r="B285" s="141" t="s">
        <v>26</v>
      </c>
      <c r="C285" s="137" t="s">
        <v>54</v>
      </c>
      <c r="D285" s="133" t="s">
        <v>40</v>
      </c>
      <c r="E285" s="134" t="s">
        <v>74</v>
      </c>
      <c r="F285" s="471" t="s">
        <v>83</v>
      </c>
      <c r="G285" s="135" t="str">
        <f>VLOOKUP(A285,Plano_V3!$A$26:$G$768,7,0)</f>
        <v>1. Concluído</v>
      </c>
      <c r="H285" s="135" t="s">
        <v>612</v>
      </c>
      <c r="I285" s="468"/>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4"/>
        <v>RESPONSIBILITY_PROCESS_RELPROCESS_REFERENCE_CODE</v>
      </c>
      <c r="B286" s="141" t="s">
        <v>26</v>
      </c>
      <c r="C286" s="137" t="s">
        <v>54</v>
      </c>
      <c r="D286" s="133" t="s">
        <v>40</v>
      </c>
      <c r="E286" s="134" t="s">
        <v>74</v>
      </c>
      <c r="F286" s="471" t="s">
        <v>67</v>
      </c>
      <c r="G286" s="135" t="str">
        <f>VLOOKUP(A286,Plano_V3!$A$26:$G$768,7,0)</f>
        <v>1. Concluído</v>
      </c>
      <c r="H286" s="135" t="s">
        <v>612</v>
      </c>
      <c r="I286" s="468"/>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4"/>
        <v>RESPONSIBILITY_PROCESS_RELEFFECTIVE_RELATION_END_DATE</v>
      </c>
      <c r="B287" s="141" t="s">
        <v>26</v>
      </c>
      <c r="C287" s="137" t="s">
        <v>54</v>
      </c>
      <c r="D287" s="133" t="s">
        <v>40</v>
      </c>
      <c r="E287" s="134" t="s">
        <v>74</v>
      </c>
      <c r="F287" s="471" t="s">
        <v>84</v>
      </c>
      <c r="G287" s="135" t="str">
        <f>VLOOKUP(A287,Plano_V3!$A$26:$G$768,7,0)</f>
        <v>1. Concluído</v>
      </c>
      <c r="H287" s="135" t="s">
        <v>612</v>
      </c>
      <c r="I287" s="468"/>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4"/>
        <v>RESPONSIBILITY_PROCESS_RELRELATION_START_DATE</v>
      </c>
      <c r="B288" s="141" t="s">
        <v>26</v>
      </c>
      <c r="C288" s="137" t="s">
        <v>54</v>
      </c>
      <c r="D288" s="133" t="s">
        <v>40</v>
      </c>
      <c r="E288" s="134" t="s">
        <v>74</v>
      </c>
      <c r="F288" s="471" t="s">
        <v>2437</v>
      </c>
      <c r="G288" s="135" t="str">
        <f>VLOOKUP(A288,Plano_V3!$A$26:$G$768,7,0)</f>
        <v>1. Concluído</v>
      </c>
      <c r="H288" s="135" t="s">
        <v>612</v>
      </c>
      <c r="I288" s="468"/>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4"/>
        <v>RESPONSIBILITY_PROCESS_RELESTABLISHED_RELATION_END_DATE</v>
      </c>
      <c r="B289" s="141" t="s">
        <v>26</v>
      </c>
      <c r="C289" s="137" t="s">
        <v>54</v>
      </c>
      <c r="D289" s="133" t="s">
        <v>40</v>
      </c>
      <c r="E289" s="134" t="s">
        <v>74</v>
      </c>
      <c r="F289" s="471" t="s">
        <v>2438</v>
      </c>
      <c r="G289" s="135" t="str">
        <f>VLOOKUP(A289,Plano_V3!$A$26:$G$768,7,0)</f>
        <v>1. Concluído</v>
      </c>
      <c r="H289" s="135" t="s">
        <v>612</v>
      </c>
      <c r="I289" s="468"/>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4"/>
        <v>RESPONSIBILITY_PROCESS_RELidetgar</v>
      </c>
      <c r="B290" s="141" t="s">
        <v>26</v>
      </c>
      <c r="C290" s="137" t="s">
        <v>54</v>
      </c>
      <c r="D290" s="133" t="s">
        <v>40</v>
      </c>
      <c r="E290" s="134" t="s">
        <v>74</v>
      </c>
      <c r="F290" s="471" t="s">
        <v>85</v>
      </c>
      <c r="G290" s="135" t="str">
        <f>VLOOKUP(A290,Plano_V3!$A$26:$G$768,7,0)</f>
        <v>0. Cancelado</v>
      </c>
      <c r="H290" s="135" t="s">
        <v>611</v>
      </c>
      <c r="I290" s="468"/>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4"/>
        <v>RESPONSIBILITY_PROCESS_RELnum_prop</v>
      </c>
      <c r="B291" s="141" t="s">
        <v>26</v>
      </c>
      <c r="C291" s="137" t="s">
        <v>54</v>
      </c>
      <c r="D291" s="133" t="s">
        <v>40</v>
      </c>
      <c r="E291" s="134" t="s">
        <v>74</v>
      </c>
      <c r="F291" s="471" t="s">
        <v>86</v>
      </c>
      <c r="G291" s="135" t="str">
        <f>VLOOKUP(A291,Plano_V3!$A$26:$G$768,7,0)</f>
        <v>0. Cancelado</v>
      </c>
      <c r="H291" s="135" t="s">
        <v>611</v>
      </c>
      <c r="I291" s="468"/>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4"/>
        <v>RESPONSIBILITY_PROCESS_RELSOURCE_CODE</v>
      </c>
      <c r="B292" s="141" t="s">
        <v>26</v>
      </c>
      <c r="C292" s="137" t="s">
        <v>54</v>
      </c>
      <c r="D292" s="133" t="s">
        <v>40</v>
      </c>
      <c r="E292" s="134" t="s">
        <v>74</v>
      </c>
      <c r="F292" s="471" t="s">
        <v>87</v>
      </c>
      <c r="G292" s="135" t="str">
        <f>VLOOKUP(A292,Plano_V3!$A$26:$G$768,7,0)</f>
        <v>1. Concluído</v>
      </c>
      <c r="H292" s="135" t="s">
        <v>612</v>
      </c>
      <c r="I292" s="468"/>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4"/>
        <v>RESPONSIBILITY_PROCESS_RELDATA_DATE_PART</v>
      </c>
      <c r="B293" s="141" t="s">
        <v>26</v>
      </c>
      <c r="C293" s="137" t="s">
        <v>54</v>
      </c>
      <c r="D293" s="133" t="s">
        <v>40</v>
      </c>
      <c r="E293" s="134" t="s">
        <v>74</v>
      </c>
      <c r="F293" s="471" t="s">
        <v>73</v>
      </c>
      <c r="G293" s="135" t="str">
        <f>VLOOKUP(A293,Plano_V3!$A$26:$G$768,7,0)</f>
        <v>1. Concluído</v>
      </c>
      <c r="H293" s="135" t="s">
        <v>612</v>
      </c>
      <c r="I293" s="468"/>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4"/>
        <v>PROCESS_PROPERTY_RELn.a.</v>
      </c>
      <c r="B294" s="141" t="s">
        <v>26</v>
      </c>
      <c r="C294" s="137" t="s">
        <v>54</v>
      </c>
      <c r="D294" s="133" t="s">
        <v>36</v>
      </c>
      <c r="E294" s="134" t="s">
        <v>88</v>
      </c>
      <c r="F294" s="471" t="s">
        <v>38</v>
      </c>
      <c r="G294" s="135" t="str">
        <f>VLOOKUP(A294,Plano_V3!$A$26:$G$768,7,0)</f>
        <v>1. Concluído</v>
      </c>
      <c r="H294" s="135" t="s">
        <v>612</v>
      </c>
      <c r="I294" s="468"/>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4"/>
        <v>PROCESS_PROPERTY_RELPROPERTY_BANK_ID</v>
      </c>
      <c r="B295" s="141" t="s">
        <v>26</v>
      </c>
      <c r="C295" s="137" t="s">
        <v>54</v>
      </c>
      <c r="D295" s="133" t="s">
        <v>40</v>
      </c>
      <c r="E295" s="134" t="s">
        <v>88</v>
      </c>
      <c r="F295" s="471" t="s">
        <v>41</v>
      </c>
      <c r="G295" s="135" t="str">
        <f>VLOOKUP(A295,Plano_V3!$A$26:$G$768,7,0)</f>
        <v>1. Concluído</v>
      </c>
      <c r="H295" s="135" t="s">
        <v>612</v>
      </c>
      <c r="I295" s="468"/>
      <c r="J295" s="153"/>
      <c r="K295" s="153"/>
      <c r="L295" s="153"/>
      <c r="M295" s="153"/>
      <c r="N295" s="489"/>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4"/>
        <v>PROCESS_PROPERTY_RELPROCESS_BANK_ID</v>
      </c>
      <c r="B296" s="141" t="s">
        <v>26</v>
      </c>
      <c r="C296" s="137" t="s">
        <v>54</v>
      </c>
      <c r="D296" s="133" t="s">
        <v>40</v>
      </c>
      <c r="E296" s="134" t="s">
        <v>88</v>
      </c>
      <c r="F296" s="471" t="s">
        <v>57</v>
      </c>
      <c r="G296" s="135" t="str">
        <f>VLOOKUP(A296,Plano_V3!$A$26:$G$768,7,0)</f>
        <v>1. Concluído</v>
      </c>
      <c r="H296" s="135" t="s">
        <v>612</v>
      </c>
      <c r="I296" s="468"/>
      <c r="J296" s="153"/>
      <c r="K296" s="153"/>
      <c r="L296" s="153"/>
      <c r="M296" s="153"/>
      <c r="N296" s="489"/>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4"/>
        <v>PROCESS_PROPERTY_RELPROPERTY_BRANCH_CODE</v>
      </c>
      <c r="B297" s="141" t="s">
        <v>26</v>
      </c>
      <c r="C297" s="137" t="s">
        <v>54</v>
      </c>
      <c r="D297" s="133" t="s">
        <v>40</v>
      </c>
      <c r="E297" s="134" t="s">
        <v>88</v>
      </c>
      <c r="F297" s="471" t="s">
        <v>43</v>
      </c>
      <c r="G297" s="135" t="str">
        <f>VLOOKUP(A297,Plano_V3!$A$26:$G$768,7,0)</f>
        <v>1. Concluído</v>
      </c>
      <c r="H297" s="135" t="s">
        <v>612</v>
      </c>
      <c r="I297" s="468"/>
      <c r="J297" s="153"/>
      <c r="K297" s="153"/>
      <c r="L297" s="153"/>
      <c r="M297" s="153"/>
      <c r="N297" s="489"/>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4"/>
        <v>PROCESS_PROPERTY_RELPROCESS_BRANCH_CODE</v>
      </c>
      <c r="B298" s="141" t="s">
        <v>26</v>
      </c>
      <c r="C298" s="137" t="s">
        <v>54</v>
      </c>
      <c r="D298" s="133" t="s">
        <v>40</v>
      </c>
      <c r="E298" s="134" t="s">
        <v>88</v>
      </c>
      <c r="F298" s="471" t="s">
        <v>58</v>
      </c>
      <c r="G298" s="135" t="str">
        <f>VLOOKUP(A298,Plano_V3!$A$26:$G$768,7,0)</f>
        <v>1. Concluído</v>
      </c>
      <c r="H298" s="135" t="s">
        <v>612</v>
      </c>
      <c r="I298" s="468"/>
      <c r="J298" s="153"/>
      <c r="K298" s="153"/>
      <c r="L298" s="153"/>
      <c r="M298" s="153"/>
      <c r="N298" s="489"/>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4"/>
        <v>PROCESS_PROPERTY_RELPROPERTY_CONTRACT_ID</v>
      </c>
      <c r="B299" s="141" t="s">
        <v>26</v>
      </c>
      <c r="C299" s="137" t="s">
        <v>54</v>
      </c>
      <c r="D299" s="133" t="s">
        <v>40</v>
      </c>
      <c r="E299" s="134" t="s">
        <v>88</v>
      </c>
      <c r="F299" s="471" t="s">
        <v>44</v>
      </c>
      <c r="G299" s="135" t="str">
        <f>VLOOKUP(A299,Plano_V3!$A$26:$G$768,7,0)</f>
        <v>1. Concluído</v>
      </c>
      <c r="H299" s="135" t="s">
        <v>612</v>
      </c>
      <c r="I299" s="468"/>
      <c r="J299" s="153"/>
      <c r="K299" s="153"/>
      <c r="L299" s="153"/>
      <c r="M299" s="153"/>
      <c r="N299" s="489"/>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4"/>
        <v>PROCESS_PROPERTY_RELPROCESS_ACCOUNT_ID</v>
      </c>
      <c r="B300" s="141" t="s">
        <v>26</v>
      </c>
      <c r="C300" s="137" t="s">
        <v>54</v>
      </c>
      <c r="D300" s="133" t="s">
        <v>40</v>
      </c>
      <c r="E300" s="134" t="s">
        <v>88</v>
      </c>
      <c r="F300" s="471" t="s">
        <v>59</v>
      </c>
      <c r="G300" s="135" t="str">
        <f>VLOOKUP(A300,Plano_V3!$A$26:$G$768,7,0)</f>
        <v>1. Concluído</v>
      </c>
      <c r="H300" s="135" t="s">
        <v>612</v>
      </c>
      <c r="I300" s="468"/>
      <c r="J300" s="153"/>
      <c r="K300" s="153"/>
      <c r="L300" s="153"/>
      <c r="M300" s="153"/>
      <c r="N300" s="489"/>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4"/>
        <v>PROCESS_PROPERTY_RELPROPERTY_REFERENCE_CODE</v>
      </c>
      <c r="B301" s="141" t="s">
        <v>26</v>
      </c>
      <c r="C301" s="137" t="s">
        <v>54</v>
      </c>
      <c r="D301" s="133" t="s">
        <v>40</v>
      </c>
      <c r="E301" s="134" t="s">
        <v>88</v>
      </c>
      <c r="F301" s="471" t="s">
        <v>45</v>
      </c>
      <c r="G301" s="135" t="str">
        <f>VLOOKUP(A301,Plano_V3!$A$26:$G$768,7,0)</f>
        <v>1. Concluído</v>
      </c>
      <c r="H301" s="135" t="s">
        <v>612</v>
      </c>
      <c r="I301" s="468"/>
      <c r="J301" s="153"/>
      <c r="K301" s="153"/>
      <c r="L301" s="153"/>
      <c r="M301" s="153"/>
      <c r="N301" s="489"/>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4"/>
        <v>PROCESS_PROPERTY_RELPROCESS_REFERENCE_CODE</v>
      </c>
      <c r="B302" s="141" t="s">
        <v>26</v>
      </c>
      <c r="C302" s="137" t="s">
        <v>54</v>
      </c>
      <c r="D302" s="133" t="s">
        <v>40</v>
      </c>
      <c r="E302" s="134" t="s">
        <v>88</v>
      </c>
      <c r="F302" s="471" t="s">
        <v>67</v>
      </c>
      <c r="G302" s="135" t="str">
        <f>VLOOKUP(A302,Plano_V3!$A$26:$G$768,7,0)</f>
        <v>1. Concluído</v>
      </c>
      <c r="H302" s="135" t="s">
        <v>612</v>
      </c>
      <c r="I302" s="468"/>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4"/>
        <v>PROCESS_PROPERTY_RELdata_assc</v>
      </c>
      <c r="B303" s="141" t="s">
        <v>26</v>
      </c>
      <c r="C303" s="137" t="s">
        <v>54</v>
      </c>
      <c r="D303" s="133" t="s">
        <v>40</v>
      </c>
      <c r="E303" s="134" t="s">
        <v>88</v>
      </c>
      <c r="F303" s="471" t="s">
        <v>89</v>
      </c>
      <c r="G303" s="135" t="str">
        <f>VLOOKUP(A303,Plano_V3!$A$26:$G$768,7,0)</f>
        <v>0. Cancelado</v>
      </c>
      <c r="H303" s="135" t="s">
        <v>611</v>
      </c>
      <c r="I303" s="468"/>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4"/>
        <v>PROCESS_PROPERTY_RELSEIZED_PROPERTY_IND</v>
      </c>
      <c r="B304" s="141" t="s">
        <v>26</v>
      </c>
      <c r="C304" s="137" t="s">
        <v>54</v>
      </c>
      <c r="D304" s="133" t="s">
        <v>40</v>
      </c>
      <c r="E304" s="134" t="s">
        <v>88</v>
      </c>
      <c r="F304" s="471" t="s">
        <v>90</v>
      </c>
      <c r="G304" s="135" t="str">
        <f>VLOOKUP(A304,Plano_V3!$A$26:$G$768,7,0)</f>
        <v>1. Concluído</v>
      </c>
      <c r="H304" s="135" t="s">
        <v>612</v>
      </c>
      <c r="I304" s="468"/>
      <c r="J304" s="153"/>
      <c r="K304" s="153"/>
      <c r="L304" s="153"/>
      <c r="M304" s="153"/>
      <c r="N304" s="489"/>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4"/>
        <v>PROCESS_PROPERTY_RELCOLLATERAL_PROPERTY_IND</v>
      </c>
      <c r="B305" s="141" t="s">
        <v>26</v>
      </c>
      <c r="C305" s="137" t="s">
        <v>54</v>
      </c>
      <c r="D305" s="133" t="s">
        <v>40</v>
      </c>
      <c r="E305" s="134" t="s">
        <v>88</v>
      </c>
      <c r="F305" s="471" t="s">
        <v>91</v>
      </c>
      <c r="G305" s="135" t="str">
        <f>VLOOKUP(A305,Plano_V3!$A$26:$G$768,7,0)</f>
        <v>1. Concluído</v>
      </c>
      <c r="H305" s="135" t="s">
        <v>612</v>
      </c>
      <c r="I305" s="468"/>
      <c r="J305" s="153"/>
      <c r="K305" s="153"/>
      <c r="L305" s="153"/>
      <c r="M305" s="153"/>
      <c r="N305" s="489"/>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4"/>
        <v>PROCESS_PROPERTY_RELFINANCED_PROPERTY_IND</v>
      </c>
      <c r="B306" s="141" t="s">
        <v>26</v>
      </c>
      <c r="C306" s="137" t="s">
        <v>54</v>
      </c>
      <c r="D306" s="133" t="s">
        <v>40</v>
      </c>
      <c r="E306" s="134" t="s">
        <v>88</v>
      </c>
      <c r="F306" s="471" t="s">
        <v>92</v>
      </c>
      <c r="G306" s="135" t="str">
        <f>VLOOKUP(A306,Plano_V3!$A$26:$G$768,7,0)</f>
        <v>1. Concluído</v>
      </c>
      <c r="H306" s="135" t="s">
        <v>612</v>
      </c>
      <c r="I306" s="468"/>
      <c r="J306" s="153"/>
      <c r="K306" s="153"/>
      <c r="L306" s="153"/>
      <c r="M306" s="153"/>
      <c r="N306" s="489"/>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4"/>
        <v>PROCESS_PROPERTY_RELOWNED_PROPERTY_IND</v>
      </c>
      <c r="B307" s="141" t="s">
        <v>26</v>
      </c>
      <c r="C307" s="137" t="s">
        <v>54</v>
      </c>
      <c r="D307" s="133" t="s">
        <v>40</v>
      </c>
      <c r="E307" s="134" t="s">
        <v>88</v>
      </c>
      <c r="F307" s="471" t="s">
        <v>93</v>
      </c>
      <c r="G307" s="135" t="str">
        <f>VLOOKUP(A307,Plano_V3!$A$26:$G$768,7,0)</f>
        <v>1. Concluído</v>
      </c>
      <c r="H307" s="135" t="s">
        <v>612</v>
      </c>
      <c r="I307" s="468"/>
      <c r="J307" s="153"/>
      <c r="K307" s="153"/>
      <c r="L307" s="153"/>
      <c r="M307" s="153"/>
      <c r="N307" s="489"/>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4"/>
        <v>PROCESS_PROPERTY_RELSOURCE_CODE</v>
      </c>
      <c r="B308" s="141" t="s">
        <v>26</v>
      </c>
      <c r="C308" s="137" t="s">
        <v>54</v>
      </c>
      <c r="D308" s="133" t="s">
        <v>40</v>
      </c>
      <c r="E308" s="134" t="s">
        <v>88</v>
      </c>
      <c r="F308" s="471" t="s">
        <v>87</v>
      </c>
      <c r="G308" s="135" t="str">
        <f>VLOOKUP(A308,Plano_V3!$A$26:$G$768,7,0)</f>
        <v>1. Concluído</v>
      </c>
      <c r="H308" s="135" t="s">
        <v>612</v>
      </c>
      <c r="I308" s="468"/>
      <c r="J308" s="153"/>
      <c r="K308" s="153"/>
      <c r="L308" s="153"/>
      <c r="M308" s="153"/>
      <c r="N308" s="489"/>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4"/>
        <v>PROCESS_PROPERTY_RELDATA_DATE_PART</v>
      </c>
      <c r="B309" s="141" t="s">
        <v>26</v>
      </c>
      <c r="C309" s="137" t="s">
        <v>54</v>
      </c>
      <c r="D309" s="133" t="s">
        <v>40</v>
      </c>
      <c r="E309" s="134" t="s">
        <v>88</v>
      </c>
      <c r="F309" s="471" t="s">
        <v>73</v>
      </c>
      <c r="G309" s="135" t="str">
        <f>VLOOKUP(A309,Plano_V3!$A$26:$G$768,7,0)</f>
        <v>1. Concluído</v>
      </c>
      <c r="H309" s="135" t="s">
        <v>612</v>
      </c>
      <c r="I309" s="468"/>
      <c r="J309" s="153"/>
      <c r="K309" s="153"/>
      <c r="L309" s="153"/>
      <c r="M309" s="153"/>
      <c r="N309" s="489"/>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4"/>
        <v>PROPERTYn.a.</v>
      </c>
      <c r="B310" s="141" t="s">
        <v>26</v>
      </c>
      <c r="C310" s="137" t="s">
        <v>54</v>
      </c>
      <c r="D310" s="133" t="s">
        <v>36</v>
      </c>
      <c r="E310" s="134" t="s">
        <v>94</v>
      </c>
      <c r="F310" s="471" t="s">
        <v>38</v>
      </c>
      <c r="G310" s="135" t="str">
        <f>VLOOKUP(A310,Plano_V3!$A$26:$G$768,7,0)</f>
        <v>1. Concluído</v>
      </c>
      <c r="H310" s="135" t="s">
        <v>612</v>
      </c>
      <c r="I310" s="468"/>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4"/>
        <v>PROPERTYCONSTRUCTION_YEAR</v>
      </c>
      <c r="B311" s="141" t="s">
        <v>26</v>
      </c>
      <c r="C311" s="137" t="s">
        <v>54</v>
      </c>
      <c r="D311" s="133" t="s">
        <v>40</v>
      </c>
      <c r="E311" s="134" t="s">
        <v>94</v>
      </c>
      <c r="F311" s="471" t="s">
        <v>96</v>
      </c>
      <c r="G311" s="135" t="str">
        <f>VLOOKUP(A311,Plano_V3!$A$26:$G$768,7,0)</f>
        <v>1. Concluído</v>
      </c>
      <c r="H311" s="135" t="s">
        <v>612</v>
      </c>
      <c r="I311" s="468"/>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4"/>
        <v>PROPERTYNET_FLOOR_AREA</v>
      </c>
      <c r="B312" s="141" t="s">
        <v>26</v>
      </c>
      <c r="C312" s="137" t="s">
        <v>54</v>
      </c>
      <c r="D312" s="133" t="s">
        <v>40</v>
      </c>
      <c r="E312" s="134" t="s">
        <v>94</v>
      </c>
      <c r="F312" s="471" t="s">
        <v>97</v>
      </c>
      <c r="G312" s="135" t="str">
        <f>VLOOKUP(A312,Plano_V3!$A$26:$G$768,7,0)</f>
        <v>1. Concluído</v>
      </c>
      <c r="H312" s="135" t="s">
        <v>612</v>
      </c>
      <c r="I312" s="468"/>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4"/>
        <v>PROPERTYPROPERTY_BANK_ID</v>
      </c>
      <c r="B313" s="141" t="s">
        <v>26</v>
      </c>
      <c r="C313" s="137" t="s">
        <v>54</v>
      </c>
      <c r="D313" s="133" t="s">
        <v>40</v>
      </c>
      <c r="E313" s="134" t="s">
        <v>94</v>
      </c>
      <c r="F313" s="471" t="s">
        <v>41</v>
      </c>
      <c r="G313" s="135" t="str">
        <f>VLOOKUP(A313,Plano_V3!$A$26:$G$768,7,0)</f>
        <v>1. Concluído</v>
      </c>
      <c r="H313" s="135" t="s">
        <v>612</v>
      </c>
      <c r="I313" s="468"/>
      <c r="J313" s="153"/>
      <c r="K313" s="153"/>
      <c r="L313" s="153"/>
      <c r="M313" s="153"/>
      <c r="N313" s="489"/>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4"/>
        <v>PROPERTYPROPERTY_BRANCH_CODE</v>
      </c>
      <c r="B314" s="141" t="s">
        <v>26</v>
      </c>
      <c r="C314" s="137" t="s">
        <v>54</v>
      </c>
      <c r="D314" s="133" t="s">
        <v>40</v>
      </c>
      <c r="E314" s="134" t="s">
        <v>94</v>
      </c>
      <c r="F314" s="471" t="s">
        <v>43</v>
      </c>
      <c r="G314" s="135" t="str">
        <f>VLOOKUP(A314,Plano_V3!$A$26:$G$768,7,0)</f>
        <v>1. Concluído</v>
      </c>
      <c r="H314" s="135" t="s">
        <v>612</v>
      </c>
      <c r="I314" s="468"/>
      <c r="J314" s="153"/>
      <c r="K314" s="153"/>
      <c r="L314" s="153"/>
      <c r="M314" s="153"/>
      <c r="N314" s="489"/>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4"/>
        <v>PROPERTYPROPERTY_CONTRACT_ID</v>
      </c>
      <c r="B315" s="141" t="s">
        <v>26</v>
      </c>
      <c r="C315" s="137" t="s">
        <v>54</v>
      </c>
      <c r="D315" s="133" t="s">
        <v>40</v>
      </c>
      <c r="E315" s="134" t="s">
        <v>94</v>
      </c>
      <c r="F315" s="471" t="s">
        <v>44</v>
      </c>
      <c r="G315" s="135" t="str">
        <f>VLOOKUP(A315,Plano_V3!$A$26:$G$768,7,0)</f>
        <v>1. Concluído</v>
      </c>
      <c r="H315" s="135" t="s">
        <v>612</v>
      </c>
      <c r="I315" s="468"/>
      <c r="J315" s="153"/>
      <c r="K315" s="153"/>
      <c r="L315" s="153"/>
      <c r="M315" s="153"/>
      <c r="N315" s="489"/>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4"/>
        <v>PROPERTYPROPERTY_REFERENCE_CODE</v>
      </c>
      <c r="B316" s="141" t="s">
        <v>26</v>
      </c>
      <c r="C316" s="137" t="s">
        <v>54</v>
      </c>
      <c r="D316" s="133" t="s">
        <v>40</v>
      </c>
      <c r="E316" s="134" t="s">
        <v>94</v>
      </c>
      <c r="F316" s="471" t="s">
        <v>45</v>
      </c>
      <c r="G316" s="135" t="str">
        <f>VLOOKUP(A316,Plano_V3!$A$26:$G$768,7,0)</f>
        <v>1. Concluído</v>
      </c>
      <c r="H316" s="135" t="s">
        <v>612</v>
      </c>
      <c r="I316" s="468"/>
      <c r="J316" s="153"/>
      <c r="K316" s="153"/>
      <c r="L316" s="153"/>
      <c r="M316" s="153"/>
      <c r="N316" s="489"/>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4"/>
        <v>PROPERTYCADASTRAL_REGISTER_CODE</v>
      </c>
      <c r="B317" s="141" t="s">
        <v>26</v>
      </c>
      <c r="C317" s="137" t="s">
        <v>54</v>
      </c>
      <c r="D317" s="133" t="s">
        <v>40</v>
      </c>
      <c r="E317" s="134" t="s">
        <v>94</v>
      </c>
      <c r="F317" s="471" t="s">
        <v>98</v>
      </c>
      <c r="G317" s="135" t="str">
        <f>VLOOKUP(A317,Plano_V3!$A$26:$G$768,7,0)</f>
        <v>1. Concluído</v>
      </c>
      <c r="H317" s="135" t="s">
        <v>612</v>
      </c>
      <c r="I317" s="468"/>
      <c r="J317" s="153"/>
      <c r="K317" s="153"/>
      <c r="L317" s="153"/>
      <c r="M317" s="153"/>
      <c r="N317" s="489"/>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4"/>
        <v>PROPERTYAPPRAISAL_CODE</v>
      </c>
      <c r="B318" s="141" t="s">
        <v>26</v>
      </c>
      <c r="C318" s="137" t="s">
        <v>54</v>
      </c>
      <c r="D318" s="133" t="s">
        <v>40</v>
      </c>
      <c r="E318" s="134" t="s">
        <v>94</v>
      </c>
      <c r="F318" s="471" t="s">
        <v>99</v>
      </c>
      <c r="G318" s="135" t="str">
        <f>VLOOKUP(A318,Plano_V3!$A$26:$G$768,7,0)</f>
        <v>1. Concluído</v>
      </c>
      <c r="H318" s="135" t="s">
        <v>612</v>
      </c>
      <c r="I318" s="468"/>
      <c r="J318" s="153"/>
      <c r="K318" s="153"/>
      <c r="L318" s="153"/>
      <c r="M318" s="153"/>
      <c r="N318" s="489"/>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4"/>
        <v>PROPERTYcod_bem</v>
      </c>
      <c r="B319" s="141" t="s">
        <v>26</v>
      </c>
      <c r="C319" s="137" t="s">
        <v>54</v>
      </c>
      <c r="D319" s="133" t="s">
        <v>40</v>
      </c>
      <c r="E319" s="134" t="s">
        <v>94</v>
      </c>
      <c r="F319" s="471" t="s">
        <v>100</v>
      </c>
      <c r="G319" s="135" t="str">
        <f>VLOOKUP(A319,Plano_V3!$A$26:$G$768,7,0)</f>
        <v>0. Cancelado</v>
      </c>
      <c r="H319" s="135" t="s">
        <v>611</v>
      </c>
      <c r="I319" s="468"/>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4"/>
        <v>PROPERTYDISTRICT_MUNICIP_PARISH_CODE</v>
      </c>
      <c r="B320" s="141" t="s">
        <v>26</v>
      </c>
      <c r="C320" s="137" t="s">
        <v>54</v>
      </c>
      <c r="D320" s="133" t="s">
        <v>40</v>
      </c>
      <c r="E320" s="134" t="s">
        <v>94</v>
      </c>
      <c r="F320" s="471" t="s">
        <v>101</v>
      </c>
      <c r="G320" s="135" t="str">
        <f>VLOOKUP(A320,Plano_V3!$A$26:$G$768,7,0)</f>
        <v>1. Concluído</v>
      </c>
      <c r="H320" s="135" t="s">
        <v>612</v>
      </c>
      <c r="I320" s="468"/>
      <c r="J320" s="153"/>
      <c r="K320" s="153"/>
      <c r="L320" s="153"/>
      <c r="M320" s="153"/>
      <c r="N320" s="489"/>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4"/>
        <v>PROPERTYPROPERTY_PURPOSE_CODE</v>
      </c>
      <c r="B321" s="141" t="s">
        <v>26</v>
      </c>
      <c r="C321" s="137" t="s">
        <v>54</v>
      </c>
      <c r="D321" s="133" t="s">
        <v>40</v>
      </c>
      <c r="E321" s="134" t="s">
        <v>94</v>
      </c>
      <c r="F321" s="471" t="s">
        <v>102</v>
      </c>
      <c r="G321" s="135" t="str">
        <f>VLOOKUP(A321,Plano_V3!$A$26:$G$768,7,0)</f>
        <v>1. Concluído</v>
      </c>
      <c r="H321" s="135" t="s">
        <v>612</v>
      </c>
      <c r="I321" s="468"/>
      <c r="J321" s="153"/>
      <c r="K321" s="153"/>
      <c r="L321" s="153"/>
      <c r="M321" s="153"/>
      <c r="N321" s="489"/>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4"/>
        <v>PROPERTYPROPERTY_LIFETIME_CODE</v>
      </c>
      <c r="B322" s="141" t="s">
        <v>26</v>
      </c>
      <c r="C322" s="137" t="s">
        <v>54</v>
      </c>
      <c r="D322" s="133" t="s">
        <v>40</v>
      </c>
      <c r="E322" s="134" t="s">
        <v>94</v>
      </c>
      <c r="F322" s="471" t="s">
        <v>103</v>
      </c>
      <c r="G322" s="135" t="str">
        <f>VLOOKUP(A322,Plano_V3!$A$26:$G$768,7,0)</f>
        <v>1. Concluído</v>
      </c>
      <c r="H322" s="135" t="s">
        <v>612</v>
      </c>
      <c r="I322" s="468"/>
      <c r="J322" s="153"/>
      <c r="K322" s="153"/>
      <c r="L322" s="153"/>
      <c r="M322" s="153"/>
      <c r="N322" s="489"/>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4"/>
        <v>PROPERTYADDRESS_CODE</v>
      </c>
      <c r="B323" s="141" t="s">
        <v>26</v>
      </c>
      <c r="C323" s="137" t="s">
        <v>54</v>
      </c>
      <c r="D323" s="133" t="s">
        <v>40</v>
      </c>
      <c r="E323" s="134" t="s">
        <v>94</v>
      </c>
      <c r="F323" s="471" t="s">
        <v>104</v>
      </c>
      <c r="G323" s="135" t="str">
        <f>VLOOKUP(A323,Plano_V3!$A$26:$G$768,7,0)</f>
        <v>1. Concluído</v>
      </c>
      <c r="H323" s="135" t="s">
        <v>612</v>
      </c>
      <c r="I323" s="468"/>
      <c r="J323" s="153"/>
      <c r="K323" s="153"/>
      <c r="L323" s="153"/>
      <c r="M323" s="153"/>
      <c r="N323" s="489"/>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4"/>
        <v>PROPERTYCOUNTRY_CODE</v>
      </c>
      <c r="B324" s="141" t="s">
        <v>26</v>
      </c>
      <c r="C324" s="137" t="s">
        <v>54</v>
      </c>
      <c r="D324" s="133" t="s">
        <v>40</v>
      </c>
      <c r="E324" s="134" t="s">
        <v>94</v>
      </c>
      <c r="F324" s="471" t="s">
        <v>105</v>
      </c>
      <c r="G324" s="135" t="str">
        <f>VLOOKUP(A324,Plano_V3!$A$26:$G$768,7,0)</f>
        <v>1. Concluído</v>
      </c>
      <c r="H324" s="135" t="s">
        <v>612</v>
      </c>
      <c r="I324" s="468"/>
      <c r="J324" s="153"/>
      <c r="K324" s="153"/>
      <c r="L324" s="153"/>
      <c r="M324" s="153"/>
      <c r="N324" s="489"/>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4"/>
        <v>PROPERTYPOSTAL_CODE</v>
      </c>
      <c r="B325" s="141" t="s">
        <v>26</v>
      </c>
      <c r="C325" s="137" t="s">
        <v>54</v>
      </c>
      <c r="D325" s="133" t="s">
        <v>40</v>
      </c>
      <c r="E325" s="134" t="s">
        <v>94</v>
      </c>
      <c r="F325" s="471" t="s">
        <v>106</v>
      </c>
      <c r="G325" s="135" t="str">
        <f>VLOOKUP(A325,Plano_V3!$A$26:$G$768,7,0)</f>
        <v>1. Concluído</v>
      </c>
      <c r="H325" s="135" t="s">
        <v>612</v>
      </c>
      <c r="I325" s="468"/>
      <c r="J325" s="153"/>
      <c r="K325" s="153"/>
      <c r="L325" s="153"/>
      <c r="M325" s="153"/>
      <c r="N325" s="489"/>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4"/>
        <v>PROPERTYPROPERTY_TYPE_CODE</v>
      </c>
      <c r="B326" s="141" t="s">
        <v>26</v>
      </c>
      <c r="C326" s="137" t="s">
        <v>54</v>
      </c>
      <c r="D326" s="133" t="s">
        <v>40</v>
      </c>
      <c r="E326" s="134" t="s">
        <v>94</v>
      </c>
      <c r="F326" s="471" t="s">
        <v>107</v>
      </c>
      <c r="G326" s="135" t="str">
        <f>VLOOKUP(A326,Plano_V3!$A$26:$G$768,7,0)</f>
        <v>1. Concluído</v>
      </c>
      <c r="H326" s="135" t="s">
        <v>612</v>
      </c>
      <c r="I326" s="468"/>
      <c r="J326" s="153"/>
      <c r="K326" s="153"/>
      <c r="L326" s="153"/>
      <c r="M326" s="153"/>
      <c r="N326" s="489"/>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4"/>
        <v>PROPERTYLAST_APPRAISAL_DATE</v>
      </c>
      <c r="B327" s="141" t="s">
        <v>26</v>
      </c>
      <c r="C327" s="137" t="s">
        <v>54</v>
      </c>
      <c r="D327" s="133" t="s">
        <v>40</v>
      </c>
      <c r="E327" s="134" t="s">
        <v>94</v>
      </c>
      <c r="F327" s="471" t="s">
        <v>108</v>
      </c>
      <c r="G327" s="135" t="str">
        <f>VLOOKUP(A327,Plano_V3!$A$26:$G$768,7,0)</f>
        <v>1. Concluído</v>
      </c>
      <c r="H327" s="135" t="s">
        <v>612</v>
      </c>
      <c r="I327" s="468"/>
      <c r="J327" s="153"/>
      <c r="K327" s="153"/>
      <c r="L327" s="153"/>
      <c r="M327" s="153"/>
      <c r="N327" s="489"/>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4"/>
        <v>PROPERTYUSAGE_PERMIT_START_DATE</v>
      </c>
      <c r="B328" s="141" t="s">
        <v>26</v>
      </c>
      <c r="C328" s="137" t="s">
        <v>54</v>
      </c>
      <c r="D328" s="133" t="s">
        <v>40</v>
      </c>
      <c r="E328" s="134" t="s">
        <v>94</v>
      </c>
      <c r="F328" s="471" t="s">
        <v>109</v>
      </c>
      <c r="G328" s="135" t="str">
        <f>VLOOKUP(A328,Plano_V3!$A$26:$G$768,7,0)</f>
        <v>1. Concluído</v>
      </c>
      <c r="H328" s="135" t="s">
        <v>612</v>
      </c>
      <c r="I328" s="468"/>
      <c r="J328" s="153"/>
      <c r="K328" s="153"/>
      <c r="L328" s="153"/>
      <c r="M328" s="153"/>
      <c r="N328" s="489"/>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4"/>
        <v>PROPERTYCONSERVATORY_REG_FILE_ID</v>
      </c>
      <c r="B329" s="141" t="s">
        <v>26</v>
      </c>
      <c r="C329" s="137" t="s">
        <v>54</v>
      </c>
      <c r="D329" s="133" t="s">
        <v>40</v>
      </c>
      <c r="E329" s="134" t="s">
        <v>94</v>
      </c>
      <c r="F329" s="471" t="s">
        <v>110</v>
      </c>
      <c r="G329" s="135" t="str">
        <f>VLOOKUP(A329,Plano_V3!$A$26:$G$768,7,0)</f>
        <v>1. Concluído</v>
      </c>
      <c r="H329" s="135" t="s">
        <v>612</v>
      </c>
      <c r="I329" s="468"/>
      <c r="J329" s="153"/>
      <c r="K329" s="153"/>
      <c r="L329" s="153"/>
      <c r="M329" s="153"/>
      <c r="N329" s="489"/>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4"/>
        <v>PROPERTYFLOOR_NUMBER</v>
      </c>
      <c r="B330" s="141" t="s">
        <v>26</v>
      </c>
      <c r="C330" s="137" t="s">
        <v>54</v>
      </c>
      <c r="D330" s="133" t="s">
        <v>40</v>
      </c>
      <c r="E330" s="134" t="s">
        <v>94</v>
      </c>
      <c r="F330" s="471" t="s">
        <v>111</v>
      </c>
      <c r="G330" s="135" t="str">
        <f>VLOOKUP(A330,Plano_V3!$A$26:$G$768,7,0)</f>
        <v>1. Concluído</v>
      </c>
      <c r="H330" s="135" t="s">
        <v>612</v>
      </c>
      <c r="I330" s="468"/>
      <c r="J330" s="153"/>
      <c r="K330" s="153"/>
      <c r="L330" s="153"/>
      <c r="M330" s="153"/>
      <c r="N330" s="489"/>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5">E331&amp;F331</f>
        <v>PROPERTYLOCALITY</v>
      </c>
      <c r="B331" s="141" t="s">
        <v>26</v>
      </c>
      <c r="C331" s="137" t="s">
        <v>54</v>
      </c>
      <c r="D331" s="133" t="s">
        <v>40</v>
      </c>
      <c r="E331" s="134" t="s">
        <v>94</v>
      </c>
      <c r="F331" s="471" t="s">
        <v>112</v>
      </c>
      <c r="G331" s="135" t="str">
        <f>VLOOKUP(A331,Plano_V3!$A$26:$G$768,7,0)</f>
        <v>1. Concluído</v>
      </c>
      <c r="H331" s="135" t="s">
        <v>612</v>
      </c>
      <c r="I331" s="468"/>
      <c r="J331" s="153"/>
      <c r="K331" s="153"/>
      <c r="L331" s="153"/>
      <c r="M331" s="153"/>
      <c r="N331" s="489"/>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5"/>
        <v>PROPERTYPROPERTY_LOT</v>
      </c>
      <c r="B332" s="141" t="s">
        <v>26</v>
      </c>
      <c r="C332" s="137" t="s">
        <v>54</v>
      </c>
      <c r="D332" s="133" t="s">
        <v>40</v>
      </c>
      <c r="E332" s="134" t="s">
        <v>94</v>
      </c>
      <c r="F332" s="471" t="s">
        <v>113</v>
      </c>
      <c r="G332" s="135" t="str">
        <f>VLOOKUP(A332,Plano_V3!$A$26:$G$768,7,0)</f>
        <v>1. Concluído</v>
      </c>
      <c r="H332" s="135" t="s">
        <v>612</v>
      </c>
      <c r="I332" s="468"/>
      <c r="J332" s="153"/>
      <c r="K332" s="153"/>
      <c r="L332" s="153"/>
      <c r="M332" s="153"/>
      <c r="N332" s="489"/>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5"/>
        <v>PROPERTYLAST_APPRAISAL_AMOUNT</v>
      </c>
      <c r="B333" s="141" t="s">
        <v>26</v>
      </c>
      <c r="C333" s="137" t="s">
        <v>54</v>
      </c>
      <c r="D333" s="133" t="s">
        <v>40</v>
      </c>
      <c r="E333" s="134" t="s">
        <v>94</v>
      </c>
      <c r="F333" s="471" t="s">
        <v>114</v>
      </c>
      <c r="G333" s="135" t="str">
        <f>VLOOKUP(A333,Plano_V3!$A$26:$G$768,7,0)</f>
        <v>1. Concluído</v>
      </c>
      <c r="H333" s="135" t="s">
        <v>612</v>
      </c>
      <c r="I333" s="468"/>
      <c r="J333" s="153"/>
      <c r="K333" s="153"/>
      <c r="L333" s="153"/>
      <c r="M333" s="153"/>
      <c r="N333" s="489"/>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5"/>
        <v>PROPERTYNET_APPRAISAL_AMOUNT</v>
      </c>
      <c r="B334" s="141" t="s">
        <v>26</v>
      </c>
      <c r="C334" s="137" t="s">
        <v>54</v>
      </c>
      <c r="D334" s="133" t="s">
        <v>40</v>
      </c>
      <c r="E334" s="134" t="s">
        <v>94</v>
      </c>
      <c r="F334" s="471" t="s">
        <v>115</v>
      </c>
      <c r="G334" s="135" t="str">
        <f>VLOOKUP(A334,Plano_V3!$A$26:$G$768,7,0)</f>
        <v>1. Concluído</v>
      </c>
      <c r="H334" s="135" t="s">
        <v>612</v>
      </c>
      <c r="I334" s="468"/>
      <c r="J334" s="153"/>
      <c r="K334" s="153"/>
      <c r="L334" s="153"/>
      <c r="M334" s="153"/>
      <c r="N334" s="489"/>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5"/>
        <v>PROPERTYCOLLATERAL_FAST_SALE_AMOUNT</v>
      </c>
      <c r="B335" s="141" t="s">
        <v>26</v>
      </c>
      <c r="C335" s="137" t="s">
        <v>54</v>
      </c>
      <c r="D335" s="133" t="s">
        <v>40</v>
      </c>
      <c r="E335" s="134" t="s">
        <v>94</v>
      </c>
      <c r="F335" s="471" t="s">
        <v>116</v>
      </c>
      <c r="G335" s="135" t="str">
        <f>VLOOKUP(A335,Plano_V3!$A$26:$G$768,7,0)</f>
        <v>1. Concluído</v>
      </c>
      <c r="H335" s="135" t="s">
        <v>612</v>
      </c>
      <c r="I335" s="468"/>
      <c r="J335" s="153"/>
      <c r="K335" s="153"/>
      <c r="L335" s="153"/>
      <c r="M335" s="153"/>
      <c r="N335" s="489"/>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5"/>
        <v>PROPERTYADDRESS</v>
      </c>
      <c r="B336" s="141" t="s">
        <v>26</v>
      </c>
      <c r="C336" s="137" t="s">
        <v>54</v>
      </c>
      <c r="D336" s="133" t="s">
        <v>40</v>
      </c>
      <c r="E336" s="134" t="s">
        <v>94</v>
      </c>
      <c r="F336" s="471" t="s">
        <v>117</v>
      </c>
      <c r="G336" s="135" t="str">
        <f>VLOOKUP(A336,Plano_V3!$A$26:$G$768,7,0)</f>
        <v>1. Concluído</v>
      </c>
      <c r="H336" s="135" t="s">
        <v>612</v>
      </c>
      <c r="I336" s="468"/>
      <c r="J336" s="153"/>
      <c r="K336" s="153"/>
      <c r="L336" s="153"/>
      <c r="M336" s="153"/>
      <c r="N336" s="489"/>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5"/>
        <v>PROPERTYPROPERTY_NUMBER</v>
      </c>
      <c r="B337" s="141" t="s">
        <v>26</v>
      </c>
      <c r="C337" s="137" t="s">
        <v>54</v>
      </c>
      <c r="D337" s="133" t="s">
        <v>40</v>
      </c>
      <c r="E337" s="134" t="s">
        <v>94</v>
      </c>
      <c r="F337" s="471" t="s">
        <v>118</v>
      </c>
      <c r="G337" s="135" t="str">
        <f>VLOOKUP(A337,Plano_V3!$A$26:$G$768,7,0)</f>
        <v>1. Concluído</v>
      </c>
      <c r="H337" s="135" t="s">
        <v>612</v>
      </c>
      <c r="I337" s="468"/>
      <c r="J337" s="153"/>
      <c r="K337" s="153"/>
      <c r="L337" s="153"/>
      <c r="M337" s="153"/>
      <c r="N337" s="489"/>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5"/>
        <v>PROPERTYOrigem</v>
      </c>
      <c r="B338" s="141" t="s">
        <v>26</v>
      </c>
      <c r="C338" s="137" t="s">
        <v>54</v>
      </c>
      <c r="D338" s="133" t="s">
        <v>40</v>
      </c>
      <c r="E338" s="134" t="s">
        <v>94</v>
      </c>
      <c r="F338" s="471" t="s">
        <v>119</v>
      </c>
      <c r="G338" s="135" t="str">
        <f>VLOOKUP(A338,Plano_V3!$A$26:$G$768,7,0)</f>
        <v>0. Cancelado</v>
      </c>
      <c r="H338" s="135" t="s">
        <v>611</v>
      </c>
      <c r="I338" s="468"/>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5"/>
        <v>PROPERTYCURRENT_CONSTRUCTION_PCT</v>
      </c>
      <c r="B339" s="141" t="s">
        <v>26</v>
      </c>
      <c r="C339" s="137" t="s">
        <v>54</v>
      </c>
      <c r="D339" s="133" t="s">
        <v>40</v>
      </c>
      <c r="E339" s="134" t="s">
        <v>94</v>
      </c>
      <c r="F339" s="471" t="s">
        <v>120</v>
      </c>
      <c r="G339" s="135" t="str">
        <f>VLOOKUP(A339,Plano_V3!$A$26:$G$768,7,0)</f>
        <v>1. Concluído</v>
      </c>
      <c r="H339" s="135" t="s">
        <v>612</v>
      </c>
      <c r="I339" s="468"/>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5"/>
        <v>PROPERTYCONSTRUCTION_COMPLETED_PCT</v>
      </c>
      <c r="B340" s="141" t="s">
        <v>26</v>
      </c>
      <c r="C340" s="137" t="s">
        <v>54</v>
      </c>
      <c r="D340" s="133" t="s">
        <v>40</v>
      </c>
      <c r="E340" s="134" t="s">
        <v>94</v>
      </c>
      <c r="F340" s="471" t="s">
        <v>121</v>
      </c>
      <c r="G340" s="135" t="str">
        <f>VLOOKUP(A340,Plano_V3!$A$26:$G$768,7,0)</f>
        <v>1. Concluído</v>
      </c>
      <c r="H340" s="135" t="s">
        <v>612</v>
      </c>
      <c r="I340" s="468"/>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5"/>
        <v>PROPERTYDATA_DATE_PART</v>
      </c>
      <c r="B341" s="141" t="s">
        <v>26</v>
      </c>
      <c r="C341" s="137" t="s">
        <v>54</v>
      </c>
      <c r="D341" s="133" t="s">
        <v>40</v>
      </c>
      <c r="E341" s="134" t="s">
        <v>94</v>
      </c>
      <c r="F341" s="471" t="s">
        <v>73</v>
      </c>
      <c r="G341" s="135" t="str">
        <f>VLOOKUP(A341,Plano_V3!$A$26:$G$768,7,0)</f>
        <v>1. Concluído</v>
      </c>
      <c r="H341" s="135" t="s">
        <v>612</v>
      </c>
      <c r="I341" s="468"/>
      <c r="J341" s="153"/>
      <c r="K341" s="153"/>
      <c r="L341" s="153"/>
      <c r="M341" s="153"/>
      <c r="N341" s="489"/>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5"/>
        <v>PROPERTYPROPERTY_CODE</v>
      </c>
      <c r="B342" s="141" t="s">
        <v>26</v>
      </c>
      <c r="C342" s="137" t="s">
        <v>54</v>
      </c>
      <c r="D342" s="133" t="s">
        <v>40</v>
      </c>
      <c r="E342" s="134" t="s">
        <v>94</v>
      </c>
      <c r="F342" s="471" t="s">
        <v>2162</v>
      </c>
      <c r="G342" s="135" t="str">
        <f>VLOOKUP(A342,Plano_V3!$A$26:$G$768,7,0)</f>
        <v>1. Concluído</v>
      </c>
      <c r="H342" s="135" t="s">
        <v>612</v>
      </c>
      <c r="I342" s="468"/>
      <c r="J342" s="153"/>
      <c r="K342" s="153"/>
      <c r="L342" s="153"/>
      <c r="M342" s="153"/>
      <c r="N342" s="489"/>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5"/>
        <v>PROPERTYURBANIZATION</v>
      </c>
      <c r="B343" s="141" t="s">
        <v>26</v>
      </c>
      <c r="C343" s="137" t="s">
        <v>54</v>
      </c>
      <c r="D343" s="133" t="s">
        <v>40</v>
      </c>
      <c r="E343" s="134" t="s">
        <v>94</v>
      </c>
      <c r="F343" s="471" t="s">
        <v>122</v>
      </c>
      <c r="G343" s="135" t="str">
        <f>VLOOKUP(A343,Plano_V3!$A$26:$G$768,7,0)</f>
        <v>1. Concluído</v>
      </c>
      <c r="H343" s="135" t="s">
        <v>612</v>
      </c>
      <c r="I343" s="468"/>
      <c r="J343" s="153"/>
      <c r="K343" s="153"/>
      <c r="L343" s="153"/>
      <c r="M343" s="153"/>
      <c r="N343" s="489"/>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5"/>
        <v>PROPERTY_ENERGY_CERTIFICATEn.a.</v>
      </c>
      <c r="B344" s="141" t="s">
        <v>26</v>
      </c>
      <c r="C344" s="137" t="s">
        <v>54</v>
      </c>
      <c r="D344" s="133" t="s">
        <v>36</v>
      </c>
      <c r="E344" s="134" t="s">
        <v>123</v>
      </c>
      <c r="F344" s="471" t="s">
        <v>38</v>
      </c>
      <c r="G344" s="135" t="str">
        <f>VLOOKUP(A344,Plano_V3!$A$26:$G$768,7,0)</f>
        <v>1. Concluído</v>
      </c>
      <c r="H344" s="135" t="s">
        <v>612</v>
      </c>
      <c r="I344" s="468"/>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hidden="1" customHeight="1">
      <c r="A345" s="29" t="str">
        <f t="shared" si="5"/>
        <v>PROPERTY_ENERGY_CERTIFICATEPROPERTY_BANK_ID</v>
      </c>
      <c r="B345" s="141" t="s">
        <v>26</v>
      </c>
      <c r="C345" s="137" t="s">
        <v>54</v>
      </c>
      <c r="D345" s="133" t="s">
        <v>40</v>
      </c>
      <c r="E345" s="134" t="s">
        <v>123</v>
      </c>
      <c r="F345" s="471" t="s">
        <v>41</v>
      </c>
      <c r="G345" s="135" t="str">
        <f>VLOOKUP(A345,Plano_V3!$A$26:$G$768,7,0)</f>
        <v>1. Concluído</v>
      </c>
      <c r="H345" s="135" t="s">
        <v>612</v>
      </c>
      <c r="I345" s="468"/>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hidden="1" customHeight="1">
      <c r="A346" s="29" t="str">
        <f t="shared" si="5"/>
        <v>PROPERTY_ENERGY_CERTIFICATEPROPERTY_BRANCH_CODE</v>
      </c>
      <c r="B346" s="141" t="s">
        <v>26</v>
      </c>
      <c r="C346" s="137" t="s">
        <v>54</v>
      </c>
      <c r="D346" s="133" t="s">
        <v>40</v>
      </c>
      <c r="E346" s="134" t="s">
        <v>123</v>
      </c>
      <c r="F346" s="471" t="s">
        <v>43</v>
      </c>
      <c r="G346" s="135" t="str">
        <f>VLOOKUP(A346,Plano_V3!$A$26:$G$768,7,0)</f>
        <v>1. Concluído</v>
      </c>
      <c r="H346" s="135" t="s">
        <v>612</v>
      </c>
      <c r="I346" s="468"/>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hidden="1" customHeight="1">
      <c r="A347" s="29" t="str">
        <f t="shared" si="5"/>
        <v>PROPERTY_ENERGY_CERTIFICATEPROPERTY_CONTRACT_ID</v>
      </c>
      <c r="B347" s="141" t="s">
        <v>26</v>
      </c>
      <c r="C347" s="137" t="s">
        <v>54</v>
      </c>
      <c r="D347" s="133" t="s">
        <v>40</v>
      </c>
      <c r="E347" s="134" t="s">
        <v>123</v>
      </c>
      <c r="F347" s="471" t="s">
        <v>44</v>
      </c>
      <c r="G347" s="135" t="str">
        <f>VLOOKUP(A347,Plano_V3!$A$26:$G$768,7,0)</f>
        <v>1. Concluído</v>
      </c>
      <c r="H347" s="135" t="s">
        <v>612</v>
      </c>
      <c r="I347" s="468"/>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hidden="1" customHeight="1">
      <c r="A348" s="29" t="str">
        <f t="shared" si="5"/>
        <v>PROPERTY_ENERGY_CERTIFICATEPROPERTY_REFERENCE_CODE</v>
      </c>
      <c r="B348" s="141" t="s">
        <v>26</v>
      </c>
      <c r="C348" s="137" t="s">
        <v>54</v>
      </c>
      <c r="D348" s="133" t="s">
        <v>40</v>
      </c>
      <c r="E348" s="134" t="s">
        <v>123</v>
      </c>
      <c r="F348" s="471" t="s">
        <v>45</v>
      </c>
      <c r="G348" s="135" t="str">
        <f>VLOOKUP(A348,Plano_V3!$A$26:$G$768,7,0)</f>
        <v>1. Concluído</v>
      </c>
      <c r="H348" s="135" t="s">
        <v>612</v>
      </c>
      <c r="I348" s="468"/>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5"/>
        <v>PROPERTY_ENERGY_CERTIFICATELAND_REGISTRY_OFFICE_CODE</v>
      </c>
      <c r="B349" s="141" t="s">
        <v>26</v>
      </c>
      <c r="C349" s="137" t="s">
        <v>54</v>
      </c>
      <c r="D349" s="133" t="s">
        <v>40</v>
      </c>
      <c r="E349" s="134" t="s">
        <v>123</v>
      </c>
      <c r="F349" s="471" t="s">
        <v>125</v>
      </c>
      <c r="G349" s="135" t="str">
        <f>VLOOKUP(A349,Plano_V3!$A$26:$G$768,7,0)</f>
        <v>1. Concluído</v>
      </c>
      <c r="H349" s="135" t="s">
        <v>612</v>
      </c>
      <c r="I349" s="468"/>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hidden="1" customHeight="1">
      <c r="A350" s="29" t="str">
        <f t="shared" si="5"/>
        <v>PROPERTY_ENERGY_CERTIFICATEPROPERTY_IDENTIFICATION_CODE</v>
      </c>
      <c r="B350" s="141" t="s">
        <v>26</v>
      </c>
      <c r="C350" s="137" t="s">
        <v>54</v>
      </c>
      <c r="D350" s="133" t="s">
        <v>40</v>
      </c>
      <c r="E350" s="134" t="s">
        <v>123</v>
      </c>
      <c r="F350" s="471" t="s">
        <v>126</v>
      </c>
      <c r="G350" s="135" t="str">
        <f>VLOOKUP(A350,Plano_V3!$A$26:$G$768,7,0)</f>
        <v>1. Concluído</v>
      </c>
      <c r="H350" s="135" t="s">
        <v>612</v>
      </c>
      <c r="I350" s="468"/>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5"/>
        <v>PROPERTY_ENERGY_CERTIFICATEENERGY_CERTIFICATION_SYSTEM_CODE</v>
      </c>
      <c r="B351" s="141" t="s">
        <v>26</v>
      </c>
      <c r="C351" s="137" t="s">
        <v>54</v>
      </c>
      <c r="D351" s="133" t="s">
        <v>40</v>
      </c>
      <c r="E351" s="134" t="s">
        <v>123</v>
      </c>
      <c r="F351" s="471" t="s">
        <v>127</v>
      </c>
      <c r="G351" s="135" t="str">
        <f>VLOOKUP(A351,Plano_V3!$A$26:$G$768,7,0)</f>
        <v>1. Concluído</v>
      </c>
      <c r="H351" s="135" t="s">
        <v>612</v>
      </c>
      <c r="I351" s="468"/>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5"/>
        <v>PROPERTY_ENERGY_CERTIFICATEEPC_ISSUING_DATE</v>
      </c>
      <c r="B352" s="141" t="s">
        <v>26</v>
      </c>
      <c r="C352" s="137" t="s">
        <v>54</v>
      </c>
      <c r="D352" s="133" t="s">
        <v>40</v>
      </c>
      <c r="E352" s="134" t="s">
        <v>123</v>
      </c>
      <c r="F352" s="471" t="s">
        <v>128</v>
      </c>
      <c r="G352" s="135" t="str">
        <f>VLOOKUP(A352,Plano_V3!$A$26:$G$768,7,0)</f>
        <v>1. Concluído</v>
      </c>
      <c r="H352" s="135" t="s">
        <v>612</v>
      </c>
      <c r="I352" s="468"/>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5"/>
        <v>PROPERTY_ENERGY_CERTIFICATEEPC_EXPIRATION_DATE</v>
      </c>
      <c r="B353" s="141" t="s">
        <v>26</v>
      </c>
      <c r="C353" s="137" t="s">
        <v>54</v>
      </c>
      <c r="D353" s="133" t="s">
        <v>40</v>
      </c>
      <c r="E353" s="134" t="s">
        <v>123</v>
      </c>
      <c r="F353" s="471" t="s">
        <v>129</v>
      </c>
      <c r="G353" s="135" t="str">
        <f>VLOOKUP(A353,Plano_V3!$A$26:$G$768,7,0)</f>
        <v>1. Concluído</v>
      </c>
      <c r="H353" s="135" t="s">
        <v>612</v>
      </c>
      <c r="I353" s="468"/>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5"/>
        <v>PROPERTY_ENERGY_CERTIFICATEENERGY_CONSUMPTION_TYPE_S_IND</v>
      </c>
      <c r="B354" s="141" t="s">
        <v>26</v>
      </c>
      <c r="C354" s="137" t="s">
        <v>54</v>
      </c>
      <c r="D354" s="133" t="s">
        <v>40</v>
      </c>
      <c r="E354" s="134" t="s">
        <v>123</v>
      </c>
      <c r="F354" s="471" t="s">
        <v>130</v>
      </c>
      <c r="G354" s="135" t="str">
        <f>VLOOKUP(A354,Plano_V3!$A$26:$G$768,7,0)</f>
        <v>1. Concluído</v>
      </c>
      <c r="H354" s="135" t="s">
        <v>612</v>
      </c>
      <c r="I354" s="468"/>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5"/>
        <v>PROPERTY_ENERGY_CERTIFICATEENERGY_CONSUMPTION_TYPE_T_IND</v>
      </c>
      <c r="B355" s="141" t="s">
        <v>26</v>
      </c>
      <c r="C355" s="137" t="s">
        <v>54</v>
      </c>
      <c r="D355" s="133" t="s">
        <v>40</v>
      </c>
      <c r="E355" s="134" t="s">
        <v>123</v>
      </c>
      <c r="F355" s="471" t="s">
        <v>131</v>
      </c>
      <c r="G355" s="135" t="str">
        <f>VLOOKUP(A355,Plano_V3!$A$26:$G$768,7,0)</f>
        <v>1. Concluído</v>
      </c>
      <c r="H355" s="135" t="s">
        <v>612</v>
      </c>
      <c r="I355" s="468"/>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5"/>
        <v>PROPERTY_ENERGY_CERTIFICATEENERGY_EFFICIENCY_IND</v>
      </c>
      <c r="B356" s="141" t="s">
        <v>26</v>
      </c>
      <c r="C356" s="137" t="s">
        <v>54</v>
      </c>
      <c r="D356" s="133" t="s">
        <v>40</v>
      </c>
      <c r="E356" s="134" t="s">
        <v>123</v>
      </c>
      <c r="F356" s="471" t="s">
        <v>132</v>
      </c>
      <c r="G356" s="135" t="str">
        <f>VLOOKUP(A356,Plano_V3!$A$26:$G$768,7,0)</f>
        <v>1. Concluído</v>
      </c>
      <c r="H356" s="135" t="s">
        <v>612</v>
      </c>
      <c r="I356" s="468"/>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5"/>
        <v>PROPERTY_ENERGY_CERTIFICATEREN_ENERGY_EFFICIENCY_IND</v>
      </c>
      <c r="B357" s="141" t="s">
        <v>26</v>
      </c>
      <c r="C357" s="137" t="s">
        <v>54</v>
      </c>
      <c r="D357" s="133" t="s">
        <v>40</v>
      </c>
      <c r="E357" s="134" t="s">
        <v>123</v>
      </c>
      <c r="F357" s="471" t="s">
        <v>133</v>
      </c>
      <c r="G357" s="135" t="str">
        <f>VLOOKUP(A357,Plano_V3!$A$26:$G$768,7,0)</f>
        <v>1. Concluído</v>
      </c>
      <c r="H357" s="135" t="s">
        <v>612</v>
      </c>
      <c r="I357" s="468"/>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5"/>
        <v>PROPERTY_ENERGY_CERTIFICATENZEB_IND</v>
      </c>
      <c r="B358" s="141" t="s">
        <v>26</v>
      </c>
      <c r="C358" s="137" t="s">
        <v>54</v>
      </c>
      <c r="D358" s="133" t="s">
        <v>40</v>
      </c>
      <c r="E358" s="134" t="s">
        <v>123</v>
      </c>
      <c r="F358" s="471" t="s">
        <v>134</v>
      </c>
      <c r="G358" s="135" t="str">
        <f>VLOOKUP(A358,Plano_V3!$A$26:$G$768,7,0)</f>
        <v>1. Concluído</v>
      </c>
      <c r="H358" s="135" t="s">
        <v>612</v>
      </c>
      <c r="I358" s="468"/>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5"/>
        <v>PROPERTY_ENERGY_CERTIFICATEQUALITY_SCORE</v>
      </c>
      <c r="B359" s="141" t="s">
        <v>26</v>
      </c>
      <c r="C359" s="137" t="s">
        <v>54</v>
      </c>
      <c r="D359" s="133" t="s">
        <v>40</v>
      </c>
      <c r="E359" s="134" t="s">
        <v>123</v>
      </c>
      <c r="F359" s="471" t="s">
        <v>50</v>
      </c>
      <c r="G359" s="135" t="str">
        <f>VLOOKUP(A359,Plano_V3!$A$26:$G$768,7,0)</f>
        <v>1. Concluído</v>
      </c>
      <c r="H359" s="135" t="s">
        <v>612</v>
      </c>
      <c r="I359" s="468"/>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5"/>
        <v>PROPERTY_ENERGY_CERTIFICATESOURCE_CODE</v>
      </c>
      <c r="B360" s="141" t="s">
        <v>26</v>
      </c>
      <c r="C360" s="137" t="s">
        <v>54</v>
      </c>
      <c r="D360" s="133" t="s">
        <v>40</v>
      </c>
      <c r="E360" s="134" t="s">
        <v>123</v>
      </c>
      <c r="F360" s="471" t="s">
        <v>87</v>
      </c>
      <c r="G360" s="135" t="str">
        <f>VLOOKUP(A360,Plano_V3!$A$26:$G$768,7,0)</f>
        <v>1. Concluído</v>
      </c>
      <c r="H360" s="135" t="s">
        <v>612</v>
      </c>
      <c r="I360" s="468"/>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5"/>
        <v>PROPERTY_ENERGY_CERTIFICATEDATA_DATE_PART</v>
      </c>
      <c r="B361" s="141" t="s">
        <v>26</v>
      </c>
      <c r="C361" s="137" t="s">
        <v>54</v>
      </c>
      <c r="D361" s="133" t="s">
        <v>40</v>
      </c>
      <c r="E361" s="134" t="s">
        <v>123</v>
      </c>
      <c r="F361" s="471" t="s">
        <v>73</v>
      </c>
      <c r="G361" s="135" t="str">
        <f>VLOOKUP(A361,Plano_V3!$A$26:$G$768,7,0)</f>
        <v>1. Concluído</v>
      </c>
      <c r="H361" s="135" t="s">
        <v>612</v>
      </c>
      <c r="I361" s="468"/>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5"/>
        <v>PROPERTY_ENERGY_CERTIFICATECERTIFICATE_TYPE</v>
      </c>
      <c r="B362" s="141" t="s">
        <v>26</v>
      </c>
      <c r="C362" s="137" t="s">
        <v>54</v>
      </c>
      <c r="D362" s="133" t="s">
        <v>40</v>
      </c>
      <c r="E362" s="134" t="s">
        <v>123</v>
      </c>
      <c r="F362" s="471" t="s">
        <v>136</v>
      </c>
      <c r="G362" s="135" t="str">
        <f>VLOOKUP(A362,Plano_V3!$A$26:$G$768,7,0)</f>
        <v>1. Concluído</v>
      </c>
      <c r="H362" s="135" t="s">
        <v>612</v>
      </c>
      <c r="I362" s="468"/>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5"/>
        <v>PROPERTY_ENERGY_CERTIFICATEBUILDING_DOMEST_HOTWATER_VALUE</v>
      </c>
      <c r="B363" s="141" t="s">
        <v>26</v>
      </c>
      <c r="C363" s="137" t="s">
        <v>54</v>
      </c>
      <c r="D363" s="133" t="s">
        <v>40</v>
      </c>
      <c r="E363" s="134" t="s">
        <v>123</v>
      </c>
      <c r="F363" s="471" t="s">
        <v>137</v>
      </c>
      <c r="G363" s="135" t="str">
        <f>VLOOKUP(A363,Plano_V3!$A$26:$G$768,7,0)</f>
        <v>1. Concluído</v>
      </c>
      <c r="H363" s="135" t="s">
        <v>612</v>
      </c>
      <c r="I363" s="468"/>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5"/>
        <v>PROPERTY_ENERGY_CERTIFICATERENEWABLE_DOMEST_HOTWATER_VALUE</v>
      </c>
      <c r="B364" s="141" t="s">
        <v>26</v>
      </c>
      <c r="C364" s="137" t="s">
        <v>54</v>
      </c>
      <c r="D364" s="133" t="s">
        <v>40</v>
      </c>
      <c r="E364" s="134" t="s">
        <v>123</v>
      </c>
      <c r="F364" s="471" t="s">
        <v>138</v>
      </c>
      <c r="G364" s="135" t="str">
        <f>VLOOKUP(A364,Plano_V3!$A$26:$G$768,7,0)</f>
        <v>1. Concluído</v>
      </c>
      <c r="H364" s="135" t="s">
        <v>612</v>
      </c>
      <c r="I364" s="468"/>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5"/>
        <v>PROPERTY_ENERGY_CERTIFICATEDOMEST_HOTWATER_REF_VALUE</v>
      </c>
      <c r="B365" s="141" t="s">
        <v>26</v>
      </c>
      <c r="C365" s="137" t="s">
        <v>54</v>
      </c>
      <c r="D365" s="133" t="s">
        <v>40</v>
      </c>
      <c r="E365" s="134" t="s">
        <v>123</v>
      </c>
      <c r="F365" s="471" t="s">
        <v>139</v>
      </c>
      <c r="G365" s="135" t="str">
        <f>VLOOKUP(A365,Plano_V3!$A$26:$G$768,7,0)</f>
        <v>1. Concluído</v>
      </c>
      <c r="H365" s="135" t="s">
        <v>612</v>
      </c>
      <c r="I365" s="468"/>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5"/>
        <v>PROPERTY_ENERGY_CERTIFICATEHEIGHT</v>
      </c>
      <c r="B366" s="141" t="s">
        <v>26</v>
      </c>
      <c r="C366" s="137" t="s">
        <v>54</v>
      </c>
      <c r="D366" s="133" t="s">
        <v>40</v>
      </c>
      <c r="E366" s="134" t="s">
        <v>123</v>
      </c>
      <c r="F366" s="471" t="s">
        <v>140</v>
      </c>
      <c r="G366" s="135" t="str">
        <f>VLOOKUP(A366,Plano_V3!$A$26:$G$768,7,0)</f>
        <v>1. Concluído</v>
      </c>
      <c r="H366" s="135" t="s">
        <v>612</v>
      </c>
      <c r="I366" s="468"/>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5"/>
        <v>PROPERTY_ENERGY_CERTIFICATEBUILDING_SPACE_HEATING_VALUE</v>
      </c>
      <c r="B367" s="141" t="s">
        <v>26</v>
      </c>
      <c r="C367" s="137" t="s">
        <v>54</v>
      </c>
      <c r="D367" s="133" t="s">
        <v>40</v>
      </c>
      <c r="E367" s="134" t="s">
        <v>123</v>
      </c>
      <c r="F367" s="471" t="s">
        <v>141</v>
      </c>
      <c r="G367" s="135" t="str">
        <f>VLOOKUP(A367,Plano_V3!$A$26:$G$768,7,0)</f>
        <v>1. Concluído</v>
      </c>
      <c r="H367" s="135" t="s">
        <v>612</v>
      </c>
      <c r="I367" s="468"/>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5"/>
        <v>PROPERTY_ENERGY_CERTIFICATESPACE_HEATING_REF_VALUE</v>
      </c>
      <c r="B368" s="141" t="s">
        <v>26</v>
      </c>
      <c r="C368" s="137" t="s">
        <v>54</v>
      </c>
      <c r="D368" s="133" t="s">
        <v>40</v>
      </c>
      <c r="E368" s="134" t="s">
        <v>123</v>
      </c>
      <c r="F368" s="471" t="s">
        <v>142</v>
      </c>
      <c r="G368" s="135" t="str">
        <f>VLOOKUP(A368,Plano_V3!$A$26:$G$768,7,0)</f>
        <v>1. Concluído</v>
      </c>
      <c r="H368" s="135" t="s">
        <v>612</v>
      </c>
      <c r="I368" s="468"/>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5"/>
        <v>PROPERTY_ENERGY_CERTIFICATERENEWABLE_SPACE_HEATING_VALUE</v>
      </c>
      <c r="B369" s="141" t="s">
        <v>26</v>
      </c>
      <c r="C369" s="137" t="s">
        <v>54</v>
      </c>
      <c r="D369" s="133" t="s">
        <v>40</v>
      </c>
      <c r="E369" s="134" t="s">
        <v>123</v>
      </c>
      <c r="F369" s="471" t="s">
        <v>143</v>
      </c>
      <c r="G369" s="135" t="str">
        <f>VLOOKUP(A369,Plano_V3!$A$26:$G$768,7,0)</f>
        <v>1. Concluído</v>
      </c>
      <c r="H369" s="135" t="s">
        <v>612</v>
      </c>
      <c r="I369" s="468"/>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5"/>
        <v>PROPERTY_ENERGY_CERTIFICATEBUILDING_SPACE_COOLING_VALUE</v>
      </c>
      <c r="B370" s="141" t="s">
        <v>26</v>
      </c>
      <c r="C370" s="137" t="s">
        <v>54</v>
      </c>
      <c r="D370" s="133" t="s">
        <v>40</v>
      </c>
      <c r="E370" s="134" t="s">
        <v>123</v>
      </c>
      <c r="F370" s="471" t="s">
        <v>144</v>
      </c>
      <c r="G370" s="135" t="str">
        <f>VLOOKUP(A370,Plano_V3!$A$26:$G$768,7,0)</f>
        <v>1. Concluído</v>
      </c>
      <c r="H370" s="135" t="s">
        <v>612</v>
      </c>
      <c r="I370" s="468"/>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5"/>
        <v>PROPERTY_ENERGY_CERTIFICATERENEWABLE_SPACE_COOLING_VALUE</v>
      </c>
      <c r="B371" s="141" t="s">
        <v>26</v>
      </c>
      <c r="C371" s="137" t="s">
        <v>54</v>
      </c>
      <c r="D371" s="133" t="s">
        <v>40</v>
      </c>
      <c r="E371" s="134" t="s">
        <v>123</v>
      </c>
      <c r="F371" s="471" t="s">
        <v>145</v>
      </c>
      <c r="G371" s="135" t="str">
        <f>VLOOKUP(A371,Plano_V3!$A$26:$G$768,7,0)</f>
        <v>1. Concluído</v>
      </c>
      <c r="H371" s="135" t="s">
        <v>612</v>
      </c>
      <c r="I371" s="468"/>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5"/>
        <v>PROPERTY_ENERGY_CERTIFICATESPACE_COOLING_REF_VALUE</v>
      </c>
      <c r="B372" s="141" t="s">
        <v>26</v>
      </c>
      <c r="C372" s="137" t="s">
        <v>54</v>
      </c>
      <c r="D372" s="133" t="s">
        <v>40</v>
      </c>
      <c r="E372" s="134" t="s">
        <v>123</v>
      </c>
      <c r="F372" s="471" t="s">
        <v>146</v>
      </c>
      <c r="G372" s="135" t="str">
        <f>VLOOKUP(A372,Plano_V3!$A$26:$G$768,7,0)</f>
        <v>1. Concluído</v>
      </c>
      <c r="H372" s="135" t="s">
        <v>612</v>
      </c>
      <c r="I372" s="468"/>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5"/>
        <v>PROPERTY_ENERGY_CERTIFICATEENERGY_CLASS_AFTER_MEASUREMENT</v>
      </c>
      <c r="B373" s="141" t="s">
        <v>26</v>
      </c>
      <c r="C373" s="137" t="s">
        <v>54</v>
      </c>
      <c r="D373" s="133" t="s">
        <v>40</v>
      </c>
      <c r="E373" s="134" t="s">
        <v>123</v>
      </c>
      <c r="F373" s="471" t="s">
        <v>147</v>
      </c>
      <c r="G373" s="135" t="str">
        <f>VLOOKUP(A373,Plano_V3!$A$26:$G$768,7,0)</f>
        <v>1. Concluído</v>
      </c>
      <c r="H373" s="135" t="s">
        <v>612</v>
      </c>
      <c r="I373" s="468"/>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5"/>
        <v>PROPERTY_ENERGY_CERTIFICATETHERMAL_BEHAVIOUR_ROOF</v>
      </c>
      <c r="B374" s="141" t="s">
        <v>26</v>
      </c>
      <c r="C374" s="137" t="s">
        <v>54</v>
      </c>
      <c r="D374" s="133" t="s">
        <v>40</v>
      </c>
      <c r="E374" s="134" t="s">
        <v>123</v>
      </c>
      <c r="F374" s="471" t="s">
        <v>148</v>
      </c>
      <c r="G374" s="135" t="str">
        <f>VLOOKUP(A374,Plano_V3!$A$26:$G$768,7,0)</f>
        <v>1. Concluído</v>
      </c>
      <c r="H374" s="135" t="s">
        <v>612</v>
      </c>
      <c r="I374" s="468"/>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5"/>
        <v>PROPERTY_ENERGY_CERTIFICATETHERMAL_BEHAVIOUR_WINDOWS</v>
      </c>
      <c r="B375" s="141" t="s">
        <v>26</v>
      </c>
      <c r="C375" s="137" t="s">
        <v>54</v>
      </c>
      <c r="D375" s="133" t="s">
        <v>40</v>
      </c>
      <c r="E375" s="134" t="s">
        <v>123</v>
      </c>
      <c r="F375" s="471" t="s">
        <v>149</v>
      </c>
      <c r="G375" s="135" t="str">
        <f>VLOOKUP(A375,Plano_V3!$A$26:$G$768,7,0)</f>
        <v>1. Concluído</v>
      </c>
      <c r="H375" s="135" t="s">
        <v>612</v>
      </c>
      <c r="I375" s="468"/>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5"/>
        <v>PROPERTY_ENERGY_CERTIFICATETHERMAL_BEHAVIOUR_WALL</v>
      </c>
      <c r="B376" s="141" t="s">
        <v>26</v>
      </c>
      <c r="C376" s="137" t="s">
        <v>54</v>
      </c>
      <c r="D376" s="133" t="s">
        <v>40</v>
      </c>
      <c r="E376" s="134" t="s">
        <v>123</v>
      </c>
      <c r="F376" s="471" t="s">
        <v>150</v>
      </c>
      <c r="G376" s="135" t="str">
        <f>VLOOKUP(A376,Plano_V3!$A$26:$G$768,7,0)</f>
        <v>1. Concluído</v>
      </c>
      <c r="H376" s="135" t="s">
        <v>612</v>
      </c>
      <c r="I376" s="468"/>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5"/>
        <v>PROPERTY_ENERGY_CERTIFICATETHERMAL_BEHAVIOUR_FLOORS</v>
      </c>
      <c r="B377" s="141" t="s">
        <v>26</v>
      </c>
      <c r="C377" s="137" t="s">
        <v>54</v>
      </c>
      <c r="D377" s="133" t="s">
        <v>40</v>
      </c>
      <c r="E377" s="134" t="s">
        <v>123</v>
      </c>
      <c r="F377" s="471" t="s">
        <v>151</v>
      </c>
      <c r="G377" s="135" t="str">
        <f>VLOOKUP(A377,Plano_V3!$A$26:$G$768,7,0)</f>
        <v>1. Concluído</v>
      </c>
      <c r="H377" s="135" t="s">
        <v>612</v>
      </c>
      <c r="I377" s="468"/>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5"/>
        <v>PROPERTY_ENERGY_CERTIFICATETHERMAL_BEHAVIOUR_TECH_SYS_VENT</v>
      </c>
      <c r="B378" s="141" t="s">
        <v>26</v>
      </c>
      <c r="C378" s="137" t="s">
        <v>54</v>
      </c>
      <c r="D378" s="133" t="s">
        <v>40</v>
      </c>
      <c r="E378" s="134" t="s">
        <v>123</v>
      </c>
      <c r="F378" s="471" t="s">
        <v>152</v>
      </c>
      <c r="G378" s="135" t="str">
        <f>VLOOKUP(A378,Plano_V3!$A$26:$G$768,7,0)</f>
        <v>1. Concluído</v>
      </c>
      <c r="H378" s="135" t="s">
        <v>612</v>
      </c>
      <c r="I378" s="468"/>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5"/>
        <v>PROPERTY_ENERGY_CERTIFICATETOTAL_INVSTMNT_ESTMTD_VALUE</v>
      </c>
      <c r="B379" s="141" t="s">
        <v>26</v>
      </c>
      <c r="C379" s="137" t="s">
        <v>54</v>
      </c>
      <c r="D379" s="133" t="s">
        <v>40</v>
      </c>
      <c r="E379" s="134" t="s">
        <v>123</v>
      </c>
      <c r="F379" s="471" t="s">
        <v>153</v>
      </c>
      <c r="G379" s="135" t="str">
        <f>VLOOKUP(A379,Plano_V3!$A$26:$G$768,7,0)</f>
        <v>1. Concluído</v>
      </c>
      <c r="H379" s="135" t="s">
        <v>612</v>
      </c>
      <c r="I379" s="468"/>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5"/>
        <v>PROPERTY_ENERGY_CERTIFICATEDURATION_SUMMER</v>
      </c>
      <c r="B380" s="141" t="s">
        <v>26</v>
      </c>
      <c r="C380" s="137" t="s">
        <v>54</v>
      </c>
      <c r="D380" s="133" t="s">
        <v>40</v>
      </c>
      <c r="E380" s="134" t="s">
        <v>123</v>
      </c>
      <c r="F380" s="471" t="s">
        <v>154</v>
      </c>
      <c r="G380" s="135" t="str">
        <f>VLOOKUP(A380,Plano_V3!$A$26:$G$768,7,0)</f>
        <v>1. Concluído</v>
      </c>
      <c r="H380" s="135" t="s">
        <v>612</v>
      </c>
      <c r="I380" s="468"/>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5"/>
        <v>PROPERTY_ENERGY_CERTIFICATEDURATION_WINTER</v>
      </c>
      <c r="B381" s="141" t="s">
        <v>26</v>
      </c>
      <c r="C381" s="137" t="s">
        <v>54</v>
      </c>
      <c r="D381" s="133" t="s">
        <v>40</v>
      </c>
      <c r="E381" s="134" t="s">
        <v>123</v>
      </c>
      <c r="F381" s="471" t="s">
        <v>155</v>
      </c>
      <c r="G381" s="135" t="str">
        <f>VLOOKUP(A381,Plano_V3!$A$26:$G$768,7,0)</f>
        <v>1. Concluído</v>
      </c>
      <c r="H381" s="135" t="s">
        <v>612</v>
      </c>
      <c r="I381" s="468"/>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5"/>
        <v>PROPERTY_ENERGY_CERTIFICATECARBON_EMISSION_VALUE</v>
      </c>
      <c r="B382" s="141" t="s">
        <v>26</v>
      </c>
      <c r="C382" s="137" t="s">
        <v>54</v>
      </c>
      <c r="D382" s="133" t="s">
        <v>40</v>
      </c>
      <c r="E382" s="134" t="s">
        <v>123</v>
      </c>
      <c r="F382" s="471" t="s">
        <v>156</v>
      </c>
      <c r="G382" s="135" t="str">
        <f>VLOOKUP(A382,Plano_V3!$A$26:$G$768,7,0)</f>
        <v>1. Concluído</v>
      </c>
      <c r="H382" s="135" t="s">
        <v>612</v>
      </c>
      <c r="I382" s="468"/>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5"/>
        <v>PROPERTY_ENERGY_CERTIFICATEUSEFUL_ENERGY_FANS_REQ_VALUE</v>
      </c>
      <c r="B383" s="141" t="s">
        <v>26</v>
      </c>
      <c r="C383" s="137" t="s">
        <v>54</v>
      </c>
      <c r="D383" s="133" t="s">
        <v>40</v>
      </c>
      <c r="E383" s="134" t="s">
        <v>123</v>
      </c>
      <c r="F383" s="471" t="s">
        <v>157</v>
      </c>
      <c r="G383" s="135" t="str">
        <f>VLOOKUP(A383,Plano_V3!$A$26:$G$768,7,0)</f>
        <v>1. Concluído</v>
      </c>
      <c r="H383" s="135" t="s">
        <v>612</v>
      </c>
      <c r="I383" s="468"/>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hidden="1" customHeight="1">
      <c r="A384" s="29" t="str">
        <f t="shared" si="5"/>
        <v>PROPERTY_ENERGY_CERTIFICATEREN_ENERGY_PRODUCED_OTHER_VALUE</v>
      </c>
      <c r="B384" s="141" t="s">
        <v>26</v>
      </c>
      <c r="C384" s="137" t="s">
        <v>54</v>
      </c>
      <c r="D384" s="133" t="s">
        <v>40</v>
      </c>
      <c r="E384" s="134" t="s">
        <v>123</v>
      </c>
      <c r="F384" s="471" t="s">
        <v>158</v>
      </c>
      <c r="G384" s="135" t="str">
        <f>VLOOKUP(A384,Plano_V3!$A$26:$G$768,7,0)</f>
        <v>1. Concluído</v>
      </c>
      <c r="H384" s="135" t="s">
        <v>612</v>
      </c>
      <c r="I384" s="468"/>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hidden="1" customHeight="1">
      <c r="A385" s="29" t="str">
        <f t="shared" si="5"/>
        <v>PROPERTY_ENERGY_CERTIFICATEREN_ENERGY_PRODUCED_REG_VALUE</v>
      </c>
      <c r="B385" s="141" t="s">
        <v>26</v>
      </c>
      <c r="C385" s="137" t="s">
        <v>54</v>
      </c>
      <c r="D385" s="133" t="s">
        <v>40</v>
      </c>
      <c r="E385" s="134" t="s">
        <v>123</v>
      </c>
      <c r="F385" s="471" t="s">
        <v>159</v>
      </c>
      <c r="G385" s="135" t="str">
        <f>VLOOKUP(A385,Plano_V3!$A$26:$G$768,7,0)</f>
        <v>1. Concluído</v>
      </c>
      <c r="H385" s="135" t="s">
        <v>612</v>
      </c>
      <c r="I385" s="468"/>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hidden="1" customHeight="1">
      <c r="A386" s="29" t="str">
        <f t="shared" si="5"/>
        <v>PROPERTY_ENERGY_CERTIFICATEREN_ENERGY_PRODUCED_VALUE</v>
      </c>
      <c r="B386" s="141" t="s">
        <v>26</v>
      </c>
      <c r="C386" s="137" t="s">
        <v>54</v>
      </c>
      <c r="D386" s="133" t="s">
        <v>40</v>
      </c>
      <c r="E386" s="134" t="s">
        <v>123</v>
      </c>
      <c r="F386" s="471" t="s">
        <v>160</v>
      </c>
      <c r="G386" s="135" t="str">
        <f>VLOOKUP(A386,Plano_V3!$A$26:$G$768,7,0)</f>
        <v>1. Concluído</v>
      </c>
      <c r="H386" s="135" t="s">
        <v>612</v>
      </c>
      <c r="I386" s="468"/>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5"/>
        <v>PROPERTY_ENERGY_CERTIFICATEUSEFUL_ENERGY_DOM_HOTWATER_VALUE</v>
      </c>
      <c r="B387" s="141" t="s">
        <v>26</v>
      </c>
      <c r="C387" s="137" t="s">
        <v>54</v>
      </c>
      <c r="D387" s="133" t="s">
        <v>40</v>
      </c>
      <c r="E387" s="134" t="s">
        <v>123</v>
      </c>
      <c r="F387" s="471" t="s">
        <v>161</v>
      </c>
      <c r="G387" s="135" t="str">
        <f>VLOOKUP(A387,Plano_V3!$A$26:$G$768,7,0)</f>
        <v>1. Concluído</v>
      </c>
      <c r="H387" s="135" t="s">
        <v>612</v>
      </c>
      <c r="I387" s="468"/>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5"/>
        <v>PROPERTY_ENERGY_CERTIFICATEUSEFUL_ENERGY_COOLING_VALUE</v>
      </c>
      <c r="B388" s="141" t="s">
        <v>26</v>
      </c>
      <c r="C388" s="137" t="s">
        <v>54</v>
      </c>
      <c r="D388" s="133" t="s">
        <v>40</v>
      </c>
      <c r="E388" s="134" t="s">
        <v>123</v>
      </c>
      <c r="F388" s="471" t="s">
        <v>162</v>
      </c>
      <c r="G388" s="135" t="str">
        <f>VLOOKUP(A388,Plano_V3!$A$26:$G$768,7,0)</f>
        <v>1. Concluído</v>
      </c>
      <c r="H388" s="135" t="s">
        <v>612</v>
      </c>
      <c r="I388" s="468"/>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5"/>
        <v>PROPERTY_ENERGY_CERTIFICATETEMPERATURE_DAY_VALUE</v>
      </c>
      <c r="B389" s="141" t="s">
        <v>26</v>
      </c>
      <c r="C389" s="137" t="s">
        <v>54</v>
      </c>
      <c r="D389" s="133" t="s">
        <v>40</v>
      </c>
      <c r="E389" s="134" t="s">
        <v>123</v>
      </c>
      <c r="F389" s="471" t="s">
        <v>163</v>
      </c>
      <c r="G389" s="135" t="str">
        <f>VLOOKUP(A389,Plano_V3!$A$26:$G$768,7,0)</f>
        <v>1. Concluído</v>
      </c>
      <c r="H389" s="135" t="s">
        <v>612</v>
      </c>
      <c r="I389" s="468"/>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hidden="1" customHeight="1">
      <c r="A390" s="29" t="str">
        <f t="shared" si="5"/>
        <v>PROPERTY_ENERGY_CERTIFICATEPRIMARY_ENERGY_REQ_VALUE</v>
      </c>
      <c r="B390" s="141" t="s">
        <v>26</v>
      </c>
      <c r="C390" s="137" t="s">
        <v>54</v>
      </c>
      <c r="D390" s="133" t="s">
        <v>40</v>
      </c>
      <c r="E390" s="134" t="s">
        <v>123</v>
      </c>
      <c r="F390" s="471" t="s">
        <v>164</v>
      </c>
      <c r="G390" s="135" t="str">
        <f>VLOOKUP(A390,Plano_V3!$A$26:$G$768,7,0)</f>
        <v>1. Concluído</v>
      </c>
      <c r="H390" s="135" t="s">
        <v>612</v>
      </c>
      <c r="I390" s="468"/>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5"/>
        <v>PROPERTY_ENERGY_CERTIFICATEUSEFUL_ENERGY_HEATING_REQ_VALUE</v>
      </c>
      <c r="B391" s="141" t="s">
        <v>26</v>
      </c>
      <c r="C391" s="137" t="s">
        <v>54</v>
      </c>
      <c r="D391" s="133" t="s">
        <v>40</v>
      </c>
      <c r="E391" s="134" t="s">
        <v>123</v>
      </c>
      <c r="F391" s="471" t="s">
        <v>165</v>
      </c>
      <c r="G391" s="135" t="str">
        <f>VLOOKUP(A391,Plano_V3!$A$26:$G$768,7,0)</f>
        <v>1. Concluído</v>
      </c>
      <c r="H391" s="135" t="s">
        <v>612</v>
      </c>
      <c r="I391" s="468"/>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5"/>
        <v>PROPERTY_ENERGY_CERTIFICATEPNL_WINTER_WALLS_DOORS_VALUE</v>
      </c>
      <c r="B392" s="141" t="s">
        <v>26</v>
      </c>
      <c r="C392" s="137" t="s">
        <v>54</v>
      </c>
      <c r="D392" s="133" t="s">
        <v>40</v>
      </c>
      <c r="E392" s="134" t="s">
        <v>123</v>
      </c>
      <c r="F392" s="471" t="s">
        <v>166</v>
      </c>
      <c r="G392" s="135" t="str">
        <f>VLOOKUP(A392,Plano_V3!$A$26:$G$768,7,0)</f>
        <v>1. Concluído</v>
      </c>
      <c r="H392" s="135" t="s">
        <v>612</v>
      </c>
      <c r="I392" s="468"/>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5"/>
        <v>PROPERTY_ENERGY_CERTIFICATEPNL_WINTER_FLOORS_VALUE</v>
      </c>
      <c r="B393" s="141" t="s">
        <v>26</v>
      </c>
      <c r="C393" s="137" t="s">
        <v>54</v>
      </c>
      <c r="D393" s="133" t="s">
        <v>40</v>
      </c>
      <c r="E393" s="134" t="s">
        <v>123</v>
      </c>
      <c r="F393" s="471" t="s">
        <v>167</v>
      </c>
      <c r="G393" s="135" t="str">
        <f>VLOOKUP(A393,Plano_V3!$A$26:$G$768,7,0)</f>
        <v>1. Concluído</v>
      </c>
      <c r="H393" s="135" t="s">
        <v>612</v>
      </c>
      <c r="I393" s="468"/>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5"/>
        <v>PROPERTY_ENERGY_CERTIFICATEPNL_WINTER_ROOF_VALUE</v>
      </c>
      <c r="B394" s="141" t="s">
        <v>26</v>
      </c>
      <c r="C394" s="137" t="s">
        <v>54</v>
      </c>
      <c r="D394" s="133" t="s">
        <v>40</v>
      </c>
      <c r="E394" s="134" t="s">
        <v>123</v>
      </c>
      <c r="F394" s="471" t="s">
        <v>168</v>
      </c>
      <c r="G394" s="135" t="str">
        <f>VLOOKUP(A394,Plano_V3!$A$26:$G$768,7,0)</f>
        <v>1. Concluído</v>
      </c>
      <c r="H394" s="135" t="s">
        <v>612</v>
      </c>
      <c r="I394" s="468"/>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6">E395&amp;F395</f>
        <v>PROPERTY_ENERGY_CERTIFICATEPNL_WINTER_WINDOWS_VALUE</v>
      </c>
      <c r="B395" s="141" t="s">
        <v>26</v>
      </c>
      <c r="C395" s="137" t="s">
        <v>54</v>
      </c>
      <c r="D395" s="133" t="s">
        <v>40</v>
      </c>
      <c r="E395" s="134" t="s">
        <v>123</v>
      </c>
      <c r="F395" s="471" t="s">
        <v>169</v>
      </c>
      <c r="G395" s="135" t="str">
        <f>VLOOKUP(A395,Plano_V3!$A$26:$G$768,7,0)</f>
        <v>1. Concluído</v>
      </c>
      <c r="H395" s="135" t="s">
        <v>612</v>
      </c>
      <c r="I395" s="468"/>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6"/>
        <v>PROPERTY_ENERGY_CERTIFICATEPNL_WINTER_REF_VALUE</v>
      </c>
      <c r="B396" s="141" t="s">
        <v>26</v>
      </c>
      <c r="C396" s="137" t="s">
        <v>54</v>
      </c>
      <c r="D396" s="133" t="s">
        <v>40</v>
      </c>
      <c r="E396" s="134" t="s">
        <v>123</v>
      </c>
      <c r="F396" s="471" t="s">
        <v>170</v>
      </c>
      <c r="G396" s="135" t="str">
        <f>VLOOKUP(A396,Plano_V3!$A$26:$G$768,7,0)</f>
        <v>1. Concluído</v>
      </c>
      <c r="H396" s="135" t="s">
        <v>612</v>
      </c>
      <c r="I396" s="468"/>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6"/>
        <v>PROPERTY_ENERGY_CERTIFICATEPNL_WINTER_FANS_VALUE</v>
      </c>
      <c r="B397" s="141" t="s">
        <v>26</v>
      </c>
      <c r="C397" s="137" t="s">
        <v>54</v>
      </c>
      <c r="D397" s="133" t="s">
        <v>40</v>
      </c>
      <c r="E397" s="134" t="s">
        <v>123</v>
      </c>
      <c r="F397" s="471" t="s">
        <v>171</v>
      </c>
      <c r="G397" s="135" t="str">
        <f>VLOOKUP(A397,Plano_V3!$A$26:$G$768,7,0)</f>
        <v>1. Concluído</v>
      </c>
      <c r="H397" s="135" t="s">
        <v>612</v>
      </c>
      <c r="I397" s="468"/>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6"/>
        <v>PROPERTY_ENERGY_CERTIFICATEPNL_SUMMER_ROOF_VALUE</v>
      </c>
      <c r="B398" s="141" t="s">
        <v>26</v>
      </c>
      <c r="C398" s="137" t="s">
        <v>54</v>
      </c>
      <c r="D398" s="133" t="s">
        <v>40</v>
      </c>
      <c r="E398" s="134" t="s">
        <v>123</v>
      </c>
      <c r="F398" s="471" t="s">
        <v>172</v>
      </c>
      <c r="G398" s="135" t="str">
        <f>VLOOKUP(A398,Plano_V3!$A$26:$G$768,7,0)</f>
        <v>1. Concluído</v>
      </c>
      <c r="H398" s="135" t="s">
        <v>612</v>
      </c>
      <c r="I398" s="468"/>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6"/>
        <v>PROPERTY_ENERGY_CERTIFICATEPNL_SUMMER_WINDOWS_VALUE</v>
      </c>
      <c r="B399" s="141" t="s">
        <v>26</v>
      </c>
      <c r="C399" s="137" t="s">
        <v>54</v>
      </c>
      <c r="D399" s="133" t="s">
        <v>40</v>
      </c>
      <c r="E399" s="134" t="s">
        <v>123</v>
      </c>
      <c r="F399" s="471" t="s">
        <v>173</v>
      </c>
      <c r="G399" s="135" t="str">
        <f>VLOOKUP(A399,Plano_V3!$A$26:$G$768,7,0)</f>
        <v>1. Concluído</v>
      </c>
      <c r="H399" s="135" t="s">
        <v>612</v>
      </c>
      <c r="I399" s="468"/>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6"/>
        <v>PROPERTY_ENERGY_CERTIFICATEPNL_SUMMER_WALLS_DOORS_VALUE</v>
      </c>
      <c r="B400" s="141" t="s">
        <v>26</v>
      </c>
      <c r="C400" s="137" t="s">
        <v>54</v>
      </c>
      <c r="D400" s="133" t="s">
        <v>40</v>
      </c>
      <c r="E400" s="134" t="s">
        <v>123</v>
      </c>
      <c r="F400" s="471" t="s">
        <v>174</v>
      </c>
      <c r="G400" s="135" t="str">
        <f>VLOOKUP(A400,Plano_V3!$A$26:$G$768,7,0)</f>
        <v>1. Concluído</v>
      </c>
      <c r="H400" s="135" t="s">
        <v>612</v>
      </c>
      <c r="I400" s="468"/>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6"/>
        <v>PROPERTY_ENERGY_CERTIFICATEPNL_SUMMER_REF_VALUE</v>
      </c>
      <c r="B401" s="141" t="s">
        <v>26</v>
      </c>
      <c r="C401" s="137" t="s">
        <v>54</v>
      </c>
      <c r="D401" s="133" t="s">
        <v>40</v>
      </c>
      <c r="E401" s="134" t="s">
        <v>123</v>
      </c>
      <c r="F401" s="471" t="s">
        <v>175</v>
      </c>
      <c r="G401" s="135" t="str">
        <f>VLOOKUP(A401,Plano_V3!$A$26:$G$768,7,0)</f>
        <v>1. Concluído</v>
      </c>
      <c r="H401" s="135" t="s">
        <v>612</v>
      </c>
      <c r="I401" s="468"/>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6"/>
        <v>PROPERTY_ENERGY_CERTIFICATEINVOICE_RED_ANNUAL_ESTMTD_VALUE</v>
      </c>
      <c r="B402" s="141" t="s">
        <v>26</v>
      </c>
      <c r="C402" s="137" t="s">
        <v>54</v>
      </c>
      <c r="D402" s="133" t="s">
        <v>40</v>
      </c>
      <c r="E402" s="134" t="s">
        <v>123</v>
      </c>
      <c r="F402" s="471" t="s">
        <v>176</v>
      </c>
      <c r="G402" s="135" t="str">
        <f>VLOOKUP(A402,Plano_V3!$A$26:$G$768,7,0)</f>
        <v>1. Concluído</v>
      </c>
      <c r="H402" s="135" t="s">
        <v>612</v>
      </c>
      <c r="I402" s="468"/>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6"/>
        <v>PROPERTY_ENERGY_CERTIFICATETEMPERATURE_OUTDOOR_AVG_VALUE</v>
      </c>
      <c r="B403" s="141" t="s">
        <v>26</v>
      </c>
      <c r="C403" s="137" t="s">
        <v>54</v>
      </c>
      <c r="D403" s="133" t="s">
        <v>40</v>
      </c>
      <c r="E403" s="134" t="s">
        <v>123</v>
      </c>
      <c r="F403" s="471" t="s">
        <v>177</v>
      </c>
      <c r="G403" s="135" t="str">
        <f>VLOOKUP(A403,Plano_V3!$A$26:$G$768,7,0)</f>
        <v>1. Concluído</v>
      </c>
      <c r="H403" s="135" t="s">
        <v>612</v>
      </c>
      <c r="I403" s="468"/>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6"/>
        <v>PROPERTY_ENERGY_CERTIFICATECLIMATE_ZONE_WINTER</v>
      </c>
      <c r="B404" s="141" t="s">
        <v>26</v>
      </c>
      <c r="C404" s="137" t="s">
        <v>54</v>
      </c>
      <c r="D404" s="133" t="s">
        <v>40</v>
      </c>
      <c r="E404" s="134" t="s">
        <v>123</v>
      </c>
      <c r="F404" s="471" t="s">
        <v>178</v>
      </c>
      <c r="G404" s="135" t="str">
        <f>VLOOKUP(A404,Plano_V3!$A$26:$G$768,7,0)</f>
        <v>1. Concluído</v>
      </c>
      <c r="H404" s="135" t="s">
        <v>612</v>
      </c>
      <c r="I404" s="468"/>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6"/>
        <v>PROPERTY_ENERGY_CERTIFICATENET_FLOOR_AREA</v>
      </c>
      <c r="B405" s="141" t="s">
        <v>26</v>
      </c>
      <c r="C405" s="137" t="s">
        <v>54</v>
      </c>
      <c r="D405" s="133" t="s">
        <v>40</v>
      </c>
      <c r="E405" s="134" t="s">
        <v>123</v>
      </c>
      <c r="F405" s="471" t="s">
        <v>97</v>
      </c>
      <c r="G405" s="135" t="str">
        <f>VLOOKUP(A405,Plano_V3!$A$26:$G$768,7,0)</f>
        <v>1. Concluído</v>
      </c>
      <c r="H405" s="135" t="s">
        <v>612</v>
      </c>
      <c r="I405" s="468"/>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6"/>
        <v>PROPERTY_ENERGY_CERTIFICATECADASTRAL_REGISTER_CODE</v>
      </c>
      <c r="B406" s="141" t="s">
        <v>26</v>
      </c>
      <c r="C406" s="137" t="s">
        <v>54</v>
      </c>
      <c r="D406" s="133" t="s">
        <v>40</v>
      </c>
      <c r="E406" s="134" t="s">
        <v>123</v>
      </c>
      <c r="F406" s="471" t="s">
        <v>98</v>
      </c>
      <c r="G406" s="135" t="str">
        <f>VLOOKUP(A406,Plano_V3!$A$26:$G$768,7,0)</f>
        <v>1. Concluído</v>
      </c>
      <c r="H406" s="135" t="s">
        <v>612</v>
      </c>
      <c r="I406" s="468"/>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6"/>
        <v>PROPERTY_ENERGY_CERTIFICATEDISTRICT_MUNICIP_PARISH_CODE</v>
      </c>
      <c r="B407" s="141" t="s">
        <v>26</v>
      </c>
      <c r="C407" s="137" t="s">
        <v>54</v>
      </c>
      <c r="D407" s="133" t="s">
        <v>40</v>
      </c>
      <c r="E407" s="134" t="s">
        <v>123</v>
      </c>
      <c r="F407" s="471" t="s">
        <v>101</v>
      </c>
      <c r="G407" s="135" t="str">
        <f>VLOOKUP(A407,Plano_V3!$A$26:$G$768,7,0)</f>
        <v>1. Concluído</v>
      </c>
      <c r="H407" s="135" t="s">
        <v>612</v>
      </c>
      <c r="I407" s="468"/>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hidden="1" customHeight="1">
      <c r="A408" s="29" t="str">
        <f t="shared" si="6"/>
        <v>PROPERTY_ENERGY_CERTIFICATEPROPERTY_PURPOSE_CODE</v>
      </c>
      <c r="B408" s="141" t="s">
        <v>26</v>
      </c>
      <c r="C408" s="137" t="s">
        <v>54</v>
      </c>
      <c r="D408" s="133" t="s">
        <v>40</v>
      </c>
      <c r="E408" s="134" t="s">
        <v>123</v>
      </c>
      <c r="F408" s="471" t="s">
        <v>102</v>
      </c>
      <c r="G408" s="135" t="str">
        <f>VLOOKUP(A408,Plano_V3!$A$26:$G$768,7,0)</f>
        <v>1. Concluído</v>
      </c>
      <c r="H408" s="135" t="s">
        <v>612</v>
      </c>
      <c r="I408" s="468"/>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6"/>
        <v>PROPERTY_ENERGY_CERTIFICATEADDRESS_CODE</v>
      </c>
      <c r="B409" s="141" t="s">
        <v>26</v>
      </c>
      <c r="C409" s="137" t="s">
        <v>54</v>
      </c>
      <c r="D409" s="133" t="s">
        <v>40</v>
      </c>
      <c r="E409" s="134" t="s">
        <v>123</v>
      </c>
      <c r="F409" s="471" t="s">
        <v>104</v>
      </c>
      <c r="G409" s="135" t="str">
        <f>VLOOKUP(A409,Plano_V3!$A$26:$G$768,7,0)</f>
        <v>1. Concluído</v>
      </c>
      <c r="H409" s="135" t="s">
        <v>612</v>
      </c>
      <c r="I409" s="468"/>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6"/>
        <v>PROPERTY_ENERGY_CERTIFICATEFLOOR_NUMBER</v>
      </c>
      <c r="B410" s="141" t="s">
        <v>26</v>
      </c>
      <c r="C410" s="137" t="s">
        <v>54</v>
      </c>
      <c r="D410" s="133" t="s">
        <v>40</v>
      </c>
      <c r="E410" s="134" t="s">
        <v>123</v>
      </c>
      <c r="F410" s="471" t="s">
        <v>111</v>
      </c>
      <c r="G410" s="135" t="str">
        <f>VLOOKUP(A410,Plano_V3!$A$26:$G$768,7,0)</f>
        <v>1. Concluído</v>
      </c>
      <c r="H410" s="135" t="s">
        <v>612</v>
      </c>
      <c r="I410" s="468"/>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6"/>
        <v>PROPERTY_ENERGY_CERTIFICATELOCALITY</v>
      </c>
      <c r="B411" s="141" t="s">
        <v>26</v>
      </c>
      <c r="C411" s="137" t="s">
        <v>54</v>
      </c>
      <c r="D411" s="133" t="s">
        <v>40</v>
      </c>
      <c r="E411" s="134" t="s">
        <v>123</v>
      </c>
      <c r="F411" s="471" t="s">
        <v>112</v>
      </c>
      <c r="G411" s="135" t="str">
        <f>VLOOKUP(A411,Plano_V3!$A$26:$G$768,7,0)</f>
        <v>1. Concluído</v>
      </c>
      <c r="H411" s="135" t="s">
        <v>612</v>
      </c>
      <c r="I411" s="468"/>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6"/>
        <v>PROPERTY_ENERGY_CERTIFICATECLIMATE_ZONE_SUMMER</v>
      </c>
      <c r="B412" s="141" t="s">
        <v>26</v>
      </c>
      <c r="C412" s="137" t="s">
        <v>54</v>
      </c>
      <c r="D412" s="133" t="s">
        <v>40</v>
      </c>
      <c r="E412" s="134" t="s">
        <v>123</v>
      </c>
      <c r="F412" s="471" t="s">
        <v>179</v>
      </c>
      <c r="G412" s="135" t="str">
        <f>VLOOKUP(A412,Plano_V3!$A$26:$G$768,7,0)</f>
        <v>1. Concluído</v>
      </c>
      <c r="H412" s="135" t="s">
        <v>612</v>
      </c>
      <c r="I412" s="468"/>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6"/>
        <v>PROPERTY_ENERGY_CERTIFICATEGPS_LATITUDE</v>
      </c>
      <c r="B413" s="141" t="s">
        <v>26</v>
      </c>
      <c r="C413" s="137" t="s">
        <v>54</v>
      </c>
      <c r="D413" s="133" t="s">
        <v>40</v>
      </c>
      <c r="E413" s="134" t="s">
        <v>123</v>
      </c>
      <c r="F413" s="471" t="s">
        <v>2429</v>
      </c>
      <c r="G413" s="135" t="str">
        <f>VLOOKUP(A413,Plano_V3!$A$26:$G$768,7,0)</f>
        <v>1. Concluído</v>
      </c>
      <c r="H413" s="135" t="s">
        <v>612</v>
      </c>
      <c r="I413" s="468"/>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6"/>
        <v>PROPERTY_ENERGY_CERTIFICATEGPS_LONGITUDE</v>
      </c>
      <c r="B414" s="141" t="s">
        <v>26</v>
      </c>
      <c r="C414" s="137" t="s">
        <v>54</v>
      </c>
      <c r="D414" s="133" t="s">
        <v>40</v>
      </c>
      <c r="E414" s="134" t="s">
        <v>123</v>
      </c>
      <c r="F414" s="471" t="s">
        <v>2430</v>
      </c>
      <c r="G414" s="135" t="str">
        <f>VLOOKUP(A414,Plano_V3!$A$26:$G$768,7,0)</f>
        <v>1. Concluído</v>
      </c>
      <c r="H414" s="135" t="s">
        <v>612</v>
      </c>
      <c r="I414" s="468"/>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6"/>
        <v>modesg_param_sfics_taxon_europeiaordem</v>
      </c>
      <c r="B415" s="141" t="s">
        <v>26</v>
      </c>
      <c r="C415" s="137" t="s">
        <v>181</v>
      </c>
      <c r="D415" s="133" t="s">
        <v>40</v>
      </c>
      <c r="E415" s="134" t="s">
        <v>2097</v>
      </c>
      <c r="F415" s="471" t="s">
        <v>211</v>
      </c>
      <c r="G415" s="135" t="str">
        <f>VLOOKUP(A415,Plano_V3!$A$26:$G$768,7,0)</f>
        <v>1. Concluído</v>
      </c>
      <c r="H415" s="135" t="s">
        <v>612</v>
      </c>
      <c r="I415" s="468"/>
      <c r="J415" s="153"/>
      <c r="K415" s="356" t="s">
        <v>2452</v>
      </c>
      <c r="L415" s="365" t="s">
        <v>2462</v>
      </c>
      <c r="M415" s="365">
        <v>45737</v>
      </c>
      <c r="N415" s="356"/>
      <c r="O415" s="483"/>
      <c r="P415" s="152"/>
      <c r="Q415" s="152"/>
      <c r="R415" s="152"/>
      <c r="S415" s="199"/>
      <c r="T415" s="199"/>
      <c r="U415" s="199"/>
      <c r="V415" s="321"/>
      <c r="W415" s="321"/>
      <c r="X415" s="321"/>
      <c r="Y415" s="369" t="s">
        <v>2321</v>
      </c>
      <c r="Z415" s="320"/>
    </row>
    <row r="416" spans="1:26" ht="16.399999999999999" hidden="1" customHeight="1">
      <c r="A416" s="29" t="str">
        <f t="shared" si="6"/>
        <v>modesg_param_sfics_taxon_europeianome_purpose_esg</v>
      </c>
      <c r="B416" s="141" t="s">
        <v>26</v>
      </c>
      <c r="C416" s="137" t="s">
        <v>181</v>
      </c>
      <c r="D416" s="133" t="s">
        <v>40</v>
      </c>
      <c r="E416" s="134" t="s">
        <v>2097</v>
      </c>
      <c r="F416" s="471" t="s">
        <v>205</v>
      </c>
      <c r="G416" s="135" t="str">
        <f>VLOOKUP(A416,Plano_V3!$A$26:$G$768,7,0)</f>
        <v>0. Cancelado</v>
      </c>
      <c r="H416" s="135" t="s">
        <v>611</v>
      </c>
      <c r="I416" s="468"/>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6"/>
        <v>modesg_param_sfics_taxon_europeiadominio</v>
      </c>
      <c r="B417" s="141" t="s">
        <v>26</v>
      </c>
      <c r="C417" s="137" t="s">
        <v>181</v>
      </c>
      <c r="D417" s="133" t="s">
        <v>40</v>
      </c>
      <c r="E417" s="134" t="s">
        <v>2097</v>
      </c>
      <c r="F417" s="471" t="s">
        <v>196</v>
      </c>
      <c r="G417" s="135" t="str">
        <f>VLOOKUP(A417,Plano_V3!$A$26:$G$768,7,0)</f>
        <v>0. Cancelado</v>
      </c>
      <c r="H417" s="135" t="s">
        <v>611</v>
      </c>
      <c r="I417" s="468"/>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6"/>
        <v>modesg_inp_emss_vclsn.a.</v>
      </c>
      <c r="B418" s="141" t="s">
        <v>26</v>
      </c>
      <c r="C418" s="137" t="s">
        <v>181</v>
      </c>
      <c r="D418" s="133" t="s">
        <v>36</v>
      </c>
      <c r="E418" s="134" t="s">
        <v>212</v>
      </c>
      <c r="F418" s="471" t="s">
        <v>38</v>
      </c>
      <c r="G418" s="135" t="str">
        <f>VLOOKUP(A418,Plano_V3!$A$26:$G$768,7,0)</f>
        <v>1. Concluído</v>
      </c>
      <c r="H418" s="135" t="s">
        <v>612</v>
      </c>
      <c r="I418" s="468"/>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6"/>
        <v>modesg_inp_km_medios_emss_vclsn.a.</v>
      </c>
      <c r="B419" s="141" t="s">
        <v>26</v>
      </c>
      <c r="C419" s="137" t="s">
        <v>181</v>
      </c>
      <c r="D419" s="133" t="s">
        <v>36</v>
      </c>
      <c r="E419" s="134" t="s">
        <v>213</v>
      </c>
      <c r="F419" s="471" t="s">
        <v>38</v>
      </c>
      <c r="G419" s="135" t="str">
        <f>VLOOKUP(A419,Plano_V3!$A$26:$G$768,7,0)</f>
        <v>1. Concluído</v>
      </c>
      <c r="H419" s="135" t="s">
        <v>612</v>
      </c>
      <c r="I419" s="468"/>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6"/>
        <v>modesg_inp_empr_excl_parisn.a.</v>
      </c>
      <c r="B420" s="141" t="s">
        <v>26</v>
      </c>
      <c r="C420" s="137" t="s">
        <v>181</v>
      </c>
      <c r="D420" s="133" t="s">
        <v>36</v>
      </c>
      <c r="E420" s="134" t="s">
        <v>214</v>
      </c>
      <c r="F420" s="471" t="s">
        <v>38</v>
      </c>
      <c r="G420" s="135" t="str">
        <f>VLOOKUP(A420,Plano_V3!$A$26:$G$768,7,0)</f>
        <v>1. Concluído</v>
      </c>
      <c r="H420" s="135" t="s">
        <v>612</v>
      </c>
      <c r="I420" s="468"/>
      <c r="J420" s="153"/>
      <c r="K420" s="153"/>
      <c r="L420" s="153"/>
      <c r="M420" s="153"/>
      <c r="N420" s="489"/>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6"/>
        <v>modesg_inp_nfrd_alinhamento_taxn.a.</v>
      </c>
      <c r="B421" s="141" t="s">
        <v>26</v>
      </c>
      <c r="C421" s="137" t="s">
        <v>181</v>
      </c>
      <c r="D421" s="133" t="s">
        <v>36</v>
      </c>
      <c r="E421" s="134" t="s">
        <v>215</v>
      </c>
      <c r="F421" s="471" t="s">
        <v>38</v>
      </c>
      <c r="G421" s="135" t="str">
        <f>VLOOKUP(A421,Plano_V3!$A$26:$G$768,7,0)</f>
        <v>1. Concluído</v>
      </c>
      <c r="H421" s="135" t="s">
        <v>612</v>
      </c>
      <c r="I421" s="468"/>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6"/>
        <v>modesg_inp_risco_fisicon.a.</v>
      </c>
      <c r="B422" s="141" t="s">
        <v>26</v>
      </c>
      <c r="C422" s="137" t="s">
        <v>181</v>
      </c>
      <c r="D422" s="133" t="s">
        <v>36</v>
      </c>
      <c r="E422" s="134" t="s">
        <v>216</v>
      </c>
      <c r="F422" s="471" t="s">
        <v>38</v>
      </c>
      <c r="G422" s="135" t="str">
        <f>VLOOKUP(A422,Plano_V3!$A$26:$G$768,7,0)</f>
        <v>1. Concluído</v>
      </c>
      <c r="H422" s="135" t="s">
        <v>612</v>
      </c>
      <c r="I422" s="468"/>
      <c r="J422" s="153"/>
      <c r="K422" s="153"/>
      <c r="L422" s="153"/>
      <c r="M422" s="153"/>
      <c r="N422" s="489"/>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6"/>
        <v>modesg_inp_emss_scibn.a.</v>
      </c>
      <c r="B423" s="141" t="s">
        <v>26</v>
      </c>
      <c r="C423" s="137" t="s">
        <v>181</v>
      </c>
      <c r="D423" s="133" t="s">
        <v>36</v>
      </c>
      <c r="E423" s="134" t="s">
        <v>217</v>
      </c>
      <c r="F423" s="471" t="s">
        <v>38</v>
      </c>
      <c r="G423" s="135" t="str">
        <f>VLOOKUP(A423,Plano_V3!$A$26:$G$768,7,0)</f>
        <v>1. Concluído</v>
      </c>
      <c r="H423" s="135" t="s">
        <v>612</v>
      </c>
      <c r="I423" s="468"/>
      <c r="J423" s="153"/>
      <c r="K423" s="153"/>
      <c r="L423" s="153"/>
      <c r="M423" s="153"/>
      <c r="N423" s="489"/>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6"/>
        <v>modesg_inp_emss_nacen.a.</v>
      </c>
      <c r="B424" s="141" t="s">
        <v>26</v>
      </c>
      <c r="C424" s="137" t="s">
        <v>181</v>
      </c>
      <c r="D424" s="133" t="s">
        <v>36</v>
      </c>
      <c r="E424" s="134" t="s">
        <v>218</v>
      </c>
      <c r="F424" s="471" t="s">
        <v>38</v>
      </c>
      <c r="G424" s="135" t="str">
        <f>VLOOKUP(A424,Plano_V3!$A$26:$G$768,7,0)</f>
        <v>1. Concluído</v>
      </c>
      <c r="H424" s="135" t="s">
        <v>612</v>
      </c>
      <c r="I424" s="468"/>
      <c r="J424" s="142"/>
      <c r="K424" s="142"/>
      <c r="L424" s="153"/>
      <c r="M424" s="153"/>
      <c r="N424" s="142"/>
      <c r="O424" s="142" t="s">
        <v>2354</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6"/>
        <v>modesg_inp_emss_bens_imoveisn.a.</v>
      </c>
      <c r="B425" s="141" t="s">
        <v>26</v>
      </c>
      <c r="C425" s="137" t="s">
        <v>181</v>
      </c>
      <c r="D425" s="133" t="s">
        <v>36</v>
      </c>
      <c r="E425" s="134" t="s">
        <v>219</v>
      </c>
      <c r="F425" s="471" t="s">
        <v>38</v>
      </c>
      <c r="G425" s="135" t="str">
        <f>VLOOKUP(A425,Plano_V3!$A$26:$G$768,7,0)</f>
        <v>1. Concluído</v>
      </c>
      <c r="H425" s="135" t="s">
        <v>612</v>
      </c>
      <c r="I425" s="468"/>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6"/>
        <v>modesg_inp_emss_vclsref_date</v>
      </c>
      <c r="B426" s="141" t="s">
        <v>26</v>
      </c>
      <c r="C426" s="137" t="s">
        <v>181</v>
      </c>
      <c r="D426" s="133" t="s">
        <v>40</v>
      </c>
      <c r="E426" s="134" t="s">
        <v>212</v>
      </c>
      <c r="F426" s="471" t="s">
        <v>208</v>
      </c>
      <c r="G426" s="135" t="str">
        <f>VLOOKUP(A426,Plano_V3!$A$26:$G$768,7,0)</f>
        <v>1. Concluído</v>
      </c>
      <c r="H426" s="135" t="s">
        <v>612</v>
      </c>
      <c r="I426" s="468"/>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6"/>
        <v>modesg_inp_emss_vclsnome_regiao</v>
      </c>
      <c r="B427" s="141" t="s">
        <v>26</v>
      </c>
      <c r="C427" s="137" t="s">
        <v>181</v>
      </c>
      <c r="D427" s="133" t="s">
        <v>40</v>
      </c>
      <c r="E427" s="134" t="s">
        <v>212</v>
      </c>
      <c r="F427" s="471" t="s">
        <v>220</v>
      </c>
      <c r="G427" s="135" t="str">
        <f>VLOOKUP(A427,Plano_V3!$A$26:$G$768,7,0)</f>
        <v>1. Concluído</v>
      </c>
      <c r="H427" s="135" t="s">
        <v>612</v>
      </c>
      <c r="I427" s="468"/>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6"/>
        <v>modesg_inp_emss_vclsnome_pais</v>
      </c>
      <c r="B428" s="141" t="s">
        <v>26</v>
      </c>
      <c r="C428" s="137" t="s">
        <v>181</v>
      </c>
      <c r="D428" s="133" t="s">
        <v>40</v>
      </c>
      <c r="E428" s="134" t="s">
        <v>212</v>
      </c>
      <c r="F428" s="471" t="s">
        <v>221</v>
      </c>
      <c r="G428" s="135" t="str">
        <f>VLOOKUP(A428,Plano_V3!$A$26:$G$768,7,0)</f>
        <v>1. Concluído</v>
      </c>
      <c r="H428" s="135" t="s">
        <v>612</v>
      </c>
      <c r="I428" s="468"/>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6"/>
        <v>modesg_inp_emss_vclsnome_estado</v>
      </c>
      <c r="B429" s="141" t="s">
        <v>26</v>
      </c>
      <c r="C429" s="137" t="s">
        <v>181</v>
      </c>
      <c r="D429" s="133" t="s">
        <v>40</v>
      </c>
      <c r="E429" s="134" t="s">
        <v>212</v>
      </c>
      <c r="F429" s="471" t="s">
        <v>222</v>
      </c>
      <c r="G429" s="135" t="str">
        <f>VLOOKUP(A429,Plano_V3!$A$26:$G$768,7,0)</f>
        <v>1. Concluído</v>
      </c>
      <c r="H429" s="135" t="s">
        <v>612</v>
      </c>
      <c r="I429" s="468"/>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6"/>
        <v>modesg_inp_emss_vclstipo_veiculo</v>
      </c>
      <c r="B430" s="141" t="s">
        <v>26</v>
      </c>
      <c r="C430" s="137" t="s">
        <v>181</v>
      </c>
      <c r="D430" s="133" t="s">
        <v>40</v>
      </c>
      <c r="E430" s="134" t="s">
        <v>212</v>
      </c>
      <c r="F430" s="471" t="s">
        <v>223</v>
      </c>
      <c r="G430" s="135" t="str">
        <f>VLOOKUP(A430,Plano_V3!$A$26:$G$768,7,0)</f>
        <v>1. Concluído</v>
      </c>
      <c r="H430" s="135" t="s">
        <v>612</v>
      </c>
      <c r="I430" s="468"/>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6"/>
        <v>modesg_inp_emss_vclstipo_motor</v>
      </c>
      <c r="B431" s="141" t="s">
        <v>26</v>
      </c>
      <c r="C431" s="137" t="s">
        <v>181</v>
      </c>
      <c r="D431" s="133" t="s">
        <v>40</v>
      </c>
      <c r="E431" s="134" t="s">
        <v>212</v>
      </c>
      <c r="F431" s="471" t="s">
        <v>224</v>
      </c>
      <c r="G431" s="135" t="str">
        <f>VLOOKUP(A431,Plano_V3!$A$26:$G$768,7,0)</f>
        <v>1. Concluído</v>
      </c>
      <c r="H431" s="135" t="s">
        <v>612</v>
      </c>
      <c r="I431" s="468"/>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6"/>
        <v>modesg_inp_emss_vclsmarca</v>
      </c>
      <c r="B432" s="141" t="s">
        <v>26</v>
      </c>
      <c r="C432" s="137" t="s">
        <v>181</v>
      </c>
      <c r="D432" s="133" t="s">
        <v>40</v>
      </c>
      <c r="E432" s="134" t="s">
        <v>212</v>
      </c>
      <c r="F432" s="471" t="s">
        <v>225</v>
      </c>
      <c r="G432" s="135" t="str">
        <f>VLOOKUP(A432,Plano_V3!$A$26:$G$768,7,0)</f>
        <v>1. Concluído</v>
      </c>
      <c r="H432" s="135" t="s">
        <v>612</v>
      </c>
      <c r="I432" s="468"/>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6"/>
        <v>modesg_inp_emss_vclsmodelo</v>
      </c>
      <c r="B433" s="141" t="s">
        <v>26</v>
      </c>
      <c r="C433" s="137" t="s">
        <v>181</v>
      </c>
      <c r="D433" s="133" t="s">
        <v>40</v>
      </c>
      <c r="E433" s="134" t="s">
        <v>212</v>
      </c>
      <c r="F433" s="471" t="s">
        <v>226</v>
      </c>
      <c r="G433" s="135" t="str">
        <f>VLOOKUP(A433,Plano_V3!$A$26:$G$768,7,0)</f>
        <v>1. Concluído</v>
      </c>
      <c r="H433" s="135" t="s">
        <v>612</v>
      </c>
      <c r="I433" s="468"/>
      <c r="J433" s="482"/>
      <c r="K433" s="482"/>
      <c r="L433" s="483"/>
      <c r="M433" s="483"/>
      <c r="N433" s="482"/>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6"/>
        <v>modesg_inp_emss_vclssubgrupo</v>
      </c>
      <c r="B434" s="141" t="s">
        <v>26</v>
      </c>
      <c r="C434" s="137" t="s">
        <v>181</v>
      </c>
      <c r="D434" s="133" t="s">
        <v>40</v>
      </c>
      <c r="E434" s="134" t="s">
        <v>212</v>
      </c>
      <c r="F434" s="471" t="s">
        <v>227</v>
      </c>
      <c r="G434" s="135" t="str">
        <f>VLOOKUP(A434,Plano_V3!$A$26:$G$768,7,0)</f>
        <v>1. Concluído</v>
      </c>
      <c r="H434" s="135" t="s">
        <v>612</v>
      </c>
      <c r="I434" s="468"/>
      <c r="J434" s="482"/>
      <c r="K434" s="482"/>
      <c r="L434" s="483"/>
      <c r="M434" s="483"/>
      <c r="N434" s="482"/>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6"/>
        <v>modesg_inp_emss_vclsnome_unidade_funcional</v>
      </c>
      <c r="B435" s="141" t="s">
        <v>26</v>
      </c>
      <c r="C435" s="137" t="s">
        <v>181</v>
      </c>
      <c r="D435" s="133" t="s">
        <v>40</v>
      </c>
      <c r="E435" s="134" t="s">
        <v>212</v>
      </c>
      <c r="F435" s="471" t="s">
        <v>228</v>
      </c>
      <c r="G435" s="135" t="str">
        <f>VLOOKUP(A435,Plano_V3!$A$26:$G$768,7,0)</f>
        <v>1. Concluído</v>
      </c>
      <c r="H435" s="135" t="s">
        <v>612</v>
      </c>
      <c r="I435" s="468"/>
      <c r="J435" s="482"/>
      <c r="K435" s="482"/>
      <c r="L435" s="483"/>
      <c r="M435" s="483"/>
      <c r="N435" s="482"/>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6"/>
        <v>modesg_inp_emss_vclsunidade_funcional</v>
      </c>
      <c r="B436" s="141" t="s">
        <v>26</v>
      </c>
      <c r="C436" s="137" t="s">
        <v>181</v>
      </c>
      <c r="D436" s="133" t="s">
        <v>40</v>
      </c>
      <c r="E436" s="134" t="s">
        <v>212</v>
      </c>
      <c r="F436" s="471" t="s">
        <v>229</v>
      </c>
      <c r="G436" s="135" t="str">
        <f>VLOOKUP(A436,Plano_V3!$A$26:$G$768,7,0)</f>
        <v>1. Concluído</v>
      </c>
      <c r="H436" s="135" t="s">
        <v>612</v>
      </c>
      <c r="I436" s="468"/>
      <c r="J436" s="482"/>
      <c r="K436" s="482"/>
      <c r="L436" s="483"/>
      <c r="M436" s="483"/>
      <c r="N436" s="482"/>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6"/>
        <v>modesg_inp_emss_vclsnome_fator_emissao</v>
      </c>
      <c r="B437" s="141" t="s">
        <v>26</v>
      </c>
      <c r="C437" s="137" t="s">
        <v>181</v>
      </c>
      <c r="D437" s="133" t="s">
        <v>40</v>
      </c>
      <c r="E437" s="134" t="s">
        <v>212</v>
      </c>
      <c r="F437" s="471" t="s">
        <v>230</v>
      </c>
      <c r="G437" s="135" t="str">
        <f>VLOOKUP(A437,Plano_V3!$A$26:$G$768,7,0)</f>
        <v>1. Concluído</v>
      </c>
      <c r="H437" s="135" t="s">
        <v>612</v>
      </c>
      <c r="I437" s="468"/>
      <c r="J437" s="482"/>
      <c r="K437" s="482"/>
      <c r="L437" s="483"/>
      <c r="M437" s="483"/>
      <c r="N437" s="482"/>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6"/>
        <v>modesg_inp_emss_vclsunidade_fator_de_emissao</v>
      </c>
      <c r="B438" s="141" t="s">
        <v>26</v>
      </c>
      <c r="C438" s="137" t="s">
        <v>181</v>
      </c>
      <c r="D438" s="133" t="s">
        <v>40</v>
      </c>
      <c r="E438" s="134" t="s">
        <v>212</v>
      </c>
      <c r="F438" s="471" t="s">
        <v>231</v>
      </c>
      <c r="G438" s="135" t="str">
        <f>VLOOKUP(A438,Plano_V3!$A$26:$G$768,7,0)</f>
        <v>1. Concluído</v>
      </c>
      <c r="H438" s="135" t="s">
        <v>612</v>
      </c>
      <c r="I438" s="468"/>
      <c r="J438" s="482"/>
      <c r="K438" s="482"/>
      <c r="L438" s="483"/>
      <c r="M438" s="483"/>
      <c r="N438" s="482"/>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6"/>
        <v>modesg_inp_emss_vclsscore_qualidade</v>
      </c>
      <c r="B439" s="141" t="s">
        <v>26</v>
      </c>
      <c r="C439" s="137" t="s">
        <v>181</v>
      </c>
      <c r="D439" s="133" t="s">
        <v>40</v>
      </c>
      <c r="E439" s="134" t="s">
        <v>212</v>
      </c>
      <c r="F439" s="471" t="s">
        <v>232</v>
      </c>
      <c r="G439" s="135" t="str">
        <f>VLOOKUP(A439,Plano_V3!$A$26:$G$768,7,0)</f>
        <v>1. Concluído</v>
      </c>
      <c r="H439" s="135" t="s">
        <v>612</v>
      </c>
      <c r="I439" s="468"/>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6"/>
        <v>modesg_inp_emss_vclsscp1_ftr_emss</v>
      </c>
      <c r="B440" s="141" t="s">
        <v>26</v>
      </c>
      <c r="C440" s="137" t="s">
        <v>181</v>
      </c>
      <c r="D440" s="133" t="s">
        <v>40</v>
      </c>
      <c r="E440" s="134" t="s">
        <v>212</v>
      </c>
      <c r="F440" s="471" t="s">
        <v>233</v>
      </c>
      <c r="G440" s="135" t="str">
        <f>VLOOKUP(A440,Plano_V3!$A$26:$G$768,7,0)</f>
        <v>1. Concluído</v>
      </c>
      <c r="H440" s="135" t="s">
        <v>612</v>
      </c>
      <c r="I440" s="468"/>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6"/>
        <v>modesg_inp_emss_vclsscp2_ftr_emss</v>
      </c>
      <c r="B441" s="141" t="s">
        <v>26</v>
      </c>
      <c r="C441" s="137" t="s">
        <v>181</v>
      </c>
      <c r="D441" s="133" t="s">
        <v>40</v>
      </c>
      <c r="E441" s="134" t="s">
        <v>212</v>
      </c>
      <c r="F441" s="471" t="s">
        <v>234</v>
      </c>
      <c r="G441" s="135" t="str">
        <f>VLOOKUP(A441,Plano_V3!$A$26:$G$768,7,0)</f>
        <v>1. Concluído</v>
      </c>
      <c r="H441" s="135" t="s">
        <v>612</v>
      </c>
      <c r="I441" s="468"/>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6"/>
        <v>modesg_inp_emss_vclsscp3_ftr_emss</v>
      </c>
      <c r="B442" s="141" t="s">
        <v>26</v>
      </c>
      <c r="C442" s="137" t="s">
        <v>181</v>
      </c>
      <c r="D442" s="133" t="s">
        <v>40</v>
      </c>
      <c r="E442" s="134" t="s">
        <v>212</v>
      </c>
      <c r="F442" s="471" t="s">
        <v>235</v>
      </c>
      <c r="G442" s="135" t="str">
        <f>VLOOKUP(A442,Plano_V3!$A$26:$G$768,7,0)</f>
        <v>1. Concluído</v>
      </c>
      <c r="H442" s="135" t="s">
        <v>612</v>
      </c>
      <c r="I442" s="468"/>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6"/>
        <v>modesg_inp_km_medios_emss_vclsref_date</v>
      </c>
      <c r="B443" s="141" t="s">
        <v>26</v>
      </c>
      <c r="C443" s="137" t="s">
        <v>181</v>
      </c>
      <c r="D443" s="133" t="s">
        <v>40</v>
      </c>
      <c r="E443" s="134" t="s">
        <v>213</v>
      </c>
      <c r="F443" s="471" t="s">
        <v>208</v>
      </c>
      <c r="G443" s="135" t="str">
        <f>VLOOKUP(A443,Plano_V3!$A$26:$G$768,7,0)</f>
        <v>1. Concluído</v>
      </c>
      <c r="H443" s="135" t="s">
        <v>612</v>
      </c>
      <c r="I443" s="468"/>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6"/>
        <v>modesg_inp_km_medios_emss_vclsnome_pais</v>
      </c>
      <c r="B444" s="141" t="s">
        <v>26</v>
      </c>
      <c r="C444" s="137" t="s">
        <v>181</v>
      </c>
      <c r="D444" s="133" t="s">
        <v>40</v>
      </c>
      <c r="E444" s="134" t="s">
        <v>213</v>
      </c>
      <c r="F444" s="471" t="s">
        <v>221</v>
      </c>
      <c r="G444" s="135" t="str">
        <f>VLOOKUP(A444,Plano_V3!$A$26:$G$768,7,0)</f>
        <v>1. Concluído</v>
      </c>
      <c r="H444" s="135" t="s">
        <v>612</v>
      </c>
      <c r="I444" s="468"/>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6"/>
        <v>modesg_inp_km_medios_emss_vclstipo_vcl</v>
      </c>
      <c r="B445" s="141" t="s">
        <v>26</v>
      </c>
      <c r="C445" s="137" t="s">
        <v>181</v>
      </c>
      <c r="D445" s="133" t="s">
        <v>40</v>
      </c>
      <c r="E445" s="134" t="s">
        <v>213</v>
      </c>
      <c r="F445" s="471" t="s">
        <v>236</v>
      </c>
      <c r="G445" s="135" t="str">
        <f>VLOOKUP(A445,Plano_V3!$A$26:$G$768,7,0)</f>
        <v>1. Concluído</v>
      </c>
      <c r="H445" s="135" t="s">
        <v>612</v>
      </c>
      <c r="I445" s="468"/>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6"/>
        <v>modesg_inp_km_medios_emss_vclstipo_motor</v>
      </c>
      <c r="B446" s="141" t="s">
        <v>26</v>
      </c>
      <c r="C446" s="137" t="s">
        <v>181</v>
      </c>
      <c r="D446" s="133" t="s">
        <v>40</v>
      </c>
      <c r="E446" s="134" t="s">
        <v>213</v>
      </c>
      <c r="F446" s="471" t="s">
        <v>224</v>
      </c>
      <c r="G446" s="135" t="str">
        <f>VLOOKUP(A446,Plano_V3!$A$26:$G$768,7,0)</f>
        <v>1. Concluído</v>
      </c>
      <c r="H446" s="135" t="s">
        <v>612</v>
      </c>
      <c r="I446" s="468"/>
      <c r="J446" s="482"/>
      <c r="K446" s="482"/>
      <c r="L446" s="483"/>
      <c r="M446" s="483"/>
      <c r="N446" s="482"/>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6"/>
        <v>modesg_inp_km_medios_emss_vclssubgrupo</v>
      </c>
      <c r="B447" s="141" t="s">
        <v>26</v>
      </c>
      <c r="C447" s="137" t="s">
        <v>181</v>
      </c>
      <c r="D447" s="133" t="s">
        <v>40</v>
      </c>
      <c r="E447" s="134" t="s">
        <v>213</v>
      </c>
      <c r="F447" s="471" t="s">
        <v>227</v>
      </c>
      <c r="G447" s="135" t="str">
        <f>VLOOKUP(A447,Plano_V3!$A$26:$G$768,7,0)</f>
        <v>1. Concluído</v>
      </c>
      <c r="H447" s="135" t="s">
        <v>612</v>
      </c>
      <c r="I447" s="468"/>
      <c r="J447" s="482"/>
      <c r="K447" s="482"/>
      <c r="L447" s="483"/>
      <c r="M447" s="483"/>
      <c r="N447" s="482"/>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6"/>
        <v>modesg_inp_km_medios_emss_vclsmedia_km</v>
      </c>
      <c r="B448" s="141" t="s">
        <v>26</v>
      </c>
      <c r="C448" s="137" t="s">
        <v>181</v>
      </c>
      <c r="D448" s="133" t="s">
        <v>40</v>
      </c>
      <c r="E448" s="134" t="s">
        <v>213</v>
      </c>
      <c r="F448" s="471" t="s">
        <v>237</v>
      </c>
      <c r="G448" s="135" t="str">
        <f>VLOOKUP(A448,Plano_V3!$A$26:$G$768,7,0)</f>
        <v>1. Concluído</v>
      </c>
      <c r="H448" s="135" t="s">
        <v>612</v>
      </c>
      <c r="I448" s="468"/>
      <c r="J448" s="482"/>
      <c r="K448" s="482"/>
      <c r="L448" s="483"/>
      <c r="M448" s="483"/>
      <c r="N448" s="482"/>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6"/>
        <v>modesg_inp_empr_excl_parisref_date</v>
      </c>
      <c r="B449" s="141" t="s">
        <v>26</v>
      </c>
      <c r="C449" s="137" t="s">
        <v>181</v>
      </c>
      <c r="D449" s="133" t="s">
        <v>40</v>
      </c>
      <c r="E449" s="134" t="s">
        <v>214</v>
      </c>
      <c r="F449" s="471" t="s">
        <v>208</v>
      </c>
      <c r="G449" s="135" t="str">
        <f>VLOOKUP(A449,Plano_V3!$A$26:$G$768,7,0)</f>
        <v>1. Concluído</v>
      </c>
      <c r="H449" s="135" t="s">
        <v>612</v>
      </c>
      <c r="I449" s="468"/>
      <c r="J449" s="153"/>
      <c r="K449" s="153"/>
      <c r="L449" s="153"/>
      <c r="M449" s="153"/>
      <c r="N449" s="489"/>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6"/>
        <v>modesg_inp_empr_excl_parisisin</v>
      </c>
      <c r="B450" s="141" t="s">
        <v>26</v>
      </c>
      <c r="C450" s="137" t="s">
        <v>181</v>
      </c>
      <c r="D450" s="133" t="s">
        <v>40</v>
      </c>
      <c r="E450" s="134" t="s">
        <v>214</v>
      </c>
      <c r="F450" s="471" t="s">
        <v>238</v>
      </c>
      <c r="G450" s="135" t="str">
        <f>VLOOKUP(A450,Plano_V3!$A$26:$G$768,7,0)</f>
        <v>1. Concluído</v>
      </c>
      <c r="H450" s="135" t="s">
        <v>612</v>
      </c>
      <c r="I450" s="468"/>
      <c r="J450" s="153"/>
      <c r="K450" s="153"/>
      <c r="L450" s="153"/>
      <c r="M450" s="153"/>
      <c r="N450" s="489"/>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6"/>
        <v>modesg_inp_empr_excl_parisclei</v>
      </c>
      <c r="B451" s="141" t="s">
        <v>26</v>
      </c>
      <c r="C451" s="137" t="s">
        <v>181</v>
      </c>
      <c r="D451" s="133" t="s">
        <v>40</v>
      </c>
      <c r="E451" s="134" t="s">
        <v>214</v>
      </c>
      <c r="F451" s="471" t="s">
        <v>239</v>
      </c>
      <c r="G451" s="135" t="str">
        <f>VLOOKUP(A451,Plano_V3!$A$26:$G$768,7,0)</f>
        <v>1. Concluído</v>
      </c>
      <c r="H451" s="135" t="s">
        <v>612</v>
      </c>
      <c r="I451" s="468"/>
      <c r="J451" s="153"/>
      <c r="K451" s="153"/>
      <c r="L451" s="153"/>
      <c r="M451" s="153"/>
      <c r="N451" s="489"/>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6"/>
        <v>modesg_inp_empr_excl_parisccli_kgl</v>
      </c>
      <c r="B452" s="141" t="s">
        <v>26</v>
      </c>
      <c r="C452" s="137" t="s">
        <v>181</v>
      </c>
      <c r="D452" s="133" t="s">
        <v>40</v>
      </c>
      <c r="E452" s="134" t="s">
        <v>214</v>
      </c>
      <c r="F452" s="471" t="s">
        <v>240</v>
      </c>
      <c r="G452" s="135" t="str">
        <f>VLOOKUP(A452,Plano_V3!$A$26:$G$768,7,0)</f>
        <v>1. Concluído</v>
      </c>
      <c r="H452" s="135" t="s">
        <v>612</v>
      </c>
      <c r="I452" s="468"/>
      <c r="J452" s="153"/>
      <c r="K452" s="153"/>
      <c r="L452" s="153"/>
      <c r="M452" s="153"/>
      <c r="N452" s="489"/>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6"/>
        <v>modesg_inp_empr_excl_parisnome_entidade</v>
      </c>
      <c r="B453" s="141" t="s">
        <v>26</v>
      </c>
      <c r="C453" s="137" t="s">
        <v>181</v>
      </c>
      <c r="D453" s="133" t="s">
        <v>40</v>
      </c>
      <c r="E453" s="134" t="s">
        <v>214</v>
      </c>
      <c r="F453" s="471" t="s">
        <v>241</v>
      </c>
      <c r="G453" s="135" t="str">
        <f>VLOOKUP(A453,Plano_V3!$A$26:$G$768,7,0)</f>
        <v>1. Concluído</v>
      </c>
      <c r="H453" s="135" t="s">
        <v>612</v>
      </c>
      <c r="I453" s="468"/>
      <c r="J453" s="153"/>
      <c r="K453" s="153"/>
      <c r="L453" s="153"/>
      <c r="M453" s="153"/>
      <c r="N453" s="489"/>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6"/>
        <v>modesg_inp_empr_excl_parisflg_scib</v>
      </c>
      <c r="B454" s="141" t="s">
        <v>26</v>
      </c>
      <c r="C454" s="137" t="s">
        <v>181</v>
      </c>
      <c r="D454" s="133" t="s">
        <v>40</v>
      </c>
      <c r="E454" s="134" t="s">
        <v>214</v>
      </c>
      <c r="F454" s="471" t="s">
        <v>242</v>
      </c>
      <c r="G454" s="135" t="str">
        <f>VLOOKUP(A454,Plano_V3!$A$26:$G$768,7,0)</f>
        <v>1. Concluído</v>
      </c>
      <c r="H454" s="135" t="s">
        <v>612</v>
      </c>
      <c r="I454" s="468"/>
      <c r="J454" s="153"/>
      <c r="K454" s="153"/>
      <c r="L454" s="153"/>
      <c r="M454" s="153"/>
      <c r="N454" s="489"/>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6"/>
        <v>modesg_inp_empr_excl_parisnome_pais</v>
      </c>
      <c r="B455" s="141" t="s">
        <v>26</v>
      </c>
      <c r="C455" s="137" t="s">
        <v>181</v>
      </c>
      <c r="D455" s="133" t="s">
        <v>40</v>
      </c>
      <c r="E455" s="134" t="s">
        <v>214</v>
      </c>
      <c r="F455" s="471" t="s">
        <v>221</v>
      </c>
      <c r="G455" s="135" t="str">
        <f>VLOOKUP(A455,Plano_V3!$A$26:$G$768,7,0)</f>
        <v>1. Concluído</v>
      </c>
      <c r="H455" s="135" t="s">
        <v>612</v>
      </c>
      <c r="I455" s="468"/>
      <c r="J455" s="153"/>
      <c r="K455" s="153"/>
      <c r="L455" s="153"/>
      <c r="M455" s="153"/>
      <c r="N455" s="489"/>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6"/>
        <v>modesg_inp_nfrd_alinhamento_taxref_date</v>
      </c>
      <c r="B456" s="141" t="s">
        <v>26</v>
      </c>
      <c r="C456" s="137" t="s">
        <v>181</v>
      </c>
      <c r="D456" s="133" t="s">
        <v>40</v>
      </c>
      <c r="E456" s="134" t="s">
        <v>215</v>
      </c>
      <c r="F456" s="471" t="s">
        <v>208</v>
      </c>
      <c r="G456" s="135" t="str">
        <f>VLOOKUP(A456,Plano_V3!$A$26:$G$768,7,0)</f>
        <v>1. Concluído</v>
      </c>
      <c r="H456" s="135" t="s">
        <v>612</v>
      </c>
      <c r="I456" s="468"/>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6"/>
        <v>modesg_inp_nfrd_alinhamento_taxccli_kgl</v>
      </c>
      <c r="B457" s="141" t="s">
        <v>26</v>
      </c>
      <c r="C457" s="137" t="s">
        <v>181</v>
      </c>
      <c r="D457" s="133" t="s">
        <v>40</v>
      </c>
      <c r="E457" s="134" t="s">
        <v>215</v>
      </c>
      <c r="F457" s="471" t="s">
        <v>240</v>
      </c>
      <c r="G457" s="135" t="str">
        <f>VLOOKUP(A457,Plano_V3!$A$26:$G$768,7,0)</f>
        <v>1. Concluído</v>
      </c>
      <c r="H457" s="135" t="s">
        <v>612</v>
      </c>
      <c r="I457" s="468"/>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6"/>
        <v>modesg_inp_nfrd_alinhamento_taxclei</v>
      </c>
      <c r="B458" s="141" t="s">
        <v>26</v>
      </c>
      <c r="C458" s="137" t="s">
        <v>181</v>
      </c>
      <c r="D458" s="133" t="s">
        <v>40</v>
      </c>
      <c r="E458" s="134" t="s">
        <v>215</v>
      </c>
      <c r="F458" s="471" t="s">
        <v>239</v>
      </c>
      <c r="G458" s="135" t="str">
        <f>VLOOKUP(A458,Plano_V3!$A$26:$G$768,7,0)</f>
        <v>1. Concluído</v>
      </c>
      <c r="H458" s="135" t="s">
        <v>612</v>
      </c>
      <c r="I458" s="468"/>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7">E459&amp;F459</f>
        <v>modesg_inp_nfrd_alinhamento_taxperm_id</v>
      </c>
      <c r="B459" s="141" t="s">
        <v>26</v>
      </c>
      <c r="C459" s="137" t="s">
        <v>181</v>
      </c>
      <c r="D459" s="133" t="s">
        <v>40</v>
      </c>
      <c r="E459" s="134" t="s">
        <v>215</v>
      </c>
      <c r="F459" s="471" t="s">
        <v>243</v>
      </c>
      <c r="G459" s="135" t="str">
        <f>VLOOKUP(A459,Plano_V3!$A$26:$G$768,7,0)</f>
        <v>1. Concluído</v>
      </c>
      <c r="H459" s="135" t="s">
        <v>612</v>
      </c>
      <c r="I459" s="468"/>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7"/>
        <v>modesg_inp_nfrd_alinhamento_taxnome_entidade</v>
      </c>
      <c r="B460" s="141" t="s">
        <v>26</v>
      </c>
      <c r="C460" s="137" t="s">
        <v>181</v>
      </c>
      <c r="D460" s="133" t="s">
        <v>40</v>
      </c>
      <c r="E460" s="134" t="s">
        <v>215</v>
      </c>
      <c r="F460" s="471" t="s">
        <v>241</v>
      </c>
      <c r="G460" s="135" t="str">
        <f>VLOOKUP(A460,Plano_V3!$A$26:$G$768,7,0)</f>
        <v>1. Concluído</v>
      </c>
      <c r="H460" s="135" t="s">
        <v>612</v>
      </c>
      <c r="I460" s="468"/>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7"/>
        <v>modesg_inp_nfrd_alinhamento_taxnome_pais</v>
      </c>
      <c r="B461" s="141" t="s">
        <v>26</v>
      </c>
      <c r="C461" s="137" t="s">
        <v>181</v>
      </c>
      <c r="D461" s="133" t="s">
        <v>40</v>
      </c>
      <c r="E461" s="134" t="s">
        <v>215</v>
      </c>
      <c r="F461" s="471" t="s">
        <v>221</v>
      </c>
      <c r="G461" s="135" t="str">
        <f>VLOOKUP(A461,Plano_V3!$A$26:$G$768,7,0)</f>
        <v>1. Concluído</v>
      </c>
      <c r="H461" s="135" t="s">
        <v>612</v>
      </c>
      <c r="I461" s="468"/>
      <c r="J461" s="143"/>
      <c r="K461" s="143"/>
      <c r="L461" s="491"/>
      <c r="M461" s="491"/>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7"/>
        <v>modesg_inp_nfrd_alinhamento_taxflg_nfrd</v>
      </c>
      <c r="B462" s="141" t="s">
        <v>26</v>
      </c>
      <c r="C462" s="137" t="s">
        <v>181</v>
      </c>
      <c r="D462" s="133" t="s">
        <v>40</v>
      </c>
      <c r="E462" s="134" t="s">
        <v>215</v>
      </c>
      <c r="F462" s="471" t="s">
        <v>244</v>
      </c>
      <c r="G462" s="135" t="str">
        <f>VLOOKUP(A462,Plano_V3!$A$26:$G$768,7,0)</f>
        <v>1. Concluído</v>
      </c>
      <c r="H462" s="135" t="s">
        <v>612</v>
      </c>
      <c r="I462" s="468"/>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7"/>
        <v>modesg_inp_nfrd_alinhamento_taxcca_trnvr_ttl_elgbl</v>
      </c>
      <c r="B463" s="141" t="s">
        <v>26</v>
      </c>
      <c r="C463" s="137" t="s">
        <v>181</v>
      </c>
      <c r="D463" s="133" t="s">
        <v>40</v>
      </c>
      <c r="E463" s="134" t="s">
        <v>215</v>
      </c>
      <c r="F463" s="471" t="s">
        <v>245</v>
      </c>
      <c r="G463" s="135" t="str">
        <f>VLOOKUP(A463,Plano_V3!$A$26:$G$768,7,0)</f>
        <v>1. Concluído</v>
      </c>
      <c r="H463" s="135" t="s">
        <v>612</v>
      </c>
      <c r="I463" s="468"/>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7"/>
        <v>modesg_inp_nfrd_alinhamento_taxcca_trnvr_enblng_alignd</v>
      </c>
      <c r="B464" s="141" t="s">
        <v>26</v>
      </c>
      <c r="C464" s="137" t="s">
        <v>181</v>
      </c>
      <c r="D464" s="133" t="s">
        <v>40</v>
      </c>
      <c r="E464" s="134" t="s">
        <v>215</v>
      </c>
      <c r="F464" s="471" t="s">
        <v>246</v>
      </c>
      <c r="G464" s="135" t="str">
        <f>VLOOKUP(A464,Plano_V3!$A$26:$G$768,7,0)</f>
        <v>1. Concluído</v>
      </c>
      <c r="H464" s="135" t="s">
        <v>612</v>
      </c>
      <c r="I464" s="468"/>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7"/>
        <v>modesg_inp_nfrd_alinhamento_taxcca_turnover_own_prfrmnce_algnd</v>
      </c>
      <c r="B465" s="141" t="s">
        <v>26</v>
      </c>
      <c r="C465" s="137" t="s">
        <v>181</v>
      </c>
      <c r="D465" s="133" t="s">
        <v>40</v>
      </c>
      <c r="E465" s="134" t="s">
        <v>215</v>
      </c>
      <c r="F465" s="471" t="s">
        <v>247</v>
      </c>
      <c r="G465" s="135" t="str">
        <f>VLOOKUP(A465,Plano_V3!$A$26:$G$768,7,0)</f>
        <v>1. Concluído</v>
      </c>
      <c r="H465" s="135" t="s">
        <v>612</v>
      </c>
      <c r="I465" s="468"/>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7"/>
        <v>modesg_inp_nfrd_alinhamento_taxcca_capex_ttl_elgbl</v>
      </c>
      <c r="B466" s="141" t="s">
        <v>26</v>
      </c>
      <c r="C466" s="137" t="s">
        <v>181</v>
      </c>
      <c r="D466" s="133" t="s">
        <v>40</v>
      </c>
      <c r="E466" s="134" t="s">
        <v>215</v>
      </c>
      <c r="F466" s="471" t="s">
        <v>248</v>
      </c>
      <c r="G466" s="135" t="str">
        <f>VLOOKUP(A466,Plano_V3!$A$26:$G$768,7,0)</f>
        <v>1. Concluído</v>
      </c>
      <c r="H466" s="135" t="s">
        <v>612</v>
      </c>
      <c r="I466" s="468"/>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7"/>
        <v>modesg_inp_nfrd_alinhamento_taxcca_capex_enblng_algnd</v>
      </c>
      <c r="B467" s="141" t="s">
        <v>26</v>
      </c>
      <c r="C467" s="137" t="s">
        <v>181</v>
      </c>
      <c r="D467" s="133" t="s">
        <v>40</v>
      </c>
      <c r="E467" s="134" t="s">
        <v>215</v>
      </c>
      <c r="F467" s="471" t="s">
        <v>249</v>
      </c>
      <c r="G467" s="135" t="str">
        <f>VLOOKUP(A467,Plano_V3!$A$26:$G$768,7,0)</f>
        <v>1. Concluído</v>
      </c>
      <c r="H467" s="135" t="s">
        <v>612</v>
      </c>
      <c r="I467" s="468"/>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7"/>
        <v>modesg_inp_nfrd_alinhamento_taxcca_capex_own_prfrmnce_algnd</v>
      </c>
      <c r="B468" s="141" t="s">
        <v>26</v>
      </c>
      <c r="C468" s="137" t="s">
        <v>181</v>
      </c>
      <c r="D468" s="133" t="s">
        <v>40</v>
      </c>
      <c r="E468" s="134" t="s">
        <v>215</v>
      </c>
      <c r="F468" s="471" t="s">
        <v>250</v>
      </c>
      <c r="G468" s="135" t="str">
        <f>VLOOKUP(A468,Plano_V3!$A$26:$G$768,7,0)</f>
        <v>1. Concluído</v>
      </c>
      <c r="H468" s="135" t="s">
        <v>612</v>
      </c>
      <c r="I468" s="468"/>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7"/>
        <v>modesg_inp_nfrd_alinhamento_taxccm_trnvr_ttl_elgbl</v>
      </c>
      <c r="B469" s="141" t="s">
        <v>26</v>
      </c>
      <c r="C469" s="137" t="s">
        <v>181</v>
      </c>
      <c r="D469" s="133" t="s">
        <v>40</v>
      </c>
      <c r="E469" s="134" t="s">
        <v>215</v>
      </c>
      <c r="F469" s="471" t="s">
        <v>251</v>
      </c>
      <c r="G469" s="135" t="str">
        <f>VLOOKUP(A469,Plano_V3!$A$26:$G$768,7,0)</f>
        <v>1. Concluído</v>
      </c>
      <c r="H469" s="135" t="s">
        <v>612</v>
      </c>
      <c r="I469" s="468"/>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7"/>
        <v>modesg_inp_nfrd_alinhamento_taxccm_trnvr_enblng_algnd</v>
      </c>
      <c r="B470" s="141" t="s">
        <v>26</v>
      </c>
      <c r="C470" s="137" t="s">
        <v>181</v>
      </c>
      <c r="D470" s="133" t="s">
        <v>40</v>
      </c>
      <c r="E470" s="134" t="s">
        <v>215</v>
      </c>
      <c r="F470" s="471" t="s">
        <v>252</v>
      </c>
      <c r="G470" s="135" t="str">
        <f>VLOOKUP(A470,Plano_V3!$A$26:$G$768,7,0)</f>
        <v>1. Concluído</v>
      </c>
      <c r="H470" s="135" t="s">
        <v>612</v>
      </c>
      <c r="I470" s="468"/>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7"/>
        <v>modesg_inp_nfrd_alinhamento_taxccm_trnvr_trnstn_alignd</v>
      </c>
      <c r="B471" s="141" t="s">
        <v>26</v>
      </c>
      <c r="C471" s="137" t="s">
        <v>181</v>
      </c>
      <c r="D471" s="133" t="s">
        <v>40</v>
      </c>
      <c r="E471" s="134" t="s">
        <v>215</v>
      </c>
      <c r="F471" s="471" t="s">
        <v>253</v>
      </c>
      <c r="G471" s="135" t="str">
        <f>VLOOKUP(A471,Plano_V3!$A$26:$G$768,7,0)</f>
        <v>1. Concluído</v>
      </c>
      <c r="H471" s="135" t="s">
        <v>612</v>
      </c>
      <c r="I471" s="468"/>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7"/>
        <v>modesg_inp_nfrd_alinhamento_taxccm_trnvr_own_prfrmnce_algnd</v>
      </c>
      <c r="B472" s="141" t="s">
        <v>26</v>
      </c>
      <c r="C472" s="137" t="s">
        <v>181</v>
      </c>
      <c r="D472" s="133" t="s">
        <v>40</v>
      </c>
      <c r="E472" s="134" t="s">
        <v>215</v>
      </c>
      <c r="F472" s="471" t="s">
        <v>254</v>
      </c>
      <c r="G472" s="135" t="str">
        <f>VLOOKUP(A472,Plano_V3!$A$26:$G$768,7,0)</f>
        <v>1. Concluído</v>
      </c>
      <c r="H472" s="135" t="s">
        <v>612</v>
      </c>
      <c r="I472" s="468"/>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7"/>
        <v>modesg_inp_nfrd_alinhamento_taxccm_capex_ttl_elgbl</v>
      </c>
      <c r="B473" s="141" t="s">
        <v>26</v>
      </c>
      <c r="C473" s="137" t="s">
        <v>181</v>
      </c>
      <c r="D473" s="133" t="s">
        <v>40</v>
      </c>
      <c r="E473" s="134" t="s">
        <v>215</v>
      </c>
      <c r="F473" s="471" t="s">
        <v>255</v>
      </c>
      <c r="G473" s="135" t="str">
        <f>VLOOKUP(A473,Plano_V3!$A$26:$G$768,7,0)</f>
        <v>1. Concluído</v>
      </c>
      <c r="H473" s="135" t="s">
        <v>612</v>
      </c>
      <c r="I473" s="468"/>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7"/>
        <v>modesg_inp_nfrd_alinhamento_taxccm_capex_enblng_algnd</v>
      </c>
      <c r="B474" s="141" t="s">
        <v>26</v>
      </c>
      <c r="C474" s="137" t="s">
        <v>181</v>
      </c>
      <c r="D474" s="133" t="s">
        <v>40</v>
      </c>
      <c r="E474" s="134" t="s">
        <v>215</v>
      </c>
      <c r="F474" s="471" t="s">
        <v>256</v>
      </c>
      <c r="G474" s="135" t="str">
        <f>VLOOKUP(A474,Plano_V3!$A$26:$G$768,7,0)</f>
        <v>1. Concluído</v>
      </c>
      <c r="H474" s="135" t="s">
        <v>612</v>
      </c>
      <c r="I474" s="468"/>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7"/>
        <v>modesg_inp_nfrd_alinhamento_taxccm_capex_trnstn_algnd</v>
      </c>
      <c r="B475" s="141" t="s">
        <v>26</v>
      </c>
      <c r="C475" s="137" t="s">
        <v>181</v>
      </c>
      <c r="D475" s="133" t="s">
        <v>40</v>
      </c>
      <c r="E475" s="134" t="s">
        <v>215</v>
      </c>
      <c r="F475" s="471" t="s">
        <v>257</v>
      </c>
      <c r="G475" s="135" t="str">
        <f>VLOOKUP(A475,Plano_V3!$A$26:$G$768,7,0)</f>
        <v>1. Concluído</v>
      </c>
      <c r="H475" s="135" t="s">
        <v>612</v>
      </c>
      <c r="I475" s="468"/>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7"/>
        <v>modesg_inp_nfrd_alinhamento_taxccm_capex_own_prfrmnce_algnd</v>
      </c>
      <c r="B476" s="141" t="s">
        <v>26</v>
      </c>
      <c r="C476" s="137" t="s">
        <v>181</v>
      </c>
      <c r="D476" s="133" t="s">
        <v>40</v>
      </c>
      <c r="E476" s="134" t="s">
        <v>215</v>
      </c>
      <c r="F476" s="471" t="s">
        <v>258</v>
      </c>
      <c r="G476" s="135" t="str">
        <f>VLOOKUP(A476,Plano_V3!$A$26:$G$768,7,0)</f>
        <v>1. Concluído</v>
      </c>
      <c r="H476" s="135" t="s">
        <v>612</v>
      </c>
      <c r="I476" s="468"/>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7"/>
        <v>modesg_inp_nfrd_alinhamento_taxppc_trnvr_ttl_elgbl</v>
      </c>
      <c r="B477" s="141" t="s">
        <v>26</v>
      </c>
      <c r="C477" s="137" t="s">
        <v>181</v>
      </c>
      <c r="D477" s="133" t="s">
        <v>40</v>
      </c>
      <c r="E477" s="134" t="s">
        <v>215</v>
      </c>
      <c r="F477" s="471" t="s">
        <v>259</v>
      </c>
      <c r="G477" s="135" t="str">
        <f>VLOOKUP(A477,Plano_V3!$A$26:$G$768,7,0)</f>
        <v>1. Concluído</v>
      </c>
      <c r="H477" s="135" t="s">
        <v>612</v>
      </c>
      <c r="I477" s="468"/>
      <c r="J477" s="143"/>
      <c r="K477" s="143"/>
      <c r="L477" s="491"/>
      <c r="M477" s="491"/>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7"/>
        <v>modesg_inp_nfrd_alinhamento_taxppc_turnover_own_prfrmnce_algnd</v>
      </c>
      <c r="B478" s="141" t="s">
        <v>26</v>
      </c>
      <c r="C478" s="137" t="s">
        <v>181</v>
      </c>
      <c r="D478" s="133" t="s">
        <v>40</v>
      </c>
      <c r="E478" s="134" t="s">
        <v>215</v>
      </c>
      <c r="F478" s="471" t="s">
        <v>260</v>
      </c>
      <c r="G478" s="135" t="str">
        <f>VLOOKUP(A478,Plano_V3!$A$26:$G$768,7,0)</f>
        <v>1. Concluído</v>
      </c>
      <c r="H478" s="135" t="s">
        <v>612</v>
      </c>
      <c r="I478" s="468"/>
      <c r="J478" s="143"/>
      <c r="K478" s="143"/>
      <c r="L478" s="491"/>
      <c r="M478" s="491"/>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7"/>
        <v>modesg_inp_nfrd_alinhamento_taxppc_capex_ttl_elgbl</v>
      </c>
      <c r="B479" s="141" t="s">
        <v>26</v>
      </c>
      <c r="C479" s="137" t="s">
        <v>181</v>
      </c>
      <c r="D479" s="133" t="s">
        <v>40</v>
      </c>
      <c r="E479" s="134" t="s">
        <v>215</v>
      </c>
      <c r="F479" s="471" t="s">
        <v>261</v>
      </c>
      <c r="G479" s="135" t="str">
        <f>VLOOKUP(A479,Plano_V3!$A$26:$G$768,7,0)</f>
        <v>1. Concluído</v>
      </c>
      <c r="H479" s="135" t="s">
        <v>612</v>
      </c>
      <c r="I479" s="468"/>
      <c r="J479" s="143"/>
      <c r="K479" s="143"/>
      <c r="L479" s="491"/>
      <c r="M479" s="491"/>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7"/>
        <v>modesg_inp_nfrd_alinhamento_taxppc_capex_own_prfrmnce_algnd</v>
      </c>
      <c r="B480" s="141" t="s">
        <v>26</v>
      </c>
      <c r="C480" s="137" t="s">
        <v>181</v>
      </c>
      <c r="D480" s="133" t="s">
        <v>40</v>
      </c>
      <c r="E480" s="134" t="s">
        <v>215</v>
      </c>
      <c r="F480" s="471" t="s">
        <v>262</v>
      </c>
      <c r="G480" s="135" t="str">
        <f>VLOOKUP(A480,Plano_V3!$A$26:$G$768,7,0)</f>
        <v>1. Concluído</v>
      </c>
      <c r="H480" s="135" t="s">
        <v>612</v>
      </c>
      <c r="I480" s="468"/>
      <c r="J480" s="143"/>
      <c r="K480" s="143"/>
      <c r="L480" s="491"/>
      <c r="M480" s="491"/>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7"/>
        <v>modesg_inp_nfrd_alinhamento_taxbio_trnvr_ttl_elgbl</v>
      </c>
      <c r="B481" s="141" t="s">
        <v>26</v>
      </c>
      <c r="C481" s="137" t="s">
        <v>181</v>
      </c>
      <c r="D481" s="133" t="s">
        <v>40</v>
      </c>
      <c r="E481" s="134" t="s">
        <v>215</v>
      </c>
      <c r="F481" s="471" t="s">
        <v>263</v>
      </c>
      <c r="G481" s="135" t="str">
        <f>VLOOKUP(A481,Plano_V3!$A$26:$G$768,7,0)</f>
        <v>1. Concluído</v>
      </c>
      <c r="H481" s="135" t="s">
        <v>612</v>
      </c>
      <c r="I481" s="468"/>
      <c r="J481" s="143"/>
      <c r="K481" s="143"/>
      <c r="L481" s="491"/>
      <c r="M481" s="491"/>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7"/>
        <v>modesg_inp_nfrd_alinhamento_taxbio_turnover_own_prfrmnce_algnd</v>
      </c>
      <c r="B482" s="141" t="s">
        <v>26</v>
      </c>
      <c r="C482" s="137" t="s">
        <v>181</v>
      </c>
      <c r="D482" s="133" t="s">
        <v>40</v>
      </c>
      <c r="E482" s="134" t="s">
        <v>215</v>
      </c>
      <c r="F482" s="471" t="s">
        <v>264</v>
      </c>
      <c r="G482" s="135" t="str">
        <f>VLOOKUP(A482,Plano_V3!$A$26:$G$768,7,0)</f>
        <v>1. Concluído</v>
      </c>
      <c r="H482" s="135" t="s">
        <v>612</v>
      </c>
      <c r="I482" s="468"/>
      <c r="J482" s="143"/>
      <c r="K482" s="143"/>
      <c r="L482" s="491"/>
      <c r="M482" s="491"/>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7"/>
        <v>modesg_inp_nfrd_alinhamento_taxbio_capex_ttl_elgbl</v>
      </c>
      <c r="B483" s="141" t="s">
        <v>26</v>
      </c>
      <c r="C483" s="137" t="s">
        <v>181</v>
      </c>
      <c r="D483" s="133" t="s">
        <v>40</v>
      </c>
      <c r="E483" s="134" t="s">
        <v>215</v>
      </c>
      <c r="F483" s="471" t="s">
        <v>265</v>
      </c>
      <c r="G483" s="135" t="str">
        <f>VLOOKUP(A483,Plano_V3!$A$26:$G$768,7,0)</f>
        <v>1. Concluído</v>
      </c>
      <c r="H483" s="135" t="s">
        <v>612</v>
      </c>
      <c r="I483" s="468"/>
      <c r="J483" s="143"/>
      <c r="K483" s="143"/>
      <c r="L483" s="491"/>
      <c r="M483" s="491"/>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7"/>
        <v>modesg_inp_nfrd_alinhamento_taxbio_capex_own_prfrmnce_algnd</v>
      </c>
      <c r="B484" s="141" t="s">
        <v>26</v>
      </c>
      <c r="C484" s="137" t="s">
        <v>181</v>
      </c>
      <c r="D484" s="133" t="s">
        <v>40</v>
      </c>
      <c r="E484" s="134" t="s">
        <v>215</v>
      </c>
      <c r="F484" s="471" t="s">
        <v>266</v>
      </c>
      <c r="G484" s="135" t="str">
        <f>VLOOKUP(A484,Plano_V3!$A$26:$G$768,7,0)</f>
        <v>1. Concluído</v>
      </c>
      <c r="H484" s="135" t="s">
        <v>612</v>
      </c>
      <c r="I484" s="468"/>
      <c r="J484" s="143"/>
      <c r="K484" s="143"/>
      <c r="L484" s="491"/>
      <c r="M484" s="491"/>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7"/>
        <v>modesg_inp_nfrd_alinhamento_taxwtr_trnvr_ttl_elgbl</v>
      </c>
      <c r="B485" s="141" t="s">
        <v>26</v>
      </c>
      <c r="C485" s="137" t="s">
        <v>181</v>
      </c>
      <c r="D485" s="133" t="s">
        <v>40</v>
      </c>
      <c r="E485" s="134" t="s">
        <v>215</v>
      </c>
      <c r="F485" s="471" t="s">
        <v>267</v>
      </c>
      <c r="G485" s="135" t="str">
        <f>VLOOKUP(A485,Plano_V3!$A$26:$G$768,7,0)</f>
        <v>1. Concluído</v>
      </c>
      <c r="H485" s="135" t="s">
        <v>612</v>
      </c>
      <c r="I485" s="468"/>
      <c r="J485" s="143"/>
      <c r="K485" s="143"/>
      <c r="L485" s="491"/>
      <c r="M485" s="491"/>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7"/>
        <v>modesg_inp_nfrd_alinhamento_taxwtr_trnvr_enblng_alignd</v>
      </c>
      <c r="B486" s="141" t="s">
        <v>26</v>
      </c>
      <c r="C486" s="137" t="s">
        <v>181</v>
      </c>
      <c r="D486" s="133" t="s">
        <v>40</v>
      </c>
      <c r="E486" s="134" t="s">
        <v>215</v>
      </c>
      <c r="F486" s="471" t="s">
        <v>268</v>
      </c>
      <c r="G486" s="135" t="str">
        <f>VLOOKUP(A486,Plano_V3!$A$26:$G$768,7,0)</f>
        <v>1. Concluído</v>
      </c>
      <c r="H486" s="135" t="s">
        <v>612</v>
      </c>
      <c r="I486" s="468"/>
      <c r="J486" s="143"/>
      <c r="K486" s="143"/>
      <c r="L486" s="491"/>
      <c r="M486" s="491"/>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7"/>
        <v>modesg_inp_nfrd_alinhamento_taxwtr_turnover_own_prfrmnce_algnd</v>
      </c>
      <c r="B487" s="141" t="s">
        <v>26</v>
      </c>
      <c r="C487" s="137" t="s">
        <v>181</v>
      </c>
      <c r="D487" s="133" t="s">
        <v>40</v>
      </c>
      <c r="E487" s="134" t="s">
        <v>215</v>
      </c>
      <c r="F487" s="471" t="s">
        <v>269</v>
      </c>
      <c r="G487" s="135" t="str">
        <f>VLOOKUP(A487,Plano_V3!$A$26:$G$768,7,0)</f>
        <v>1. Concluído</v>
      </c>
      <c r="H487" s="135" t="s">
        <v>612</v>
      </c>
      <c r="I487" s="468"/>
      <c r="J487" s="143"/>
      <c r="K487" s="143"/>
      <c r="L487" s="491"/>
      <c r="M487" s="491"/>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7"/>
        <v>modesg_inp_nfrd_alinhamento_taxwtr_capex_ttl_elgbl</v>
      </c>
      <c r="B488" s="141" t="s">
        <v>26</v>
      </c>
      <c r="C488" s="137" t="s">
        <v>181</v>
      </c>
      <c r="D488" s="133" t="s">
        <v>40</v>
      </c>
      <c r="E488" s="134" t="s">
        <v>215</v>
      </c>
      <c r="F488" s="471" t="s">
        <v>270</v>
      </c>
      <c r="G488" s="135" t="str">
        <f>VLOOKUP(A488,Plano_V3!$A$26:$G$768,7,0)</f>
        <v>1. Concluído</v>
      </c>
      <c r="H488" s="135" t="s">
        <v>612</v>
      </c>
      <c r="I488" s="468"/>
      <c r="J488" s="143"/>
      <c r="K488" s="143"/>
      <c r="L488" s="491"/>
      <c r="M488" s="491"/>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7"/>
        <v>modesg_inp_nfrd_alinhamento_taxwtr_capex_enblng_algnd</v>
      </c>
      <c r="B489" s="141" t="s">
        <v>26</v>
      </c>
      <c r="C489" s="137" t="s">
        <v>181</v>
      </c>
      <c r="D489" s="133" t="s">
        <v>40</v>
      </c>
      <c r="E489" s="134" t="s">
        <v>215</v>
      </c>
      <c r="F489" s="471" t="s">
        <v>271</v>
      </c>
      <c r="G489" s="135" t="str">
        <f>VLOOKUP(A489,Plano_V3!$A$26:$G$768,7,0)</f>
        <v>1. Concluído</v>
      </c>
      <c r="H489" s="135" t="s">
        <v>612</v>
      </c>
      <c r="I489" s="468"/>
      <c r="J489" s="143"/>
      <c r="K489" s="143"/>
      <c r="L489" s="491"/>
      <c r="M489" s="491"/>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7"/>
        <v>modesg_inp_nfrd_alinhamento_taxwtr_capex_own_prfrmnce_algnd</v>
      </c>
      <c r="B490" s="141" t="s">
        <v>26</v>
      </c>
      <c r="C490" s="137" t="s">
        <v>181</v>
      </c>
      <c r="D490" s="133" t="s">
        <v>40</v>
      </c>
      <c r="E490" s="134" t="s">
        <v>215</v>
      </c>
      <c r="F490" s="471" t="s">
        <v>272</v>
      </c>
      <c r="G490" s="135" t="str">
        <f>VLOOKUP(A490,Plano_V3!$A$26:$G$768,7,0)</f>
        <v>1. Concluído</v>
      </c>
      <c r="H490" s="135" t="s">
        <v>612</v>
      </c>
      <c r="I490" s="468"/>
      <c r="J490" s="143"/>
      <c r="K490" s="143"/>
      <c r="L490" s="491"/>
      <c r="M490" s="491"/>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7"/>
        <v>modesg_inp_nfrd_alinhamento_taxce_trnvr_ttl_elgbl</v>
      </c>
      <c r="B491" s="141" t="s">
        <v>26</v>
      </c>
      <c r="C491" s="137" t="s">
        <v>181</v>
      </c>
      <c r="D491" s="133" t="s">
        <v>40</v>
      </c>
      <c r="E491" s="134" t="s">
        <v>215</v>
      </c>
      <c r="F491" s="471" t="s">
        <v>273</v>
      </c>
      <c r="G491" s="135" t="str">
        <f>VLOOKUP(A491,Plano_V3!$A$26:$G$768,7,0)</f>
        <v>1. Concluído</v>
      </c>
      <c r="H491" s="135" t="s">
        <v>612</v>
      </c>
      <c r="I491" s="468"/>
      <c r="J491" s="143"/>
      <c r="K491" s="143"/>
      <c r="L491" s="491"/>
      <c r="M491" s="491"/>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7"/>
        <v>modesg_inp_nfrd_alinhamento_taxce_trnvr_enblng_alignd</v>
      </c>
      <c r="B492" s="141" t="s">
        <v>26</v>
      </c>
      <c r="C492" s="137" t="s">
        <v>181</v>
      </c>
      <c r="D492" s="133" t="s">
        <v>40</v>
      </c>
      <c r="E492" s="134" t="s">
        <v>215</v>
      </c>
      <c r="F492" s="471" t="s">
        <v>274</v>
      </c>
      <c r="G492" s="135" t="str">
        <f>VLOOKUP(A492,Plano_V3!$A$26:$G$768,7,0)</f>
        <v>1. Concluído</v>
      </c>
      <c r="H492" s="135" t="s">
        <v>612</v>
      </c>
      <c r="I492" s="468"/>
      <c r="J492" s="143"/>
      <c r="K492" s="143"/>
      <c r="L492" s="491"/>
      <c r="M492" s="491"/>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7"/>
        <v>modesg_inp_nfrd_alinhamento_taxce_turnover_own_prfrmnce_algnd</v>
      </c>
      <c r="B493" s="141" t="s">
        <v>26</v>
      </c>
      <c r="C493" s="137" t="s">
        <v>181</v>
      </c>
      <c r="D493" s="133" t="s">
        <v>40</v>
      </c>
      <c r="E493" s="134" t="s">
        <v>215</v>
      </c>
      <c r="F493" s="471" t="s">
        <v>275</v>
      </c>
      <c r="G493" s="135" t="str">
        <f>VLOOKUP(A493,Plano_V3!$A$26:$G$768,7,0)</f>
        <v>1. Concluído</v>
      </c>
      <c r="H493" s="135" t="s">
        <v>612</v>
      </c>
      <c r="I493" s="468"/>
      <c r="J493" s="143"/>
      <c r="K493" s="143"/>
      <c r="L493" s="491"/>
      <c r="M493" s="491"/>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7"/>
        <v>modesg_inp_nfrd_alinhamento_taxce_capex_ttl_elgbl</v>
      </c>
      <c r="B494" s="141" t="s">
        <v>26</v>
      </c>
      <c r="C494" s="137" t="s">
        <v>181</v>
      </c>
      <c r="D494" s="133" t="s">
        <v>40</v>
      </c>
      <c r="E494" s="134" t="s">
        <v>215</v>
      </c>
      <c r="F494" s="471" t="s">
        <v>276</v>
      </c>
      <c r="G494" s="135" t="str">
        <f>VLOOKUP(A494,Plano_V3!$A$26:$G$768,7,0)</f>
        <v>1. Concluído</v>
      </c>
      <c r="H494" s="135" t="s">
        <v>612</v>
      </c>
      <c r="I494" s="468"/>
      <c r="J494" s="143"/>
      <c r="K494" s="143"/>
      <c r="L494" s="491"/>
      <c r="M494" s="491"/>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7"/>
        <v>modesg_inp_nfrd_alinhamento_taxce_capex_enblng_algnd</v>
      </c>
      <c r="B495" s="141" t="s">
        <v>26</v>
      </c>
      <c r="C495" s="137" t="s">
        <v>181</v>
      </c>
      <c r="D495" s="133" t="s">
        <v>40</v>
      </c>
      <c r="E495" s="134" t="s">
        <v>215</v>
      </c>
      <c r="F495" s="471" t="s">
        <v>277</v>
      </c>
      <c r="G495" s="135" t="str">
        <f>VLOOKUP(A495,Plano_V3!$A$26:$G$768,7,0)</f>
        <v>1. Concluído</v>
      </c>
      <c r="H495" s="135" t="s">
        <v>612</v>
      </c>
      <c r="I495" s="468"/>
      <c r="J495" s="143"/>
      <c r="K495" s="143"/>
      <c r="L495" s="491"/>
      <c r="M495" s="491"/>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7"/>
        <v>modesg_inp_nfrd_alinhamento_taxce_capex_own_prfrmnce_algnd</v>
      </c>
      <c r="B496" s="141" t="s">
        <v>26</v>
      </c>
      <c r="C496" s="137" t="s">
        <v>181</v>
      </c>
      <c r="D496" s="133" t="s">
        <v>40</v>
      </c>
      <c r="E496" s="134" t="s">
        <v>215</v>
      </c>
      <c r="F496" s="471" t="s">
        <v>278</v>
      </c>
      <c r="G496" s="135" t="str">
        <f>VLOOKUP(A496,Plano_V3!$A$26:$G$768,7,0)</f>
        <v>1. Concluído</v>
      </c>
      <c r="H496" s="135" t="s">
        <v>612</v>
      </c>
      <c r="I496" s="468"/>
      <c r="J496" s="143"/>
      <c r="K496" s="143"/>
      <c r="L496" s="491"/>
      <c r="M496" s="491"/>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7"/>
        <v>modesg_inp_risco_fisicoref_date</v>
      </c>
      <c r="B497" s="141" t="s">
        <v>26</v>
      </c>
      <c r="C497" s="137" t="s">
        <v>181</v>
      </c>
      <c r="D497" s="133" t="s">
        <v>40</v>
      </c>
      <c r="E497" s="134" t="s">
        <v>216</v>
      </c>
      <c r="F497" s="471" t="s">
        <v>208</v>
      </c>
      <c r="G497" s="135" t="str">
        <f>VLOOKUP(A497,Plano_V3!$A$26:$G$768,7,0)</f>
        <v>1. Concluído</v>
      </c>
      <c r="H497" s="135" t="s">
        <v>612</v>
      </c>
      <c r="I497" s="468"/>
      <c r="J497" s="153"/>
      <c r="K497" s="153"/>
      <c r="L497" s="153"/>
      <c r="M497" s="153"/>
      <c r="N497" s="489"/>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7"/>
        <v>modesg_inp_risco_fisicocod_pais</v>
      </c>
      <c r="B498" s="141" t="s">
        <v>26</v>
      </c>
      <c r="C498" s="137" t="s">
        <v>181</v>
      </c>
      <c r="D498" s="133" t="s">
        <v>40</v>
      </c>
      <c r="E498" s="134" t="s">
        <v>216</v>
      </c>
      <c r="F498" s="471" t="s">
        <v>279</v>
      </c>
      <c r="G498" s="135" t="str">
        <f>VLOOKUP(A498,Plano_V3!$A$26:$G$768,7,0)</f>
        <v>1. Concluído</v>
      </c>
      <c r="H498" s="135" t="s">
        <v>612</v>
      </c>
      <c r="I498" s="468"/>
      <c r="J498" s="153"/>
      <c r="K498" s="153"/>
      <c r="L498" s="153"/>
      <c r="M498" s="153"/>
      <c r="N498" s="489"/>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7"/>
        <v>modesg_inp_risco_fisicocod_nutiii</v>
      </c>
      <c r="B499" s="141" t="s">
        <v>26</v>
      </c>
      <c r="C499" s="137" t="s">
        <v>181</v>
      </c>
      <c r="D499" s="133" t="s">
        <v>40</v>
      </c>
      <c r="E499" s="134" t="s">
        <v>216</v>
      </c>
      <c r="F499" s="471" t="s">
        <v>280</v>
      </c>
      <c r="G499" s="135" t="str">
        <f>VLOOKUP(A499,Plano_V3!$A$26:$G$768,7,0)</f>
        <v>1. Concluído</v>
      </c>
      <c r="H499" s="135" t="s">
        <v>612</v>
      </c>
      <c r="I499" s="468"/>
      <c r="J499" s="153"/>
      <c r="K499" s="153"/>
      <c r="L499" s="153"/>
      <c r="M499" s="153"/>
      <c r="N499" s="489"/>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7"/>
        <v>modesg_inp_risco_fisicocod_nace_esg</v>
      </c>
      <c r="B500" s="141" t="s">
        <v>26</v>
      </c>
      <c r="C500" s="137" t="s">
        <v>181</v>
      </c>
      <c r="D500" s="133" t="s">
        <v>40</v>
      </c>
      <c r="E500" s="134" t="s">
        <v>216</v>
      </c>
      <c r="F500" s="471" t="s">
        <v>281</v>
      </c>
      <c r="G500" s="135" t="str">
        <f>VLOOKUP(A500,Plano_V3!$A$26:$G$768,7,0)</f>
        <v>1. Concluído</v>
      </c>
      <c r="H500" s="135" t="s">
        <v>612</v>
      </c>
      <c r="I500" s="468"/>
      <c r="J500" s="153"/>
      <c r="K500" s="153"/>
      <c r="L500" s="153"/>
      <c r="M500" s="153"/>
      <c r="N500" s="489"/>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7"/>
        <v>modesg_inp_risco_fisicoflg_rsc_fsc_agd</v>
      </c>
      <c r="B501" s="141" t="s">
        <v>26</v>
      </c>
      <c r="C501" s="137" t="s">
        <v>181</v>
      </c>
      <c r="D501" s="133" t="s">
        <v>40</v>
      </c>
      <c r="E501" s="134" t="s">
        <v>216</v>
      </c>
      <c r="F501" s="471" t="s">
        <v>282</v>
      </c>
      <c r="G501" s="135" t="str">
        <f>VLOOKUP(A501,Plano_V3!$A$26:$G$768,7,0)</f>
        <v>1. Concluído</v>
      </c>
      <c r="H501" s="135" t="s">
        <v>612</v>
      </c>
      <c r="I501" s="468"/>
      <c r="J501" s="153"/>
      <c r="K501" s="153"/>
      <c r="L501" s="153"/>
      <c r="M501" s="153"/>
      <c r="N501" s="489"/>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7"/>
        <v>modesg_inp_risco_fisicoflg_rsc_fsc_crnc</v>
      </c>
      <c r="B502" s="141" t="s">
        <v>26</v>
      </c>
      <c r="C502" s="137" t="s">
        <v>181</v>
      </c>
      <c r="D502" s="133" t="s">
        <v>40</v>
      </c>
      <c r="E502" s="134" t="s">
        <v>216</v>
      </c>
      <c r="F502" s="471" t="s">
        <v>283</v>
      </c>
      <c r="G502" s="135" t="str">
        <f>VLOOKUP(A502,Plano_V3!$A$26:$G$768,7,0)</f>
        <v>1. Concluído</v>
      </c>
      <c r="H502" s="135" t="s">
        <v>612</v>
      </c>
      <c r="I502" s="468"/>
      <c r="J502" s="153"/>
      <c r="K502" s="153"/>
      <c r="L502" s="153"/>
      <c r="M502" s="153"/>
      <c r="N502" s="489"/>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7"/>
        <v>modesg_inp_emss_scibref_date</v>
      </c>
      <c r="B503" s="141" t="s">
        <v>26</v>
      </c>
      <c r="C503" s="137" t="s">
        <v>181</v>
      </c>
      <c r="D503" s="133" t="s">
        <v>40</v>
      </c>
      <c r="E503" s="134" t="s">
        <v>217</v>
      </c>
      <c r="F503" s="471" t="s">
        <v>208</v>
      </c>
      <c r="G503" s="135" t="str">
        <f>VLOOKUP(A503,Plano_V3!$A$26:$G$768,7,0)</f>
        <v>1. Concluído</v>
      </c>
      <c r="H503" s="135" t="s">
        <v>612</v>
      </c>
      <c r="I503" s="468"/>
      <c r="J503" s="153"/>
      <c r="K503" s="153"/>
      <c r="L503" s="153"/>
      <c r="M503" s="153"/>
      <c r="N503" s="489"/>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7"/>
        <v>modesg_inp_emss_scibccli_kgl</v>
      </c>
      <c r="B504" s="141" t="s">
        <v>26</v>
      </c>
      <c r="C504" s="137" t="s">
        <v>181</v>
      </c>
      <c r="D504" s="133" t="s">
        <v>40</v>
      </c>
      <c r="E504" s="134" t="s">
        <v>217</v>
      </c>
      <c r="F504" s="471" t="s">
        <v>240</v>
      </c>
      <c r="G504" s="135" t="str">
        <f>VLOOKUP(A504,Plano_V3!$A$26:$G$768,7,0)</f>
        <v>1. Concluído</v>
      </c>
      <c r="H504" s="135" t="s">
        <v>612</v>
      </c>
      <c r="I504" s="468"/>
      <c r="J504" s="153"/>
      <c r="K504" s="153"/>
      <c r="L504" s="153"/>
      <c r="M504" s="153"/>
      <c r="N504" s="489"/>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7"/>
        <v>modesg_inp_emss_scibnome_grupo</v>
      </c>
      <c r="B505" s="141" t="s">
        <v>26</v>
      </c>
      <c r="C505" s="137" t="s">
        <v>181</v>
      </c>
      <c r="D505" s="133" t="s">
        <v>40</v>
      </c>
      <c r="E505" s="134" t="s">
        <v>217</v>
      </c>
      <c r="F505" s="471" t="s">
        <v>284</v>
      </c>
      <c r="G505" s="135" t="str">
        <f>VLOOKUP(A505,Plano_V3!$A$26:$G$768,7,0)</f>
        <v>1. Concluído</v>
      </c>
      <c r="H505" s="135" t="s">
        <v>612</v>
      </c>
      <c r="I505" s="468"/>
      <c r="J505" s="153"/>
      <c r="K505" s="153"/>
      <c r="L505" s="153"/>
      <c r="M505" s="153"/>
      <c r="N505" s="489"/>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7"/>
        <v>modesg_inp_emss_scibisin</v>
      </c>
      <c r="B506" s="141" t="s">
        <v>26</v>
      </c>
      <c r="C506" s="137" t="s">
        <v>181</v>
      </c>
      <c r="D506" s="133" t="s">
        <v>40</v>
      </c>
      <c r="E506" s="134" t="s">
        <v>217</v>
      </c>
      <c r="F506" s="471" t="s">
        <v>238</v>
      </c>
      <c r="G506" s="135" t="str">
        <f>VLOOKUP(A506,Plano_V3!$A$26:$G$768,7,0)</f>
        <v>1. Concluído</v>
      </c>
      <c r="H506" s="135" t="s">
        <v>612</v>
      </c>
      <c r="I506" s="468"/>
      <c r="J506" s="153"/>
      <c r="K506" s="153"/>
      <c r="L506" s="153"/>
      <c r="M506" s="153"/>
      <c r="N506" s="489"/>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7"/>
        <v>modesg_inp_emss_scibclei</v>
      </c>
      <c r="B507" s="141" t="s">
        <v>26</v>
      </c>
      <c r="C507" s="137" t="s">
        <v>181</v>
      </c>
      <c r="D507" s="133" t="s">
        <v>40</v>
      </c>
      <c r="E507" s="134" t="s">
        <v>217</v>
      </c>
      <c r="F507" s="471" t="s">
        <v>239</v>
      </c>
      <c r="G507" s="135" t="str">
        <f>VLOOKUP(A507,Plano_V3!$A$26:$G$768,7,0)</f>
        <v>1. Concluído</v>
      </c>
      <c r="H507" s="135" t="s">
        <v>612</v>
      </c>
      <c r="I507" s="468"/>
      <c r="J507" s="153"/>
      <c r="K507" s="153"/>
      <c r="L507" s="153"/>
      <c r="M507" s="153"/>
      <c r="N507" s="489"/>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7"/>
        <v>modesg_inp_emss_scibscp1_emss</v>
      </c>
      <c r="B508" s="141" t="s">
        <v>26</v>
      </c>
      <c r="C508" s="137" t="s">
        <v>181</v>
      </c>
      <c r="D508" s="133" t="s">
        <v>40</v>
      </c>
      <c r="E508" s="134" t="s">
        <v>217</v>
      </c>
      <c r="F508" s="471" t="s">
        <v>285</v>
      </c>
      <c r="G508" s="135" t="str">
        <f>VLOOKUP(A508,Plano_V3!$A$26:$G$768,7,0)</f>
        <v>1. Concluído</v>
      </c>
      <c r="H508" s="135" t="s">
        <v>612</v>
      </c>
      <c r="I508" s="468"/>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7"/>
        <v>modesg_inp_emss_scibscp2_emss</v>
      </c>
      <c r="B509" s="141" t="s">
        <v>26</v>
      </c>
      <c r="C509" s="137" t="s">
        <v>181</v>
      </c>
      <c r="D509" s="133" t="s">
        <v>40</v>
      </c>
      <c r="E509" s="134" t="s">
        <v>217</v>
      </c>
      <c r="F509" s="471" t="s">
        <v>286</v>
      </c>
      <c r="G509" s="135" t="str">
        <f>VLOOKUP(A509,Plano_V3!$A$26:$G$768,7,0)</f>
        <v>1. Concluído</v>
      </c>
      <c r="H509" s="135" t="s">
        <v>612</v>
      </c>
      <c r="I509" s="468"/>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7"/>
        <v>modesg_inp_emss_scibscp3_emss</v>
      </c>
      <c r="B510" s="141" t="s">
        <v>26</v>
      </c>
      <c r="C510" s="137" t="s">
        <v>181</v>
      </c>
      <c r="D510" s="133" t="s">
        <v>40</v>
      </c>
      <c r="E510" s="134" t="s">
        <v>217</v>
      </c>
      <c r="F510" s="471" t="s">
        <v>287</v>
      </c>
      <c r="G510" s="135" t="str">
        <f>VLOOKUP(A510,Plano_V3!$A$26:$G$768,7,0)</f>
        <v>1. Concluído</v>
      </c>
      <c r="H510" s="135" t="s">
        <v>612</v>
      </c>
      <c r="I510" s="468"/>
      <c r="J510" s="153"/>
      <c r="K510" s="153"/>
      <c r="L510" s="153"/>
      <c r="M510" s="153"/>
      <c r="N510" s="489"/>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7"/>
        <v>modesg_inp_emss_scibscore_scp1</v>
      </c>
      <c r="B511" s="141" t="s">
        <v>26</v>
      </c>
      <c r="C511" s="137" t="s">
        <v>181</v>
      </c>
      <c r="D511" s="133" t="s">
        <v>40</v>
      </c>
      <c r="E511" s="134" t="s">
        <v>217</v>
      </c>
      <c r="F511" s="471" t="s">
        <v>288</v>
      </c>
      <c r="G511" s="135" t="str">
        <f>VLOOKUP(A511,Plano_V3!$A$26:$G$768,7,0)</f>
        <v>1. Concluído</v>
      </c>
      <c r="H511" s="135" t="s">
        <v>612</v>
      </c>
      <c r="I511" s="468"/>
      <c r="J511" s="153"/>
      <c r="K511" s="153"/>
      <c r="L511" s="153"/>
      <c r="M511" s="153"/>
      <c r="N511" s="489"/>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7"/>
        <v>modesg_inp_emss_scibscore_scp2</v>
      </c>
      <c r="B512" s="141" t="s">
        <v>26</v>
      </c>
      <c r="C512" s="137" t="s">
        <v>181</v>
      </c>
      <c r="D512" s="133" t="s">
        <v>40</v>
      </c>
      <c r="E512" s="134" t="s">
        <v>217</v>
      </c>
      <c r="F512" s="471" t="s">
        <v>289</v>
      </c>
      <c r="G512" s="135" t="str">
        <f>VLOOKUP(A512,Plano_V3!$A$26:$G$768,7,0)</f>
        <v>1. Concluído</v>
      </c>
      <c r="H512" s="135" t="s">
        <v>612</v>
      </c>
      <c r="I512" s="468"/>
      <c r="J512" s="153"/>
      <c r="K512" s="153"/>
      <c r="L512" s="153"/>
      <c r="M512" s="153"/>
      <c r="N512" s="489"/>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7"/>
        <v>modesg_inp_emss_scibscore_scp3</v>
      </c>
      <c r="B513" s="141" t="s">
        <v>26</v>
      </c>
      <c r="C513" s="137" t="s">
        <v>181</v>
      </c>
      <c r="D513" s="133" t="s">
        <v>40</v>
      </c>
      <c r="E513" s="134" t="s">
        <v>217</v>
      </c>
      <c r="F513" s="471" t="s">
        <v>290</v>
      </c>
      <c r="G513" s="135" t="str">
        <f>VLOOKUP(A513,Plano_V3!$A$26:$G$768,7,0)</f>
        <v>1. Concluído</v>
      </c>
      <c r="H513" s="135" t="s">
        <v>612</v>
      </c>
      <c r="I513" s="468"/>
      <c r="J513" s="153"/>
      <c r="K513" s="153"/>
      <c r="L513" s="153"/>
      <c r="M513" s="153"/>
      <c r="N513" s="489"/>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7"/>
        <v>modesg_inp_emss_sciborigem_scp1</v>
      </c>
      <c r="B514" s="141" t="s">
        <v>26</v>
      </c>
      <c r="C514" s="137" t="s">
        <v>181</v>
      </c>
      <c r="D514" s="133" t="s">
        <v>40</v>
      </c>
      <c r="E514" s="134" t="s">
        <v>217</v>
      </c>
      <c r="F514" s="471" t="s">
        <v>291</v>
      </c>
      <c r="G514" s="135" t="str">
        <f>VLOOKUP(A514,Plano_V3!$A$26:$G$768,7,0)</f>
        <v>1. Concluído</v>
      </c>
      <c r="H514" s="135" t="s">
        <v>612</v>
      </c>
      <c r="I514" s="468"/>
      <c r="J514" s="153"/>
      <c r="K514" s="153"/>
      <c r="L514" s="153"/>
      <c r="M514" s="153"/>
      <c r="N514" s="489"/>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7"/>
        <v>modesg_inp_emss_sciborigem_scp2</v>
      </c>
      <c r="B515" s="141" t="s">
        <v>26</v>
      </c>
      <c r="C515" s="137" t="s">
        <v>181</v>
      </c>
      <c r="D515" s="133" t="s">
        <v>40</v>
      </c>
      <c r="E515" s="134" t="s">
        <v>217</v>
      </c>
      <c r="F515" s="471" t="s">
        <v>292</v>
      </c>
      <c r="G515" s="135" t="str">
        <f>VLOOKUP(A515,Plano_V3!$A$26:$G$768,7,0)</f>
        <v>1. Concluído</v>
      </c>
      <c r="H515" s="135" t="s">
        <v>612</v>
      </c>
      <c r="I515" s="468"/>
      <c r="J515" s="153"/>
      <c r="K515" s="153"/>
      <c r="L515" s="153"/>
      <c r="M515" s="153"/>
      <c r="N515" s="489"/>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7"/>
        <v>modesg_inp_emss_sciborigem_scp3</v>
      </c>
      <c r="B516" s="141" t="s">
        <v>26</v>
      </c>
      <c r="C516" s="137" t="s">
        <v>181</v>
      </c>
      <c r="D516" s="133" t="s">
        <v>40</v>
      </c>
      <c r="E516" s="134" t="s">
        <v>217</v>
      </c>
      <c r="F516" s="471" t="s">
        <v>293</v>
      </c>
      <c r="G516" s="135" t="str">
        <f>VLOOKUP(A516,Plano_V3!$A$26:$G$768,7,0)</f>
        <v>1. Concluído</v>
      </c>
      <c r="H516" s="135" t="s">
        <v>612</v>
      </c>
      <c r="I516" s="468"/>
      <c r="J516" s="153"/>
      <c r="K516" s="153"/>
      <c r="L516" s="153"/>
      <c r="M516" s="153"/>
      <c r="N516" s="489"/>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7"/>
        <v>modesg_inp_emss_scibano_info</v>
      </c>
      <c r="B517" s="141" t="s">
        <v>26</v>
      </c>
      <c r="C517" s="137" t="s">
        <v>181</v>
      </c>
      <c r="D517" s="133" t="s">
        <v>40</v>
      </c>
      <c r="E517" s="134" t="s">
        <v>217</v>
      </c>
      <c r="F517" s="471" t="s">
        <v>294</v>
      </c>
      <c r="G517" s="135" t="str">
        <f>VLOOKUP(A517,Plano_V3!$A$26:$G$768,7,0)</f>
        <v>1. Concluído</v>
      </c>
      <c r="H517" s="135" t="s">
        <v>612</v>
      </c>
      <c r="I517" s="468"/>
      <c r="J517" s="153"/>
      <c r="K517" s="153"/>
      <c r="L517" s="153"/>
      <c r="M517" s="153"/>
      <c r="N517" s="489"/>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7"/>
        <v>modesg_inp_emss_scibdivida_total</v>
      </c>
      <c r="B518" s="141" t="s">
        <v>26</v>
      </c>
      <c r="C518" s="137" t="s">
        <v>181</v>
      </c>
      <c r="D518" s="133" t="s">
        <v>40</v>
      </c>
      <c r="E518" s="134" t="s">
        <v>217</v>
      </c>
      <c r="F518" s="471" t="s">
        <v>295</v>
      </c>
      <c r="G518" s="135" t="str">
        <f>VLOOKUP(A518,Plano_V3!$A$26:$G$768,7,0)</f>
        <v>1. Concluído</v>
      </c>
      <c r="H518" s="135" t="s">
        <v>612</v>
      </c>
      <c r="I518" s="468"/>
      <c r="J518" s="153"/>
      <c r="K518" s="153"/>
      <c r="L518" s="153"/>
      <c r="M518" s="153"/>
      <c r="N518" s="489"/>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7"/>
        <v>modesg_inp_emss_scibcapital_proprio</v>
      </c>
      <c r="B519" s="141" t="s">
        <v>26</v>
      </c>
      <c r="C519" s="137" t="s">
        <v>181</v>
      </c>
      <c r="D519" s="133" t="s">
        <v>40</v>
      </c>
      <c r="E519" s="134" t="s">
        <v>217</v>
      </c>
      <c r="F519" s="471" t="s">
        <v>296</v>
      </c>
      <c r="G519" s="135" t="str">
        <f>VLOOKUP(A519,Plano_V3!$A$26:$G$768,7,0)</f>
        <v>1. Concluído</v>
      </c>
      <c r="H519" s="135" t="s">
        <v>612</v>
      </c>
      <c r="I519" s="468"/>
      <c r="J519" s="153"/>
      <c r="K519" s="153"/>
      <c r="L519" s="153"/>
      <c r="M519" s="153"/>
      <c r="N519" s="489"/>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7"/>
        <v>modesg_inp_emss_naceref_date</v>
      </c>
      <c r="B520" s="141" t="s">
        <v>26</v>
      </c>
      <c r="C520" s="137" t="s">
        <v>181</v>
      </c>
      <c r="D520" s="133" t="s">
        <v>40</v>
      </c>
      <c r="E520" s="134" t="s">
        <v>218</v>
      </c>
      <c r="F520" s="471" t="s">
        <v>208</v>
      </c>
      <c r="G520" s="135" t="str">
        <f>VLOOKUP(A520,Plano_V3!$A$26:$G$768,7,0)</f>
        <v>1. Concluído</v>
      </c>
      <c r="H520" s="135" t="s">
        <v>612</v>
      </c>
      <c r="I520" s="468"/>
      <c r="J520" s="142"/>
      <c r="K520" s="142"/>
      <c r="L520" s="153"/>
      <c r="M520" s="153"/>
      <c r="N520" s="142"/>
      <c r="O520" s="142" t="s">
        <v>2354</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7"/>
        <v>modesg_inp_emss_naceano</v>
      </c>
      <c r="B521" s="141" t="s">
        <v>26</v>
      </c>
      <c r="C521" s="137" t="s">
        <v>181</v>
      </c>
      <c r="D521" s="133" t="s">
        <v>40</v>
      </c>
      <c r="E521" s="134" t="s">
        <v>218</v>
      </c>
      <c r="F521" s="471" t="s">
        <v>297</v>
      </c>
      <c r="G521" s="135" t="str">
        <f>VLOOKUP(A521,Plano_V3!$A$26:$G$768,7,0)</f>
        <v>1. Concluído</v>
      </c>
      <c r="H521" s="135" t="s">
        <v>612</v>
      </c>
      <c r="I521" s="468"/>
      <c r="J521" s="482"/>
      <c r="K521" s="482"/>
      <c r="L521" s="483"/>
      <c r="M521" s="483"/>
      <c r="N521" s="482"/>
      <c r="O521" s="142" t="s">
        <v>2354</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7"/>
        <v>modesg_inp_emss_nacenome_pais</v>
      </c>
      <c r="B522" s="141" t="s">
        <v>26</v>
      </c>
      <c r="C522" s="137" t="s">
        <v>181</v>
      </c>
      <c r="D522" s="133" t="s">
        <v>40</v>
      </c>
      <c r="E522" s="134" t="s">
        <v>218</v>
      </c>
      <c r="F522" s="471" t="s">
        <v>221</v>
      </c>
      <c r="G522" s="135" t="str">
        <f>VLOOKUP(A522,Plano_V3!$A$26:$G$768,7,0)</f>
        <v>1. Concluído</v>
      </c>
      <c r="H522" s="135" t="s">
        <v>612</v>
      </c>
      <c r="I522" s="468"/>
      <c r="J522" s="482"/>
      <c r="K522" s="482"/>
      <c r="L522" s="483"/>
      <c r="M522" s="483"/>
      <c r="N522" s="482"/>
      <c r="O522" s="142" t="s">
        <v>2354</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7"/>
        <v>modesg_inp_emss_nacecod_nace_esg</v>
      </c>
      <c r="B523" s="141" t="s">
        <v>26</v>
      </c>
      <c r="C523" s="137" t="s">
        <v>181</v>
      </c>
      <c r="D523" s="133" t="s">
        <v>40</v>
      </c>
      <c r="E523" s="134" t="s">
        <v>218</v>
      </c>
      <c r="F523" s="471" t="s">
        <v>281</v>
      </c>
      <c r="G523" s="135" t="str">
        <f>VLOOKUP(A523,Plano_V3!$A$26:$G$768,7,0)</f>
        <v>1. Concluído</v>
      </c>
      <c r="H523" s="135" t="s">
        <v>612</v>
      </c>
      <c r="I523" s="468"/>
      <c r="J523" s="482"/>
      <c r="K523" s="482"/>
      <c r="L523" s="483"/>
      <c r="M523" s="483"/>
      <c r="N523" s="482"/>
      <c r="O523" s="142" t="s">
        <v>2354</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7"/>
        <v>modesg_inp_emss_nacecod_class_indust</v>
      </c>
      <c r="B524" s="141" t="s">
        <v>26</v>
      </c>
      <c r="C524" s="137" t="s">
        <v>181</v>
      </c>
      <c r="D524" s="133" t="s">
        <v>40</v>
      </c>
      <c r="E524" s="134" t="s">
        <v>218</v>
      </c>
      <c r="F524" s="471" t="s">
        <v>298</v>
      </c>
      <c r="G524" s="135" t="str">
        <f>VLOOKUP(A524,Plano_V3!$A$26:$G$768,7,0)</f>
        <v>1. Concluído</v>
      </c>
      <c r="H524" s="135" t="s">
        <v>612</v>
      </c>
      <c r="I524" s="468"/>
      <c r="J524" s="482"/>
      <c r="K524" s="482"/>
      <c r="L524" s="483"/>
      <c r="M524" s="483"/>
      <c r="N524" s="482"/>
      <c r="O524" s="142" t="s">
        <v>2354</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8">E525&amp;F525</f>
        <v>modesg_inp_emss_nacenivel_classificacao_1</v>
      </c>
      <c r="B525" s="141" t="s">
        <v>26</v>
      </c>
      <c r="C525" s="137" t="s">
        <v>181</v>
      </c>
      <c r="D525" s="133" t="s">
        <v>40</v>
      </c>
      <c r="E525" s="134" t="s">
        <v>218</v>
      </c>
      <c r="F525" s="471" t="s">
        <v>299</v>
      </c>
      <c r="G525" s="135" t="str">
        <f>VLOOKUP(A525,Plano_V3!$A$26:$G$768,7,0)</f>
        <v>1. Concluído</v>
      </c>
      <c r="H525" s="135" t="s">
        <v>612</v>
      </c>
      <c r="I525" s="468"/>
      <c r="J525" s="482"/>
      <c r="K525" s="482"/>
      <c r="L525" s="483"/>
      <c r="M525" s="483"/>
      <c r="N525" s="482"/>
      <c r="O525" s="142" t="s">
        <v>2354</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8"/>
        <v>modesg_inp_emss_naceclasse_ativo</v>
      </c>
      <c r="B526" s="141" t="s">
        <v>26</v>
      </c>
      <c r="C526" s="137" t="s">
        <v>181</v>
      </c>
      <c r="D526" s="133" t="s">
        <v>40</v>
      </c>
      <c r="E526" s="134" t="s">
        <v>218</v>
      </c>
      <c r="F526" s="471" t="s">
        <v>300</v>
      </c>
      <c r="G526" s="135" t="str">
        <f>VLOOKUP(A526,Plano_V3!$A$26:$G$768,7,0)</f>
        <v>1. Concluído</v>
      </c>
      <c r="H526" s="135" t="s">
        <v>612</v>
      </c>
      <c r="I526" s="468"/>
      <c r="J526" s="482"/>
      <c r="K526" s="482"/>
      <c r="L526" s="483"/>
      <c r="M526" s="483"/>
      <c r="N526" s="482"/>
      <c r="O526" s="142" t="s">
        <v>2354</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8"/>
        <v>modesg_inp_emss_naceopcao_metodologia</v>
      </c>
      <c r="B527" s="141" t="s">
        <v>26</v>
      </c>
      <c r="C527" s="137" t="s">
        <v>181</v>
      </c>
      <c r="D527" s="133" t="s">
        <v>40</v>
      </c>
      <c r="E527" s="134" t="s">
        <v>218</v>
      </c>
      <c r="F527" s="471" t="s">
        <v>301</v>
      </c>
      <c r="G527" s="135" t="str">
        <f>VLOOKUP(A527,Plano_V3!$A$26:$G$768,7,0)</f>
        <v>1. Concluído</v>
      </c>
      <c r="H527" s="135" t="s">
        <v>612</v>
      </c>
      <c r="I527" s="468"/>
      <c r="J527" s="482"/>
      <c r="K527" s="482"/>
      <c r="L527" s="483"/>
      <c r="M527" s="483"/>
      <c r="N527" s="482"/>
      <c r="O527" s="142" t="s">
        <v>2354</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8"/>
        <v>modesg_inp_emss_naceunidade_funcional</v>
      </c>
      <c r="B528" s="141" t="s">
        <v>26</v>
      </c>
      <c r="C528" s="137" t="s">
        <v>181</v>
      </c>
      <c r="D528" s="133" t="s">
        <v>40</v>
      </c>
      <c r="E528" s="134" t="s">
        <v>218</v>
      </c>
      <c r="F528" s="471" t="s">
        <v>229</v>
      </c>
      <c r="G528" s="135" t="str">
        <f>VLOOKUP(A528,Plano_V3!$A$26:$G$768,7,0)</f>
        <v>1. Concluído</v>
      </c>
      <c r="H528" s="135" t="s">
        <v>612</v>
      </c>
      <c r="I528" s="468"/>
      <c r="J528" s="482"/>
      <c r="K528" s="482"/>
      <c r="L528" s="483"/>
      <c r="M528" s="483"/>
      <c r="N528" s="482"/>
      <c r="O528" s="142" t="s">
        <v>2354</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8"/>
        <v>modesg_inp_emss_naceunidades_fator_de_emissao</v>
      </c>
      <c r="B529" s="141" t="s">
        <v>26</v>
      </c>
      <c r="C529" s="137" t="s">
        <v>181</v>
      </c>
      <c r="D529" s="133" t="s">
        <v>40</v>
      </c>
      <c r="E529" s="134" t="s">
        <v>218</v>
      </c>
      <c r="F529" s="471" t="s">
        <v>302</v>
      </c>
      <c r="G529" s="135" t="str">
        <f>VLOOKUP(A529,Plano_V3!$A$26:$G$768,7,0)</f>
        <v>1. Concluído</v>
      </c>
      <c r="H529" s="135" t="s">
        <v>612</v>
      </c>
      <c r="I529" s="468"/>
      <c r="J529" s="482"/>
      <c r="K529" s="482"/>
      <c r="L529" s="483"/>
      <c r="M529" s="483"/>
      <c r="N529" s="482"/>
      <c r="O529" s="142" t="s">
        <v>2354</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8"/>
        <v>modesg_inp_emss_nacescore_qualidade</v>
      </c>
      <c r="B530" s="141" t="s">
        <v>26</v>
      </c>
      <c r="C530" s="137" t="s">
        <v>181</v>
      </c>
      <c r="D530" s="133" t="s">
        <v>40</v>
      </c>
      <c r="E530" s="134" t="s">
        <v>218</v>
      </c>
      <c r="F530" s="471" t="s">
        <v>232</v>
      </c>
      <c r="G530" s="135" t="str">
        <f>VLOOKUP(A530,Plano_V3!$A$26:$G$768,7,0)</f>
        <v>1. Concluído</v>
      </c>
      <c r="H530" s="135" t="s">
        <v>612</v>
      </c>
      <c r="I530" s="468"/>
      <c r="J530" s="482"/>
      <c r="K530" s="482"/>
      <c r="L530" s="483"/>
      <c r="M530" s="483"/>
      <c r="N530" s="482"/>
      <c r="O530" s="142" t="s">
        <v>2354</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8"/>
        <v>modesg_inp_emss_nacescp1_ftr_emss</v>
      </c>
      <c r="B531" s="141" t="s">
        <v>26</v>
      </c>
      <c r="C531" s="137" t="s">
        <v>181</v>
      </c>
      <c r="D531" s="133" t="s">
        <v>40</v>
      </c>
      <c r="E531" s="134" t="s">
        <v>218</v>
      </c>
      <c r="F531" s="471" t="s">
        <v>233</v>
      </c>
      <c r="G531" s="135" t="str">
        <f>VLOOKUP(A531,Plano_V3!$A$26:$G$768,7,0)</f>
        <v>1. Concluído</v>
      </c>
      <c r="H531" s="135" t="s">
        <v>612</v>
      </c>
      <c r="I531" s="468"/>
      <c r="J531" s="482"/>
      <c r="K531" s="482"/>
      <c r="L531" s="483"/>
      <c r="M531" s="483"/>
      <c r="N531" s="482"/>
      <c r="O531" s="142" t="s">
        <v>2354</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8"/>
        <v>modesg_inp_emss_nacescp2_ftr_emss</v>
      </c>
      <c r="B532" s="141" t="s">
        <v>26</v>
      </c>
      <c r="C532" s="137" t="s">
        <v>181</v>
      </c>
      <c r="D532" s="133" t="s">
        <v>40</v>
      </c>
      <c r="E532" s="134" t="s">
        <v>218</v>
      </c>
      <c r="F532" s="471" t="s">
        <v>234</v>
      </c>
      <c r="G532" s="135" t="str">
        <f>VLOOKUP(A532,Plano_V3!$A$26:$G$768,7,0)</f>
        <v>1. Concluído</v>
      </c>
      <c r="H532" s="135" t="s">
        <v>612</v>
      </c>
      <c r="I532" s="468"/>
      <c r="J532" s="482"/>
      <c r="K532" s="482"/>
      <c r="L532" s="483"/>
      <c r="M532" s="483"/>
      <c r="N532" s="482"/>
      <c r="O532" s="142" t="s">
        <v>2354</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8"/>
        <v>modesg_inp_emss_nacescp3_ftr_emss</v>
      </c>
      <c r="B533" s="141" t="s">
        <v>26</v>
      </c>
      <c r="C533" s="137" t="s">
        <v>181</v>
      </c>
      <c r="D533" s="133" t="s">
        <v>40</v>
      </c>
      <c r="E533" s="134" t="s">
        <v>218</v>
      </c>
      <c r="F533" s="471" t="s">
        <v>235</v>
      </c>
      <c r="G533" s="135" t="str">
        <f>VLOOKUP(A533,Plano_V3!$A$26:$G$768,7,0)</f>
        <v>1. Concluído</v>
      </c>
      <c r="H533" s="135" t="s">
        <v>612</v>
      </c>
      <c r="I533" s="468"/>
      <c r="J533" s="142"/>
      <c r="K533" s="142"/>
      <c r="L533" s="153"/>
      <c r="M533" s="153"/>
      <c r="N533" s="142"/>
      <c r="O533" s="142" t="s">
        <v>2354</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8"/>
        <v>modesg_inp_emss_bens_imoveisref_date</v>
      </c>
      <c r="B534" s="141" t="s">
        <v>26</v>
      </c>
      <c r="C534" s="137" t="s">
        <v>181</v>
      </c>
      <c r="D534" s="133" t="s">
        <v>40</v>
      </c>
      <c r="E534" s="134" t="s">
        <v>219</v>
      </c>
      <c r="F534" s="471" t="s">
        <v>208</v>
      </c>
      <c r="G534" s="135" t="str">
        <f>VLOOKUP(A534,Plano_V3!$A$26:$G$768,7,0)</f>
        <v>1. Concluído</v>
      </c>
      <c r="H534" s="135" t="s">
        <v>612</v>
      </c>
      <c r="I534" s="468"/>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8"/>
        <v>modesg_inp_emss_bens_imoveisnome_pais</v>
      </c>
      <c r="B535" s="141" t="s">
        <v>26</v>
      </c>
      <c r="C535" s="137" t="s">
        <v>181</v>
      </c>
      <c r="D535" s="133" t="s">
        <v>40</v>
      </c>
      <c r="E535" s="134" t="s">
        <v>219</v>
      </c>
      <c r="F535" s="471" t="s">
        <v>221</v>
      </c>
      <c r="G535" s="135" t="str">
        <f>VLOOKUP(A535,Plano_V3!$A$26:$G$768,7,0)</f>
        <v>1. Concluído</v>
      </c>
      <c r="H535" s="135" t="s">
        <v>612</v>
      </c>
      <c r="I535" s="468"/>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8"/>
        <v>modesg_inp_emss_bens_imoveisnome_estado</v>
      </c>
      <c r="B536" s="141" t="s">
        <v>26</v>
      </c>
      <c r="C536" s="137" t="s">
        <v>181</v>
      </c>
      <c r="D536" s="133" t="s">
        <v>40</v>
      </c>
      <c r="E536" s="134" t="s">
        <v>219</v>
      </c>
      <c r="F536" s="471" t="s">
        <v>222</v>
      </c>
      <c r="G536" s="135" t="str">
        <f>VLOOKUP(A536,Plano_V3!$A$26:$G$768,7,0)</f>
        <v>1. Concluído</v>
      </c>
      <c r="H536" s="135" t="s">
        <v>612</v>
      </c>
      <c r="I536" s="468"/>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8"/>
        <v>modesg_inp_emss_bens_imoveisclasse_ativo</v>
      </c>
      <c r="B537" s="141" t="s">
        <v>26</v>
      </c>
      <c r="C537" s="137" t="s">
        <v>181</v>
      </c>
      <c r="D537" s="133" t="s">
        <v>40</v>
      </c>
      <c r="E537" s="134" t="s">
        <v>219</v>
      </c>
      <c r="F537" s="471" t="s">
        <v>300</v>
      </c>
      <c r="G537" s="135" t="str">
        <f>VLOOKUP(A537,Plano_V3!$A$26:$G$768,7,0)</f>
        <v>1. Concluído</v>
      </c>
      <c r="H537" s="135" t="s">
        <v>612</v>
      </c>
      <c r="I537" s="468"/>
      <c r="J537" s="482"/>
      <c r="K537" s="482"/>
      <c r="L537" s="483"/>
      <c r="M537" s="483"/>
      <c r="N537" s="482"/>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8"/>
        <v>modesg_inp_emss_bens_imoveistipo_fator_emissao</v>
      </c>
      <c r="B538" s="141" t="s">
        <v>26</v>
      </c>
      <c r="C538" s="137" t="s">
        <v>181</v>
      </c>
      <c r="D538" s="133" t="s">
        <v>40</v>
      </c>
      <c r="E538" s="134" t="s">
        <v>219</v>
      </c>
      <c r="F538" s="471" t="s">
        <v>303</v>
      </c>
      <c r="G538" s="135" t="str">
        <f>VLOOKUP(A538,Plano_V3!$A$26:$G$768,7,0)</f>
        <v>1. Concluído</v>
      </c>
      <c r="H538" s="135" t="s">
        <v>612</v>
      </c>
      <c r="I538" s="468"/>
      <c r="J538" s="482"/>
      <c r="K538" s="482"/>
      <c r="L538" s="483"/>
      <c r="M538" s="483"/>
      <c r="N538" s="482"/>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8"/>
        <v>modesg_inp_emss_bens_imoveisregiao</v>
      </c>
      <c r="B539" s="141" t="s">
        <v>26</v>
      </c>
      <c r="C539" s="137" t="s">
        <v>181</v>
      </c>
      <c r="D539" s="133" t="s">
        <v>40</v>
      </c>
      <c r="E539" s="134" t="s">
        <v>219</v>
      </c>
      <c r="F539" s="471" t="s">
        <v>304</v>
      </c>
      <c r="G539" s="135" t="str">
        <f>VLOOKUP(A539,Plano_V3!$A$26:$G$768,7,0)</f>
        <v>1. Concluído</v>
      </c>
      <c r="H539" s="135" t="s">
        <v>612</v>
      </c>
      <c r="I539" s="468"/>
      <c r="J539" s="482"/>
      <c r="K539" s="482"/>
      <c r="L539" s="483"/>
      <c r="M539" s="483"/>
      <c r="N539" s="482"/>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8"/>
        <v>modesg_inp_emss_bens_imoveistipo_bem</v>
      </c>
      <c r="B540" s="141" t="s">
        <v>26</v>
      </c>
      <c r="C540" s="137" t="s">
        <v>181</v>
      </c>
      <c r="D540" s="133" t="s">
        <v>40</v>
      </c>
      <c r="E540" s="134" t="s">
        <v>219</v>
      </c>
      <c r="F540" s="471" t="s">
        <v>305</v>
      </c>
      <c r="G540" s="135" t="str">
        <f>VLOOKUP(A540,Plano_V3!$A$26:$G$768,7,0)</f>
        <v>1. Concluído</v>
      </c>
      <c r="H540" s="135" t="s">
        <v>612</v>
      </c>
      <c r="I540" s="468"/>
      <c r="J540" s="482"/>
      <c r="K540" s="482"/>
      <c r="L540" s="483"/>
      <c r="M540" s="483"/>
      <c r="N540" s="482"/>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8"/>
        <v>modesg_inp_emss_bens_imoveistipo_finalidade_bem</v>
      </c>
      <c r="B541" s="141" t="s">
        <v>26</v>
      </c>
      <c r="C541" s="137" t="s">
        <v>181</v>
      </c>
      <c r="D541" s="133" t="s">
        <v>40</v>
      </c>
      <c r="E541" s="134" t="s">
        <v>219</v>
      </c>
      <c r="F541" s="471" t="s">
        <v>306</v>
      </c>
      <c r="G541" s="135" t="str">
        <f>VLOOKUP(A541,Plano_V3!$A$26:$G$768,7,0)</f>
        <v>1. Concluído</v>
      </c>
      <c r="H541" s="135" t="s">
        <v>612</v>
      </c>
      <c r="I541" s="468"/>
      <c r="J541" s="482"/>
      <c r="K541" s="482"/>
      <c r="L541" s="483"/>
      <c r="M541" s="483"/>
      <c r="N541" s="482"/>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8"/>
        <v>modesg_inp_emss_bens_imoveisepc</v>
      </c>
      <c r="B542" s="141" t="s">
        <v>26</v>
      </c>
      <c r="C542" s="137" t="s">
        <v>181</v>
      </c>
      <c r="D542" s="133" t="s">
        <v>40</v>
      </c>
      <c r="E542" s="134" t="s">
        <v>219</v>
      </c>
      <c r="F542" s="471" t="s">
        <v>198</v>
      </c>
      <c r="G542" s="135" t="str">
        <f>VLOOKUP(A542,Plano_V3!$A$26:$G$768,7,0)</f>
        <v>1. Concluído</v>
      </c>
      <c r="H542" s="135" t="s">
        <v>612</v>
      </c>
      <c r="I542" s="468"/>
      <c r="J542" s="482"/>
      <c r="K542" s="482"/>
      <c r="L542" s="483"/>
      <c r="M542" s="483"/>
      <c r="N542" s="482"/>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8"/>
        <v>modesg_inp_emss_bens_imoveisflg_ftr_emss_area</v>
      </c>
      <c r="B543" s="141" t="s">
        <v>26</v>
      </c>
      <c r="C543" s="137" t="s">
        <v>181</v>
      </c>
      <c r="D543" s="133" t="s">
        <v>40</v>
      </c>
      <c r="E543" s="134" t="s">
        <v>219</v>
      </c>
      <c r="F543" s="471" t="s">
        <v>307</v>
      </c>
      <c r="G543" s="135" t="str">
        <f>VLOOKUP(A543,Plano_V3!$A$26:$G$768,7,0)</f>
        <v>0. Cancelado</v>
      </c>
      <c r="H543" s="135" t="s">
        <v>611</v>
      </c>
      <c r="I543" s="468"/>
      <c r="J543" s="482"/>
      <c r="K543" s="482"/>
      <c r="L543" s="483"/>
      <c r="M543" s="483"/>
      <c r="N543" s="482"/>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8"/>
        <v>modesg_inp_emss_bens_imoveisnome_unidade_funcional</v>
      </c>
      <c r="B544" s="141" t="s">
        <v>26</v>
      </c>
      <c r="C544" s="137" t="s">
        <v>181</v>
      </c>
      <c r="D544" s="133" t="s">
        <v>40</v>
      </c>
      <c r="E544" s="134" t="s">
        <v>219</v>
      </c>
      <c r="F544" s="471" t="s">
        <v>228</v>
      </c>
      <c r="G544" s="135" t="str">
        <f>VLOOKUP(A544,Plano_V3!$A$26:$G$768,7,0)</f>
        <v>1. Concluído</v>
      </c>
      <c r="H544" s="135" t="s">
        <v>612</v>
      </c>
      <c r="I544" s="468"/>
      <c r="J544" s="482"/>
      <c r="K544" s="482"/>
      <c r="L544" s="483"/>
      <c r="M544" s="483"/>
      <c r="N544" s="482"/>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8"/>
        <v>modesg_inp_emss_bens_imoveisunidade_funcional</v>
      </c>
      <c r="B545" s="141" t="s">
        <v>26</v>
      </c>
      <c r="C545" s="137" t="s">
        <v>181</v>
      </c>
      <c r="D545" s="133" t="s">
        <v>40</v>
      </c>
      <c r="E545" s="134" t="s">
        <v>219</v>
      </c>
      <c r="F545" s="471" t="s">
        <v>229</v>
      </c>
      <c r="G545" s="135" t="str">
        <f>VLOOKUP(A545,Plano_V3!$A$26:$G$768,7,0)</f>
        <v>1. Concluído</v>
      </c>
      <c r="H545" s="135" t="s">
        <v>612</v>
      </c>
      <c r="I545" s="468"/>
      <c r="J545" s="482"/>
      <c r="K545" s="482"/>
      <c r="L545" s="483"/>
      <c r="M545" s="483"/>
      <c r="N545" s="482"/>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8"/>
        <v>modesg_inp_emss_bens_imoveisnome_fator_emissao</v>
      </c>
      <c r="B546" s="141" t="s">
        <v>26</v>
      </c>
      <c r="C546" s="137" t="s">
        <v>181</v>
      </c>
      <c r="D546" s="133" t="s">
        <v>40</v>
      </c>
      <c r="E546" s="134" t="s">
        <v>219</v>
      </c>
      <c r="F546" s="471" t="s">
        <v>230</v>
      </c>
      <c r="G546" s="135" t="str">
        <f>VLOOKUP(A546,Plano_V3!$A$26:$G$768,7,0)</f>
        <v>1. Concluído</v>
      </c>
      <c r="H546" s="135" t="s">
        <v>612</v>
      </c>
      <c r="I546" s="468"/>
      <c r="J546" s="482"/>
      <c r="K546" s="482"/>
      <c r="L546" s="483"/>
      <c r="M546" s="483"/>
      <c r="N546" s="482"/>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8"/>
        <v>modesg_inp_emss_bens_imoveisunidade_fator_de_emissao</v>
      </c>
      <c r="B547" s="141" t="s">
        <v>26</v>
      </c>
      <c r="C547" s="137" t="s">
        <v>181</v>
      </c>
      <c r="D547" s="133" t="s">
        <v>40</v>
      </c>
      <c r="E547" s="134" t="s">
        <v>219</v>
      </c>
      <c r="F547" s="471" t="s">
        <v>231</v>
      </c>
      <c r="G547" s="135" t="str">
        <f>VLOOKUP(A547,Plano_V3!$A$26:$G$768,7,0)</f>
        <v>1. Concluído</v>
      </c>
      <c r="H547" s="135" t="s">
        <v>612</v>
      </c>
      <c r="I547" s="468"/>
      <c r="J547" s="482"/>
      <c r="K547" s="482"/>
      <c r="L547" s="483"/>
      <c r="M547" s="483"/>
      <c r="N547" s="482"/>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8"/>
        <v>modesg_inp_emss_bens_imoveisscore_qualidade</v>
      </c>
      <c r="B548" s="141" t="s">
        <v>26</v>
      </c>
      <c r="C548" s="137" t="s">
        <v>181</v>
      </c>
      <c r="D548" s="133" t="s">
        <v>40</v>
      </c>
      <c r="E548" s="134" t="s">
        <v>219</v>
      </c>
      <c r="F548" s="471" t="s">
        <v>232</v>
      </c>
      <c r="G548" s="135" t="str">
        <f>VLOOKUP(A548,Plano_V3!$A$26:$G$768,7,0)</f>
        <v>1. Concluído</v>
      </c>
      <c r="H548" s="135" t="s">
        <v>612</v>
      </c>
      <c r="I548" s="468"/>
      <c r="J548" s="482"/>
      <c r="K548" s="482"/>
      <c r="L548" s="483"/>
      <c r="M548" s="483"/>
      <c r="N548" s="482"/>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8"/>
        <v>modesg_inp_emss_bens_imoveisano_fator_emissao</v>
      </c>
      <c r="B549" s="141" t="s">
        <v>26</v>
      </c>
      <c r="C549" s="137" t="s">
        <v>181</v>
      </c>
      <c r="D549" s="133" t="s">
        <v>40</v>
      </c>
      <c r="E549" s="134" t="s">
        <v>219</v>
      </c>
      <c r="F549" s="471" t="s">
        <v>308</v>
      </c>
      <c r="G549" s="135" t="str">
        <f>VLOOKUP(A549,Plano_V3!$A$26:$G$768,7,0)</f>
        <v>1. Concluído</v>
      </c>
      <c r="H549" s="135" t="s">
        <v>612</v>
      </c>
      <c r="I549" s="468"/>
      <c r="J549" s="482"/>
      <c r="K549" s="482"/>
      <c r="L549" s="483"/>
      <c r="M549" s="483"/>
      <c r="N549" s="482"/>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8"/>
        <v>modesg_inp_emss_bens_imoveisscp1_ftr_emss</v>
      </c>
      <c r="B550" s="141" t="s">
        <v>26</v>
      </c>
      <c r="C550" s="137" t="s">
        <v>181</v>
      </c>
      <c r="D550" s="133" t="s">
        <v>40</v>
      </c>
      <c r="E550" s="134" t="s">
        <v>219</v>
      </c>
      <c r="F550" s="471" t="s">
        <v>233</v>
      </c>
      <c r="G550" s="135" t="str">
        <f>VLOOKUP(A550,Plano_V3!$A$26:$G$768,7,0)</f>
        <v>1. Concluído</v>
      </c>
      <c r="H550" s="135" t="s">
        <v>612</v>
      </c>
      <c r="I550" s="468"/>
      <c r="J550" s="482"/>
      <c r="K550" s="482"/>
      <c r="L550" s="483"/>
      <c r="M550" s="483"/>
      <c r="N550" s="482"/>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8"/>
        <v>modesg_inp_emss_bens_imoveisscp2_ftr_emss</v>
      </c>
      <c r="B551" s="141" t="s">
        <v>26</v>
      </c>
      <c r="C551" s="137" t="s">
        <v>181</v>
      </c>
      <c r="D551" s="133" t="s">
        <v>40</v>
      </c>
      <c r="E551" s="134" t="s">
        <v>219</v>
      </c>
      <c r="F551" s="471" t="s">
        <v>234</v>
      </c>
      <c r="G551" s="135" t="str">
        <f>VLOOKUP(A551,Plano_V3!$A$26:$G$768,7,0)</f>
        <v>1. Concluído</v>
      </c>
      <c r="H551" s="135" t="s">
        <v>612</v>
      </c>
      <c r="I551" s="468"/>
      <c r="J551" s="482"/>
      <c r="K551" s="482"/>
      <c r="L551" s="483"/>
      <c r="M551" s="483"/>
      <c r="N551" s="482"/>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8"/>
        <v>modesg_inp_project_financecodigo_unidade</v>
      </c>
      <c r="B552" s="141" t="s">
        <v>26</v>
      </c>
      <c r="C552" s="137" t="s">
        <v>181</v>
      </c>
      <c r="D552" s="133" t="s">
        <v>40</v>
      </c>
      <c r="E552" s="134" t="s">
        <v>2061</v>
      </c>
      <c r="F552" s="471" t="s">
        <v>2062</v>
      </c>
      <c r="G552" s="135" t="str">
        <f>VLOOKUP(A552,Plano_V3!$A$26:$G$768,7,0)</f>
        <v>1. Concluído</v>
      </c>
      <c r="H552" s="135" t="s">
        <v>612</v>
      </c>
      <c r="I552" s="468"/>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8"/>
        <v>modesg_inp_project_financenome_unidade</v>
      </c>
      <c r="B553" s="141" t="s">
        <v>26</v>
      </c>
      <c r="C553" s="137" t="s">
        <v>181</v>
      </c>
      <c r="D553" s="133" t="s">
        <v>40</v>
      </c>
      <c r="E553" s="134" t="s">
        <v>2061</v>
      </c>
      <c r="F553" s="471" t="s">
        <v>2063</v>
      </c>
      <c r="G553" s="135" t="str">
        <f>VLOOKUP(A553,Plano_V3!$A$26:$G$768,7,0)</f>
        <v>1. Concluído</v>
      </c>
      <c r="H553" s="135" t="s">
        <v>612</v>
      </c>
      <c r="I553" s="468"/>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8"/>
        <v>modesg_inp_project_financekgl</v>
      </c>
      <c r="B554" s="141" t="s">
        <v>26</v>
      </c>
      <c r="C554" s="137" t="s">
        <v>181</v>
      </c>
      <c r="D554" s="133" t="s">
        <v>40</v>
      </c>
      <c r="E554" s="134" t="s">
        <v>2061</v>
      </c>
      <c r="F554" s="471" t="s">
        <v>2064</v>
      </c>
      <c r="G554" s="135" t="str">
        <f>VLOOKUP(A554,Plano_V3!$A$26:$G$768,7,0)</f>
        <v>1. Concluído</v>
      </c>
      <c r="H554" s="135" t="s">
        <v>612</v>
      </c>
      <c r="I554" s="468"/>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8"/>
        <v>modesg_inp_project_financenome_legal_kgl</v>
      </c>
      <c r="B555" s="141" t="s">
        <v>26</v>
      </c>
      <c r="C555" s="137" t="s">
        <v>181</v>
      </c>
      <c r="D555" s="133" t="s">
        <v>40</v>
      </c>
      <c r="E555" s="134" t="s">
        <v>2061</v>
      </c>
      <c r="F555" s="471" t="s">
        <v>2065</v>
      </c>
      <c r="G555" s="135" t="str">
        <f>VLOOKUP(A555,Plano_V3!$A$26:$G$768,7,0)</f>
        <v>1. Concluído</v>
      </c>
      <c r="H555" s="135" t="s">
        <v>612</v>
      </c>
      <c r="I555" s="468"/>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8"/>
        <v>modesg_inp_project_financekgl_top_entidade_principal</v>
      </c>
      <c r="B556" s="141" t="s">
        <v>26</v>
      </c>
      <c r="C556" s="137" t="s">
        <v>181</v>
      </c>
      <c r="D556" s="133" t="s">
        <v>40</v>
      </c>
      <c r="E556" s="134" t="s">
        <v>2061</v>
      </c>
      <c r="F556" s="471" t="s">
        <v>2066</v>
      </c>
      <c r="G556" s="135" t="str">
        <f>VLOOKUP(A556,Plano_V3!$A$26:$G$768,7,0)</f>
        <v>1. Concluído</v>
      </c>
      <c r="H556" s="135" t="s">
        <v>612</v>
      </c>
      <c r="I556" s="468"/>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8"/>
        <v>modesg_inp_project_financekgl_entidade_principal</v>
      </c>
      <c r="B557" s="141" t="s">
        <v>26</v>
      </c>
      <c r="C557" s="137" t="s">
        <v>181</v>
      </c>
      <c r="D557" s="133" t="s">
        <v>40</v>
      </c>
      <c r="E557" s="134" t="s">
        <v>2061</v>
      </c>
      <c r="F557" s="471" t="s">
        <v>2067</v>
      </c>
      <c r="G557" s="135" t="str">
        <f>VLOOKUP(A557,Plano_V3!$A$26:$G$768,7,0)</f>
        <v>1. Concluído</v>
      </c>
      <c r="H557" s="135" t="s">
        <v>612</v>
      </c>
      <c r="I557" s="468"/>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8"/>
        <v>modesg_inp_project_financenome_top_entidade_principal</v>
      </c>
      <c r="B558" s="141" t="s">
        <v>26</v>
      </c>
      <c r="C558" s="137" t="s">
        <v>181</v>
      </c>
      <c r="D558" s="133" t="s">
        <v>40</v>
      </c>
      <c r="E558" s="134" t="s">
        <v>2061</v>
      </c>
      <c r="F558" s="471" t="s">
        <v>2068</v>
      </c>
      <c r="G558" s="135" t="str">
        <f>VLOOKUP(A558,Plano_V3!$A$26:$G$768,7,0)</f>
        <v>1. Concluído</v>
      </c>
      <c r="H558" s="135" t="s">
        <v>612</v>
      </c>
      <c r="I558" s="468"/>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8"/>
        <v>modesg_inp_project_financecodigo_unidade_operativa</v>
      </c>
      <c r="B559" s="141" t="s">
        <v>26</v>
      </c>
      <c r="C559" s="137" t="s">
        <v>181</v>
      </c>
      <c r="D559" s="133" t="s">
        <v>40</v>
      </c>
      <c r="E559" s="134" t="s">
        <v>2061</v>
      </c>
      <c r="F559" s="471" t="s">
        <v>2069</v>
      </c>
      <c r="G559" s="135" t="str">
        <f>VLOOKUP(A559,Plano_V3!$A$26:$G$768,7,0)</f>
        <v>1. Concluído</v>
      </c>
      <c r="H559" s="135" t="s">
        <v>612</v>
      </c>
      <c r="I559" s="468"/>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8"/>
        <v>modesg_inp_project_financenome_entidade_operativa</v>
      </c>
      <c r="B560" s="141" t="s">
        <v>26</v>
      </c>
      <c r="C560" s="137" t="s">
        <v>181</v>
      </c>
      <c r="D560" s="133" t="s">
        <v>40</v>
      </c>
      <c r="E560" s="134" t="s">
        <v>2061</v>
      </c>
      <c r="F560" s="471" t="s">
        <v>2070</v>
      </c>
      <c r="G560" s="135" t="str">
        <f>VLOOKUP(A560,Plano_V3!$A$26:$G$768,7,0)</f>
        <v>1. Concluído</v>
      </c>
      <c r="H560" s="135" t="s">
        <v>612</v>
      </c>
      <c r="I560" s="468"/>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8"/>
        <v>modesg_out_bens_imoveisn.a.</v>
      </c>
      <c r="B561" s="141" t="s">
        <v>26</v>
      </c>
      <c r="C561" s="137" t="s">
        <v>310</v>
      </c>
      <c r="D561" s="133" t="s">
        <v>36</v>
      </c>
      <c r="E561" s="134" t="s">
        <v>311</v>
      </c>
      <c r="F561" s="471" t="s">
        <v>38</v>
      </c>
      <c r="G561" s="135" t="str">
        <f>VLOOKUP(A561,Plano_V3!$A$26:$G$768,7,0)</f>
        <v>1. Concluído</v>
      </c>
      <c r="H561" s="135" t="s">
        <v>612</v>
      </c>
      <c r="I561" s="468"/>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8"/>
        <v>modesg_out_bens_imoveiscempbem</v>
      </c>
      <c r="B562" s="141" t="s">
        <v>26</v>
      </c>
      <c r="C562" s="137" t="s">
        <v>310</v>
      </c>
      <c r="D562" s="133" t="s">
        <v>40</v>
      </c>
      <c r="E562" s="134" t="s">
        <v>311</v>
      </c>
      <c r="F562" s="471" t="s">
        <v>313</v>
      </c>
      <c r="G562" s="135" t="str">
        <f>VLOOKUP(A562,Plano_V3!$A$26:$G$768,7,0)</f>
        <v>1. Concluído</v>
      </c>
      <c r="H562" s="135" t="s">
        <v>612</v>
      </c>
      <c r="I562" s="468"/>
      <c r="J562" s="153"/>
      <c r="K562" s="153"/>
      <c r="L562" s="153"/>
      <c r="M562" s="153"/>
      <c r="N562" s="489"/>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8"/>
        <v>modesg_out_bens_imoveisckbalbem</v>
      </c>
      <c r="B563" s="141" t="s">
        <v>26</v>
      </c>
      <c r="C563" s="137" t="s">
        <v>310</v>
      </c>
      <c r="D563" s="133" t="s">
        <v>40</v>
      </c>
      <c r="E563" s="134" t="s">
        <v>311</v>
      </c>
      <c r="F563" s="471" t="s">
        <v>314</v>
      </c>
      <c r="G563" s="135" t="str">
        <f>VLOOKUP(A563,Plano_V3!$A$26:$G$768,7,0)</f>
        <v>1. Concluído</v>
      </c>
      <c r="H563" s="135" t="s">
        <v>612</v>
      </c>
      <c r="I563" s="468"/>
      <c r="J563" s="153"/>
      <c r="K563" s="153"/>
      <c r="L563" s="153"/>
      <c r="M563" s="153"/>
      <c r="N563" s="489"/>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8"/>
        <v>modesg_out_bens_imoveisckctabem</v>
      </c>
      <c r="B564" s="141" t="s">
        <v>26</v>
      </c>
      <c r="C564" s="137" t="s">
        <v>310</v>
      </c>
      <c r="D564" s="133" t="s">
        <v>40</v>
      </c>
      <c r="E564" s="134" t="s">
        <v>311</v>
      </c>
      <c r="F564" s="471" t="s">
        <v>315</v>
      </c>
      <c r="G564" s="135" t="str">
        <f>VLOOKUP(A564,Plano_V3!$A$26:$G$768,7,0)</f>
        <v>1. Concluído</v>
      </c>
      <c r="H564" s="135" t="s">
        <v>612</v>
      </c>
      <c r="I564" s="468"/>
      <c r="J564" s="153"/>
      <c r="K564" s="153"/>
      <c r="L564" s="153"/>
      <c r="M564" s="153"/>
      <c r="N564" s="489"/>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8"/>
        <v>modesg_out_bens_imoveisckrefbem</v>
      </c>
      <c r="B565" s="141" t="s">
        <v>26</v>
      </c>
      <c r="C565" s="137" t="s">
        <v>310</v>
      </c>
      <c r="D565" s="133" t="s">
        <v>40</v>
      </c>
      <c r="E565" s="134" t="s">
        <v>311</v>
      </c>
      <c r="F565" s="471" t="s">
        <v>316</v>
      </c>
      <c r="G565" s="135" t="str">
        <f>VLOOKUP(A565,Plano_V3!$A$26:$G$768,7,0)</f>
        <v>1. Concluído</v>
      </c>
      <c r="H565" s="135" t="s">
        <v>612</v>
      </c>
      <c r="I565" s="468"/>
      <c r="J565" s="153"/>
      <c r="K565" s="153"/>
      <c r="L565" s="153"/>
      <c r="M565" s="153"/>
      <c r="N565" s="489"/>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8"/>
        <v>modesg_out_bens_imoveisorigem_scp1_emss</v>
      </c>
      <c r="B566" s="141" t="s">
        <v>26</v>
      </c>
      <c r="C566" s="137" t="s">
        <v>310</v>
      </c>
      <c r="D566" s="133" t="s">
        <v>40</v>
      </c>
      <c r="E566" s="134" t="s">
        <v>311</v>
      </c>
      <c r="F566" s="471" t="s">
        <v>319</v>
      </c>
      <c r="G566" s="135" t="str">
        <f>VLOOKUP(A566,Plano_V3!$A$26:$G$768,7,0)</f>
        <v>1. Concluído</v>
      </c>
      <c r="H566" s="135" t="s">
        <v>612</v>
      </c>
      <c r="I566" s="468"/>
      <c r="J566" s="142"/>
      <c r="K566" s="142"/>
      <c r="L566" s="153"/>
      <c r="M566" s="153"/>
      <c r="N566" s="142"/>
      <c r="O566" s="142" t="s">
        <v>2354</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8"/>
        <v>modesg_out_bens_imoveisorigem_scp2_emss</v>
      </c>
      <c r="B567" s="141" t="s">
        <v>26</v>
      </c>
      <c r="C567" s="137" t="s">
        <v>310</v>
      </c>
      <c r="D567" s="133" t="s">
        <v>40</v>
      </c>
      <c r="E567" s="134" t="s">
        <v>311</v>
      </c>
      <c r="F567" s="471" t="s">
        <v>320</v>
      </c>
      <c r="G567" s="135" t="str">
        <f>VLOOKUP(A567,Plano_V3!$A$26:$G$768,7,0)</f>
        <v>1. Concluído</v>
      </c>
      <c r="H567" s="135" t="s">
        <v>612</v>
      </c>
      <c r="I567" s="468"/>
      <c r="J567" s="142"/>
      <c r="K567" s="142"/>
      <c r="L567" s="153"/>
      <c r="M567" s="153"/>
      <c r="N567" s="142"/>
      <c r="O567" s="142" t="s">
        <v>2354</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8"/>
        <v>modesg_out_bens_imoveisorigem_scp3_emss</v>
      </c>
      <c r="B568" s="141" t="s">
        <v>26</v>
      </c>
      <c r="C568" s="137" t="s">
        <v>310</v>
      </c>
      <c r="D568" s="133" t="s">
        <v>40</v>
      </c>
      <c r="E568" s="134" t="s">
        <v>311</v>
      </c>
      <c r="F568" s="471" t="s">
        <v>321</v>
      </c>
      <c r="G568" s="135" t="str">
        <f>VLOOKUP(A568,Plano_V3!$A$26:$G$768,7,0)</f>
        <v>1. Concluído</v>
      </c>
      <c r="H568" s="135" t="s">
        <v>612</v>
      </c>
      <c r="I568" s="468"/>
      <c r="J568" s="142"/>
      <c r="K568" s="142"/>
      <c r="L568" s="153"/>
      <c r="M568" s="153"/>
      <c r="N568" s="142"/>
      <c r="O568" s="142" t="s">
        <v>2354</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8"/>
        <v>modesg_out_bens_imoveisref_date</v>
      </c>
      <c r="B569" s="141" t="s">
        <v>26</v>
      </c>
      <c r="C569" s="137" t="s">
        <v>310</v>
      </c>
      <c r="D569" s="133" t="s">
        <v>40</v>
      </c>
      <c r="E569" s="134" t="s">
        <v>311</v>
      </c>
      <c r="F569" s="471" t="s">
        <v>208</v>
      </c>
      <c r="G569" s="135" t="str">
        <f>VLOOKUP(A569,Plano_V3!$A$26:$G$768,7,0)</f>
        <v>1. Concluído</v>
      </c>
      <c r="H569" s="135" t="s">
        <v>612</v>
      </c>
      <c r="I569" s="468"/>
      <c r="J569" s="153"/>
      <c r="K569" s="153"/>
      <c r="L569" s="153"/>
      <c r="M569" s="153"/>
      <c r="N569" s="489"/>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8"/>
        <v>modesg_out_bens_imoveisscp1_emss</v>
      </c>
      <c r="B570" s="141" t="s">
        <v>26</v>
      </c>
      <c r="C570" s="137" t="s">
        <v>310</v>
      </c>
      <c r="D570" s="133" t="s">
        <v>40</v>
      </c>
      <c r="E570" s="134" t="s">
        <v>311</v>
      </c>
      <c r="F570" s="471" t="s">
        <v>285</v>
      </c>
      <c r="G570" s="135" t="str">
        <f>VLOOKUP(A570,Plano_V3!$A$26:$G$768,7,0)</f>
        <v>1. Concluído</v>
      </c>
      <c r="H570" s="135" t="s">
        <v>612</v>
      </c>
      <c r="I570" s="468"/>
      <c r="J570" s="142"/>
      <c r="K570" s="142"/>
      <c r="L570" s="153"/>
      <c r="M570" s="153"/>
      <c r="N570" s="142"/>
      <c r="O570" s="142" t="s">
        <v>2354</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8"/>
        <v>modesg_out_bens_imoveisscp2_emss</v>
      </c>
      <c r="B571" s="141" t="s">
        <v>26</v>
      </c>
      <c r="C571" s="137" t="s">
        <v>310</v>
      </c>
      <c r="D571" s="133" t="s">
        <v>40</v>
      </c>
      <c r="E571" s="134" t="s">
        <v>311</v>
      </c>
      <c r="F571" s="471" t="s">
        <v>286</v>
      </c>
      <c r="G571" s="135" t="str">
        <f>VLOOKUP(A571,Plano_V3!$A$26:$G$768,7,0)</f>
        <v>1. Concluído</v>
      </c>
      <c r="H571" s="135" t="s">
        <v>612</v>
      </c>
      <c r="I571" s="468"/>
      <c r="J571" s="142"/>
      <c r="K571" s="142"/>
      <c r="L571" s="153"/>
      <c r="M571" s="153"/>
      <c r="N571" s="142"/>
      <c r="O571" s="142" t="s">
        <v>2354</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8"/>
        <v>modesg_out_bens_imoveisscp3_emss</v>
      </c>
      <c r="B572" s="141" t="s">
        <v>26</v>
      </c>
      <c r="C572" s="137" t="s">
        <v>310</v>
      </c>
      <c r="D572" s="133" t="s">
        <v>40</v>
      </c>
      <c r="E572" s="134" t="s">
        <v>311</v>
      </c>
      <c r="F572" s="471" t="s">
        <v>287</v>
      </c>
      <c r="G572" s="135" t="str">
        <f>VLOOKUP(A572,Plano_V3!$A$26:$G$768,7,0)</f>
        <v>1. Concluído</v>
      </c>
      <c r="H572" s="135" t="s">
        <v>612</v>
      </c>
      <c r="I572" s="468"/>
      <c r="J572" s="153"/>
      <c r="K572" s="153"/>
      <c r="L572" s="153"/>
      <c r="M572" s="153"/>
      <c r="N572" s="489"/>
      <c r="O572" s="142" t="s">
        <v>2354</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8"/>
        <v>modesg_out_bens_imoveisunidade_funcional_scp1_emss</v>
      </c>
      <c r="B573" s="141" t="s">
        <v>26</v>
      </c>
      <c r="C573" s="137" t="s">
        <v>310</v>
      </c>
      <c r="D573" s="133" t="s">
        <v>40</v>
      </c>
      <c r="E573" s="134" t="s">
        <v>311</v>
      </c>
      <c r="F573" s="471" t="s">
        <v>322</v>
      </c>
      <c r="G573" s="135" t="str">
        <f>VLOOKUP(A573,Plano_V3!$A$26:$G$768,7,0)</f>
        <v>1. Concluído</v>
      </c>
      <c r="H573" s="135" t="s">
        <v>612</v>
      </c>
      <c r="I573" s="468"/>
      <c r="J573" s="142"/>
      <c r="K573" s="142"/>
      <c r="L573" s="153"/>
      <c r="M573" s="153"/>
      <c r="N573" s="142"/>
      <c r="O573" s="142" t="s">
        <v>2354</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8"/>
        <v>modesg_out_bens_imoveisunidade_funcional_scp2_emss</v>
      </c>
      <c r="B574" s="141" t="s">
        <v>26</v>
      </c>
      <c r="C574" s="137" t="s">
        <v>310</v>
      </c>
      <c r="D574" s="133" t="s">
        <v>40</v>
      </c>
      <c r="E574" s="134" t="s">
        <v>311</v>
      </c>
      <c r="F574" s="471" t="s">
        <v>323</v>
      </c>
      <c r="G574" s="135" t="str">
        <f>VLOOKUP(A574,Plano_V3!$A$26:$G$768,7,0)</f>
        <v>1. Concluído</v>
      </c>
      <c r="H574" s="135" t="s">
        <v>612</v>
      </c>
      <c r="I574" s="468"/>
      <c r="J574" s="142"/>
      <c r="K574" s="142"/>
      <c r="L574" s="153"/>
      <c r="M574" s="153"/>
      <c r="N574" s="142"/>
      <c r="O574" s="142" t="s">
        <v>2354</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8"/>
        <v>modesg_out_bens_imoveisunidade_funcional_scp3_emss</v>
      </c>
      <c r="B575" s="141" t="s">
        <v>26</v>
      </c>
      <c r="C575" s="137" t="s">
        <v>310</v>
      </c>
      <c r="D575" s="133" t="s">
        <v>40</v>
      </c>
      <c r="E575" s="134" t="s">
        <v>311</v>
      </c>
      <c r="F575" s="471" t="s">
        <v>324</v>
      </c>
      <c r="G575" s="135" t="str">
        <f>VLOOKUP(A575,Plano_V3!$A$26:$G$768,7,0)</f>
        <v>1. Concluído</v>
      </c>
      <c r="H575" s="135" t="s">
        <v>612</v>
      </c>
      <c r="I575" s="468"/>
      <c r="J575" s="142"/>
      <c r="K575" s="142"/>
      <c r="L575" s="153"/>
      <c r="M575" s="153"/>
      <c r="N575" s="142"/>
      <c r="O575" s="142" t="s">
        <v>2354</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8"/>
        <v>modesg_out_empr_info_nfinn.a.</v>
      </c>
      <c r="B576" s="141" t="s">
        <v>26</v>
      </c>
      <c r="C576" s="137" t="s">
        <v>310</v>
      </c>
      <c r="D576" s="133" t="s">
        <v>36</v>
      </c>
      <c r="E576" s="134" t="s">
        <v>325</v>
      </c>
      <c r="F576" s="471" t="s">
        <v>38</v>
      </c>
      <c r="G576" s="135" t="str">
        <f>VLOOKUP(A576,Plano_V3!$A$26:$G$768,7,0)</f>
        <v>1. Concluído</v>
      </c>
      <c r="H576" s="135" t="s">
        <v>612</v>
      </c>
      <c r="I576" s="468"/>
      <c r="J576" s="153"/>
      <c r="K576" s="153"/>
      <c r="L576" s="153"/>
      <c r="M576" s="153"/>
      <c r="N576" s="489"/>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8"/>
        <v>modesg_out_empr_info_nfincca_capex_enblng_algnd</v>
      </c>
      <c r="B577" s="141" t="s">
        <v>26</v>
      </c>
      <c r="C577" s="137" t="s">
        <v>310</v>
      </c>
      <c r="D577" s="133" t="s">
        <v>40</v>
      </c>
      <c r="E577" s="134" t="s">
        <v>325</v>
      </c>
      <c r="F577" s="471" t="s">
        <v>249</v>
      </c>
      <c r="G577" s="135" t="str">
        <f>VLOOKUP(A577,Plano_V3!$A$26:$G$768,7,0)</f>
        <v>1. Concluído</v>
      </c>
      <c r="H577" s="135" t="s">
        <v>612</v>
      </c>
      <c r="I577" s="468"/>
      <c r="J577" s="153"/>
      <c r="K577" s="153"/>
      <c r="L577" s="153"/>
      <c r="M577" s="153"/>
      <c r="N577" s="489"/>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8"/>
        <v>modesg_out_empr_info_nfincca_capex_own_prfrmnce_algnd</v>
      </c>
      <c r="B578" s="141" t="s">
        <v>26</v>
      </c>
      <c r="C578" s="137" t="s">
        <v>310</v>
      </c>
      <c r="D578" s="133" t="s">
        <v>40</v>
      </c>
      <c r="E578" s="134" t="s">
        <v>325</v>
      </c>
      <c r="F578" s="471" t="s">
        <v>250</v>
      </c>
      <c r="G578" s="135" t="str">
        <f>VLOOKUP(A578,Plano_V3!$A$26:$G$768,7,0)</f>
        <v>1. Concluído</v>
      </c>
      <c r="H578" s="135" t="s">
        <v>612</v>
      </c>
      <c r="I578" s="468"/>
      <c r="J578" s="153"/>
      <c r="K578" s="153"/>
      <c r="L578" s="153"/>
      <c r="M578" s="153"/>
      <c r="N578" s="489"/>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8"/>
        <v>modesg_out_empr_info_nfincca_capex_ttl_elgbl</v>
      </c>
      <c r="B579" s="141" t="s">
        <v>26</v>
      </c>
      <c r="C579" s="137" t="s">
        <v>310</v>
      </c>
      <c r="D579" s="133" t="s">
        <v>40</v>
      </c>
      <c r="E579" s="134" t="s">
        <v>325</v>
      </c>
      <c r="F579" s="471" t="s">
        <v>248</v>
      </c>
      <c r="G579" s="135" t="str">
        <f>VLOOKUP(A579,Plano_V3!$A$26:$G$768,7,0)</f>
        <v>1. Concluído</v>
      </c>
      <c r="H579" s="135" t="s">
        <v>612</v>
      </c>
      <c r="I579" s="468"/>
      <c r="J579" s="153"/>
      <c r="K579" s="153"/>
      <c r="L579" s="153"/>
      <c r="M579" s="153"/>
      <c r="N579" s="489"/>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8"/>
        <v>modesg_out_empr_info_nfincca_trnvr_enblng_alignd</v>
      </c>
      <c r="B580" s="141" t="s">
        <v>26</v>
      </c>
      <c r="C580" s="137" t="s">
        <v>310</v>
      </c>
      <c r="D580" s="133" t="s">
        <v>40</v>
      </c>
      <c r="E580" s="134" t="s">
        <v>325</v>
      </c>
      <c r="F580" s="471" t="s">
        <v>246</v>
      </c>
      <c r="G580" s="135" t="str">
        <f>VLOOKUP(A580,Plano_V3!$A$26:$G$768,7,0)</f>
        <v>1. Concluído</v>
      </c>
      <c r="H580" s="135" t="s">
        <v>612</v>
      </c>
      <c r="I580" s="468"/>
      <c r="J580" s="153"/>
      <c r="K580" s="153"/>
      <c r="L580" s="153"/>
      <c r="M580" s="153"/>
      <c r="N580" s="489"/>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8"/>
        <v>modesg_out_empr_info_nfincca_trnvr_ttl_elgbl</v>
      </c>
      <c r="B581" s="141" t="s">
        <v>26</v>
      </c>
      <c r="C581" s="137" t="s">
        <v>310</v>
      </c>
      <c r="D581" s="133" t="s">
        <v>40</v>
      </c>
      <c r="E581" s="134" t="s">
        <v>325</v>
      </c>
      <c r="F581" s="471" t="s">
        <v>245</v>
      </c>
      <c r="G581" s="135" t="str">
        <f>VLOOKUP(A581,Plano_V3!$A$26:$G$768,7,0)</f>
        <v>1. Concluído</v>
      </c>
      <c r="H581" s="135" t="s">
        <v>612</v>
      </c>
      <c r="I581" s="468"/>
      <c r="J581" s="153"/>
      <c r="K581" s="153"/>
      <c r="L581" s="153"/>
      <c r="M581" s="153"/>
      <c r="N581" s="489"/>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8"/>
        <v>modesg_out_empr_info_nfincca_turnover_own_prfrmnce_algnd</v>
      </c>
      <c r="B582" s="141" t="s">
        <v>26</v>
      </c>
      <c r="C582" s="137" t="s">
        <v>310</v>
      </c>
      <c r="D582" s="133" t="s">
        <v>40</v>
      </c>
      <c r="E582" s="134" t="s">
        <v>325</v>
      </c>
      <c r="F582" s="471" t="s">
        <v>247</v>
      </c>
      <c r="G582" s="135" t="str">
        <f>VLOOKUP(A582,Plano_V3!$A$26:$G$768,7,0)</f>
        <v>1. Concluído</v>
      </c>
      <c r="H582" s="135" t="s">
        <v>612</v>
      </c>
      <c r="I582" s="468"/>
      <c r="J582" s="153"/>
      <c r="K582" s="153"/>
      <c r="L582" s="153"/>
      <c r="M582" s="153"/>
      <c r="N582" s="489"/>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8"/>
        <v>modesg_out_empr_info_nfinccm_capex_enblng_algnd</v>
      </c>
      <c r="B583" s="141" t="s">
        <v>26</v>
      </c>
      <c r="C583" s="137" t="s">
        <v>310</v>
      </c>
      <c r="D583" s="133" t="s">
        <v>40</v>
      </c>
      <c r="E583" s="134" t="s">
        <v>325</v>
      </c>
      <c r="F583" s="471" t="s">
        <v>256</v>
      </c>
      <c r="G583" s="135" t="str">
        <f>VLOOKUP(A583,Plano_V3!$A$26:$G$768,7,0)</f>
        <v>1. Concluído</v>
      </c>
      <c r="H583" s="135" t="s">
        <v>612</v>
      </c>
      <c r="I583" s="468"/>
      <c r="J583" s="153"/>
      <c r="K583" s="153"/>
      <c r="L583" s="153"/>
      <c r="M583" s="153"/>
      <c r="N583" s="489"/>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8"/>
        <v>modesg_out_empr_info_nfinccm_capex_own_prfrmnce_algnd</v>
      </c>
      <c r="B584" s="141" t="s">
        <v>26</v>
      </c>
      <c r="C584" s="137" t="s">
        <v>310</v>
      </c>
      <c r="D584" s="133" t="s">
        <v>40</v>
      </c>
      <c r="E584" s="134" t="s">
        <v>325</v>
      </c>
      <c r="F584" s="471" t="s">
        <v>258</v>
      </c>
      <c r="G584" s="135" t="str">
        <f>VLOOKUP(A584,Plano_V3!$A$26:$G$768,7,0)</f>
        <v>1. Concluído</v>
      </c>
      <c r="H584" s="135" t="s">
        <v>612</v>
      </c>
      <c r="I584" s="468"/>
      <c r="J584" s="153"/>
      <c r="K584" s="153"/>
      <c r="L584" s="153"/>
      <c r="M584" s="153"/>
      <c r="N584" s="489"/>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8"/>
        <v>modesg_out_empr_info_nfinccm_capex_trnstn_algnd</v>
      </c>
      <c r="B585" s="141" t="s">
        <v>26</v>
      </c>
      <c r="C585" s="137" t="s">
        <v>310</v>
      </c>
      <c r="D585" s="133" t="s">
        <v>40</v>
      </c>
      <c r="E585" s="134" t="s">
        <v>325</v>
      </c>
      <c r="F585" s="471" t="s">
        <v>257</v>
      </c>
      <c r="G585" s="135" t="str">
        <f>VLOOKUP(A585,Plano_V3!$A$26:$G$768,7,0)</f>
        <v>1. Concluído</v>
      </c>
      <c r="H585" s="135" t="s">
        <v>612</v>
      </c>
      <c r="I585" s="468"/>
      <c r="J585" s="153"/>
      <c r="K585" s="153"/>
      <c r="L585" s="153"/>
      <c r="M585" s="153"/>
      <c r="N585" s="489"/>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8"/>
        <v>modesg_out_empr_info_nfinccm_capex_ttl_elgbl</v>
      </c>
      <c r="B586" s="141" t="s">
        <v>26</v>
      </c>
      <c r="C586" s="137" t="s">
        <v>310</v>
      </c>
      <c r="D586" s="133" t="s">
        <v>40</v>
      </c>
      <c r="E586" s="134" t="s">
        <v>325</v>
      </c>
      <c r="F586" s="471" t="s">
        <v>255</v>
      </c>
      <c r="G586" s="135" t="str">
        <f>VLOOKUP(A586,Plano_V3!$A$26:$G$768,7,0)</f>
        <v>1. Concluído</v>
      </c>
      <c r="H586" s="135" t="s">
        <v>612</v>
      </c>
      <c r="I586" s="468"/>
      <c r="J586" s="153"/>
      <c r="K586" s="153"/>
      <c r="L586" s="153"/>
      <c r="M586" s="153"/>
      <c r="N586" s="489"/>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8"/>
        <v>modesg_out_empr_info_nfinccm_trnvr_enblng_algnd</v>
      </c>
      <c r="B587" s="141" t="s">
        <v>26</v>
      </c>
      <c r="C587" s="137" t="s">
        <v>310</v>
      </c>
      <c r="D587" s="133" t="s">
        <v>40</v>
      </c>
      <c r="E587" s="134" t="s">
        <v>325</v>
      </c>
      <c r="F587" s="471" t="s">
        <v>252</v>
      </c>
      <c r="G587" s="135" t="str">
        <f>VLOOKUP(A587,Plano_V3!$A$26:$G$768,7,0)</f>
        <v>1. Concluído</v>
      </c>
      <c r="H587" s="135" t="s">
        <v>612</v>
      </c>
      <c r="I587" s="468"/>
      <c r="J587" s="153"/>
      <c r="K587" s="153"/>
      <c r="L587" s="153"/>
      <c r="M587" s="153"/>
      <c r="N587" s="489"/>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8"/>
        <v>modesg_out_empr_info_nfinccm_trnvr_own_prfrmnce_algnd</v>
      </c>
      <c r="B588" s="141" t="s">
        <v>26</v>
      </c>
      <c r="C588" s="137" t="s">
        <v>310</v>
      </c>
      <c r="D588" s="133" t="s">
        <v>40</v>
      </c>
      <c r="E588" s="134" t="s">
        <v>325</v>
      </c>
      <c r="F588" s="471" t="s">
        <v>254</v>
      </c>
      <c r="G588" s="135" t="str">
        <f>VLOOKUP(A588,Plano_V3!$A$26:$G$768,7,0)</f>
        <v>1. Concluído</v>
      </c>
      <c r="H588" s="135" t="s">
        <v>612</v>
      </c>
      <c r="I588" s="468"/>
      <c r="J588" s="153"/>
      <c r="K588" s="153"/>
      <c r="L588" s="153"/>
      <c r="M588" s="153"/>
      <c r="N588" s="489"/>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9">E589&amp;F589</f>
        <v>modesg_out_empr_info_nfinccm_trnvr_trnstn_alignd</v>
      </c>
      <c r="B589" s="141" t="s">
        <v>26</v>
      </c>
      <c r="C589" s="137" t="s">
        <v>310</v>
      </c>
      <c r="D589" s="133" t="s">
        <v>40</v>
      </c>
      <c r="E589" s="134" t="s">
        <v>325</v>
      </c>
      <c r="F589" s="471" t="s">
        <v>253</v>
      </c>
      <c r="G589" s="135" t="str">
        <f>VLOOKUP(A589,Plano_V3!$A$26:$G$768,7,0)</f>
        <v>1. Concluído</v>
      </c>
      <c r="H589" s="135" t="s">
        <v>612</v>
      </c>
      <c r="I589" s="468"/>
      <c r="J589" s="153"/>
      <c r="K589" s="153"/>
      <c r="L589" s="153"/>
      <c r="M589" s="153"/>
      <c r="N589" s="489"/>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9"/>
        <v>modesg_out_empr_info_nfinccm_trnvr_ttl_elgbl</v>
      </c>
      <c r="B590" s="141" t="s">
        <v>26</v>
      </c>
      <c r="C590" s="137" t="s">
        <v>310</v>
      </c>
      <c r="D590" s="133" t="s">
        <v>40</v>
      </c>
      <c r="E590" s="134" t="s">
        <v>325</v>
      </c>
      <c r="F590" s="471" t="s">
        <v>251</v>
      </c>
      <c r="G590" s="135" t="str">
        <f>VLOOKUP(A590,Plano_V3!$A$26:$G$768,7,0)</f>
        <v>1. Concluído</v>
      </c>
      <c r="H590" s="135" t="s">
        <v>612</v>
      </c>
      <c r="I590" s="468"/>
      <c r="J590" s="153"/>
      <c r="K590" s="153"/>
      <c r="L590" s="153"/>
      <c r="M590" s="153"/>
      <c r="N590" s="489"/>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9"/>
        <v>modesg_out_empr_info_nfinflg_emprs_excl_paris</v>
      </c>
      <c r="B591" s="141" t="s">
        <v>26</v>
      </c>
      <c r="C591" s="137" t="s">
        <v>310</v>
      </c>
      <c r="D591" s="133" t="s">
        <v>40</v>
      </c>
      <c r="E591" s="134" t="s">
        <v>325</v>
      </c>
      <c r="F591" s="471" t="s">
        <v>327</v>
      </c>
      <c r="G591" s="135" t="str">
        <f>VLOOKUP(A591,Plano_V3!$A$26:$G$768,7,0)</f>
        <v>1. Concluído</v>
      </c>
      <c r="H591" s="135" t="s">
        <v>612</v>
      </c>
      <c r="I591" s="468"/>
      <c r="J591" s="153"/>
      <c r="K591" s="153"/>
      <c r="L591" s="153"/>
      <c r="M591" s="153"/>
      <c r="N591" s="489"/>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9"/>
        <v>modesg_out_empr_info_nfinflg_nfrd</v>
      </c>
      <c r="B592" s="141" t="s">
        <v>26</v>
      </c>
      <c r="C592" s="137" t="s">
        <v>310</v>
      </c>
      <c r="D592" s="133" t="s">
        <v>40</v>
      </c>
      <c r="E592" s="134" t="s">
        <v>325</v>
      </c>
      <c r="F592" s="471" t="s">
        <v>244</v>
      </c>
      <c r="G592" s="135" t="str">
        <f>VLOOKUP(A592,Plano_V3!$A$26:$G$768,7,0)</f>
        <v>1. Concluído</v>
      </c>
      <c r="H592" s="135" t="s">
        <v>612</v>
      </c>
      <c r="I592" s="468"/>
      <c r="J592" s="153"/>
      <c r="K592" s="153"/>
      <c r="L592" s="153"/>
      <c r="M592" s="153"/>
      <c r="N592" s="489"/>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9"/>
        <v>modesg_out_empr_info_nfinorigem_alinhamentos</v>
      </c>
      <c r="B593" s="141" t="s">
        <v>26</v>
      </c>
      <c r="C593" s="137" t="s">
        <v>310</v>
      </c>
      <c r="D593" s="133" t="s">
        <v>40</v>
      </c>
      <c r="E593" s="134" t="s">
        <v>325</v>
      </c>
      <c r="F593" s="471" t="s">
        <v>328</v>
      </c>
      <c r="G593" s="135" t="str">
        <f>VLOOKUP(A593,Plano_V3!$A$26:$G$768,7,0)</f>
        <v>1. Concluído</v>
      </c>
      <c r="H593" s="135" t="s">
        <v>612</v>
      </c>
      <c r="I593" s="468"/>
      <c r="J593" s="153"/>
      <c r="K593" s="153"/>
      <c r="L593" s="153"/>
      <c r="M593" s="153"/>
      <c r="N593" s="489"/>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9"/>
        <v>modesg_out_empr_info_nfinorigem_flg_emprs_excl_paris</v>
      </c>
      <c r="B594" s="141" t="s">
        <v>26</v>
      </c>
      <c r="C594" s="137" t="s">
        <v>310</v>
      </c>
      <c r="D594" s="133" t="s">
        <v>40</v>
      </c>
      <c r="E594" s="134" t="s">
        <v>325</v>
      </c>
      <c r="F594" s="471" t="s">
        <v>329</v>
      </c>
      <c r="G594" s="135" t="str">
        <f>VLOOKUP(A594,Plano_V3!$A$26:$G$768,7,0)</f>
        <v>1. Concluído</v>
      </c>
      <c r="H594" s="135" t="s">
        <v>612</v>
      </c>
      <c r="I594" s="468"/>
      <c r="J594" s="153"/>
      <c r="K594" s="153"/>
      <c r="L594" s="153"/>
      <c r="M594" s="153"/>
      <c r="N594" s="489"/>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9"/>
        <v>modesg_out_empr_info_nfinorigem_flg_nfrd</v>
      </c>
      <c r="B595" s="141" t="s">
        <v>26</v>
      </c>
      <c r="C595" s="137" t="s">
        <v>310</v>
      </c>
      <c r="D595" s="133" t="s">
        <v>40</v>
      </c>
      <c r="E595" s="134" t="s">
        <v>325</v>
      </c>
      <c r="F595" s="471" t="s">
        <v>330</v>
      </c>
      <c r="G595" s="135" t="str">
        <f>VLOOKUP(A595,Plano_V3!$A$26:$G$768,7,0)</f>
        <v>1. Concluído</v>
      </c>
      <c r="H595" s="135" t="s">
        <v>612</v>
      </c>
      <c r="I595" s="468"/>
      <c r="J595" s="153"/>
      <c r="K595" s="153"/>
      <c r="L595" s="153"/>
      <c r="M595" s="153"/>
      <c r="N595" s="489"/>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9"/>
        <v>modesg_out_empr_info_nfinref_date</v>
      </c>
      <c r="B596" s="141" t="s">
        <v>26</v>
      </c>
      <c r="C596" s="137" t="s">
        <v>310</v>
      </c>
      <c r="D596" s="133" t="s">
        <v>40</v>
      </c>
      <c r="E596" s="134" t="s">
        <v>325</v>
      </c>
      <c r="F596" s="471" t="s">
        <v>208</v>
      </c>
      <c r="G596" s="135" t="str">
        <f>VLOOKUP(A596,Plano_V3!$A$26:$G$768,7,0)</f>
        <v>1. Concluído</v>
      </c>
      <c r="H596" s="135" t="s">
        <v>612</v>
      </c>
      <c r="I596" s="468"/>
      <c r="J596" s="153"/>
      <c r="K596" s="153"/>
      <c r="L596" s="153"/>
      <c r="M596" s="153"/>
      <c r="N596" s="489"/>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9"/>
        <v>modesg_out_empr_info_nfinzcliente</v>
      </c>
      <c r="B597" s="141" t="s">
        <v>26</v>
      </c>
      <c r="C597" s="137" t="s">
        <v>310</v>
      </c>
      <c r="D597" s="133" t="s">
        <v>40</v>
      </c>
      <c r="E597" s="134" t="s">
        <v>325</v>
      </c>
      <c r="F597" s="471" t="s">
        <v>209</v>
      </c>
      <c r="G597" s="135" t="str">
        <f>VLOOKUP(A597,Plano_V3!$A$26:$G$768,7,0)</f>
        <v>1. Concluído</v>
      </c>
      <c r="H597" s="135" t="s">
        <v>612</v>
      </c>
      <c r="I597" s="468"/>
      <c r="J597" s="153"/>
      <c r="K597" s="153"/>
      <c r="L597" s="153"/>
      <c r="M597" s="153"/>
      <c r="N597" s="489"/>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9"/>
        <v>modesg_out_emss_vclsn.a.</v>
      </c>
      <c r="B598" s="141" t="s">
        <v>26</v>
      </c>
      <c r="C598" s="137" t="s">
        <v>310</v>
      </c>
      <c r="D598" s="133" t="s">
        <v>36</v>
      </c>
      <c r="E598" s="134" t="s">
        <v>331</v>
      </c>
      <c r="F598" s="471" t="s">
        <v>38</v>
      </c>
      <c r="G598" s="135" t="str">
        <f>VLOOKUP(A598,Plano_V3!$A$26:$G$768,7,0)</f>
        <v>1. Concluído</v>
      </c>
      <c r="H598" s="135" t="s">
        <v>612</v>
      </c>
      <c r="I598" s="468"/>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9"/>
        <v>modesg_out_emss_vclscempbem</v>
      </c>
      <c r="B599" s="141" t="s">
        <v>26</v>
      </c>
      <c r="C599" s="137" t="s">
        <v>310</v>
      </c>
      <c r="D599" s="133" t="s">
        <v>40</v>
      </c>
      <c r="E599" s="134" t="s">
        <v>331</v>
      </c>
      <c r="F599" s="471" t="s">
        <v>313</v>
      </c>
      <c r="G599" s="135" t="str">
        <f>VLOOKUP(A599,Plano_V3!$A$26:$G$768,7,0)</f>
        <v>1. Concluído</v>
      </c>
      <c r="H599" s="135" t="s">
        <v>612</v>
      </c>
      <c r="I599" s="468"/>
      <c r="J599" s="153"/>
      <c r="K599" s="153"/>
      <c r="L599" s="153"/>
      <c r="M599" s="153"/>
      <c r="N599" s="489"/>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9"/>
        <v>modesg_out_emss_vclsckbalbem</v>
      </c>
      <c r="B600" s="141" t="s">
        <v>26</v>
      </c>
      <c r="C600" s="137" t="s">
        <v>310</v>
      </c>
      <c r="D600" s="133" t="s">
        <v>40</v>
      </c>
      <c r="E600" s="134" t="s">
        <v>331</v>
      </c>
      <c r="F600" s="471" t="s">
        <v>314</v>
      </c>
      <c r="G600" s="135" t="str">
        <f>VLOOKUP(A600,Plano_V3!$A$26:$G$768,7,0)</f>
        <v>1. Concluído</v>
      </c>
      <c r="H600" s="135" t="s">
        <v>612</v>
      </c>
      <c r="I600" s="468"/>
      <c r="J600" s="153"/>
      <c r="K600" s="153"/>
      <c r="L600" s="153"/>
      <c r="M600" s="153"/>
      <c r="N600" s="489"/>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9"/>
        <v>modesg_out_emss_vclsckctabem</v>
      </c>
      <c r="B601" s="141" t="s">
        <v>26</v>
      </c>
      <c r="C601" s="137" t="s">
        <v>310</v>
      </c>
      <c r="D601" s="133" t="s">
        <v>40</v>
      </c>
      <c r="E601" s="134" t="s">
        <v>331</v>
      </c>
      <c r="F601" s="471" t="s">
        <v>315</v>
      </c>
      <c r="G601" s="135" t="str">
        <f>VLOOKUP(A601,Plano_V3!$A$26:$G$768,7,0)</f>
        <v>1. Concluído</v>
      </c>
      <c r="H601" s="135" t="s">
        <v>612</v>
      </c>
      <c r="I601" s="468"/>
      <c r="J601" s="153"/>
      <c r="K601" s="153"/>
      <c r="L601" s="153"/>
      <c r="M601" s="153"/>
      <c r="N601" s="489"/>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9"/>
        <v>modesg_out_emss_vclsckrefbem</v>
      </c>
      <c r="B602" s="141" t="s">
        <v>26</v>
      </c>
      <c r="C602" s="137" t="s">
        <v>310</v>
      </c>
      <c r="D602" s="133" t="s">
        <v>40</v>
      </c>
      <c r="E602" s="134" t="s">
        <v>331</v>
      </c>
      <c r="F602" s="471" t="s">
        <v>316</v>
      </c>
      <c r="G602" s="135" t="str">
        <f>VLOOKUP(A602,Plano_V3!$A$26:$G$768,7,0)</f>
        <v>1. Concluído</v>
      </c>
      <c r="H602" s="135" t="s">
        <v>612</v>
      </c>
      <c r="I602" s="468"/>
      <c r="J602" s="153"/>
      <c r="K602" s="153"/>
      <c r="L602" s="153"/>
      <c r="M602" s="153"/>
      <c r="N602" s="489"/>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9"/>
        <v>modesg_out_emss_vclscnsm_co2</v>
      </c>
      <c r="B603" s="141" t="s">
        <v>26</v>
      </c>
      <c r="C603" s="137" t="s">
        <v>310</v>
      </c>
      <c r="D603" s="133" t="s">
        <v>40</v>
      </c>
      <c r="E603" s="134" t="s">
        <v>331</v>
      </c>
      <c r="F603" s="471" t="s">
        <v>188</v>
      </c>
      <c r="G603" s="135" t="str">
        <f>VLOOKUP(A603,Plano_V3!$A$26:$G$768,7,0)</f>
        <v>1. Concluído</v>
      </c>
      <c r="H603" s="135" t="s">
        <v>612</v>
      </c>
      <c r="I603" s="468"/>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9"/>
        <v>modesg_out_emss_vclsorigem_scp1_emss</v>
      </c>
      <c r="B604" s="141" t="s">
        <v>26</v>
      </c>
      <c r="C604" s="137" t="s">
        <v>310</v>
      </c>
      <c r="D604" s="133" t="s">
        <v>40</v>
      </c>
      <c r="E604" s="134" t="s">
        <v>331</v>
      </c>
      <c r="F604" s="471" t="s">
        <v>319</v>
      </c>
      <c r="G604" s="135" t="str">
        <f>VLOOKUP(A604,Plano_V3!$A$26:$G$768,7,0)</f>
        <v>1. Concluído</v>
      </c>
      <c r="H604" s="135" t="s">
        <v>612</v>
      </c>
      <c r="I604" s="468"/>
      <c r="J604" s="142"/>
      <c r="K604" s="142"/>
      <c r="L604" s="153"/>
      <c r="M604" s="153"/>
      <c r="N604" s="142"/>
      <c r="O604" s="142" t="s">
        <v>2354</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9"/>
        <v>modesg_out_emss_vclsorigem_scp2_emss</v>
      </c>
      <c r="B605" s="141" t="s">
        <v>26</v>
      </c>
      <c r="C605" s="137" t="s">
        <v>310</v>
      </c>
      <c r="D605" s="133" t="s">
        <v>40</v>
      </c>
      <c r="E605" s="134" t="s">
        <v>331</v>
      </c>
      <c r="F605" s="471" t="s">
        <v>320</v>
      </c>
      <c r="G605" s="135" t="str">
        <f>VLOOKUP(A605,Plano_V3!$A$26:$G$768,7,0)</f>
        <v>1. Concluído</v>
      </c>
      <c r="H605" s="135" t="s">
        <v>612</v>
      </c>
      <c r="I605" s="468"/>
      <c r="J605" s="142"/>
      <c r="K605" s="142"/>
      <c r="L605" s="153"/>
      <c r="M605" s="153"/>
      <c r="N605" s="142"/>
      <c r="O605" s="142" t="s">
        <v>2354</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9"/>
        <v>modesg_out_emss_vclsorigem_scp3_emss</v>
      </c>
      <c r="B606" s="141" t="s">
        <v>26</v>
      </c>
      <c r="C606" s="137" t="s">
        <v>310</v>
      </c>
      <c r="D606" s="133" t="s">
        <v>40</v>
      </c>
      <c r="E606" s="134" t="s">
        <v>331</v>
      </c>
      <c r="F606" s="471" t="s">
        <v>321</v>
      </c>
      <c r="G606" s="135" t="str">
        <f>VLOOKUP(A606,Plano_V3!$A$26:$G$768,7,0)</f>
        <v>1. Concluído</v>
      </c>
      <c r="H606" s="135" t="s">
        <v>612</v>
      </c>
      <c r="I606" s="468"/>
      <c r="J606" s="142"/>
      <c r="K606" s="142"/>
      <c r="L606" s="153"/>
      <c r="M606" s="153"/>
      <c r="N606" s="142"/>
      <c r="O606" s="142" t="s">
        <v>2354</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9"/>
        <v>modesg_out_emss_vclsref_date</v>
      </c>
      <c r="B607" s="141" t="s">
        <v>26</v>
      </c>
      <c r="C607" s="137" t="s">
        <v>310</v>
      </c>
      <c r="D607" s="133" t="s">
        <v>40</v>
      </c>
      <c r="E607" s="134" t="s">
        <v>331</v>
      </c>
      <c r="F607" s="471" t="s">
        <v>208</v>
      </c>
      <c r="G607" s="135" t="str">
        <f>VLOOKUP(A607,Plano_V3!$A$26:$G$768,7,0)</f>
        <v>1. Concluído</v>
      </c>
      <c r="H607" s="135" t="s">
        <v>612</v>
      </c>
      <c r="I607" s="468"/>
      <c r="J607" s="153"/>
      <c r="K607" s="153"/>
      <c r="L607" s="153"/>
      <c r="M607" s="153"/>
      <c r="N607" s="489"/>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9"/>
        <v>modesg_out_emss_vclsscp1_emss</v>
      </c>
      <c r="B608" s="141" t="s">
        <v>26</v>
      </c>
      <c r="C608" s="137" t="s">
        <v>310</v>
      </c>
      <c r="D608" s="133" t="s">
        <v>40</v>
      </c>
      <c r="E608" s="134" t="s">
        <v>331</v>
      </c>
      <c r="F608" s="471" t="s">
        <v>285</v>
      </c>
      <c r="G608" s="135" t="str">
        <f>VLOOKUP(A608,Plano_V3!$A$26:$G$768,7,0)</f>
        <v>1. Concluído</v>
      </c>
      <c r="H608" s="135" t="s">
        <v>612</v>
      </c>
      <c r="I608" s="468"/>
      <c r="J608" s="142"/>
      <c r="K608" s="142"/>
      <c r="L608" s="153"/>
      <c r="M608" s="153"/>
      <c r="N608" s="142"/>
      <c r="O608" s="142" t="s">
        <v>2354</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9"/>
        <v>modesg_out_emss_vclsscp2_emss</v>
      </c>
      <c r="B609" s="141" t="s">
        <v>26</v>
      </c>
      <c r="C609" s="137" t="s">
        <v>310</v>
      </c>
      <c r="D609" s="133" t="s">
        <v>40</v>
      </c>
      <c r="E609" s="134" t="s">
        <v>331</v>
      </c>
      <c r="F609" s="471" t="s">
        <v>286</v>
      </c>
      <c r="G609" s="135" t="str">
        <f>VLOOKUP(A609,Plano_V3!$A$26:$G$768,7,0)</f>
        <v>1. Concluído</v>
      </c>
      <c r="H609" s="135" t="s">
        <v>612</v>
      </c>
      <c r="I609" s="468"/>
      <c r="J609" s="142"/>
      <c r="K609" s="142"/>
      <c r="L609" s="153"/>
      <c r="M609" s="153"/>
      <c r="N609" s="142"/>
      <c r="O609" s="142" t="s">
        <v>2354</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9"/>
        <v>modesg_out_emss_vclsscp3_emss</v>
      </c>
      <c r="B610" s="141" t="s">
        <v>26</v>
      </c>
      <c r="C610" s="137" t="s">
        <v>310</v>
      </c>
      <c r="D610" s="133" t="s">
        <v>40</v>
      </c>
      <c r="E610" s="134" t="s">
        <v>331</v>
      </c>
      <c r="F610" s="471" t="s">
        <v>287</v>
      </c>
      <c r="G610" s="135" t="str">
        <f>VLOOKUP(A610,Plano_V3!$A$26:$G$768,7,0)</f>
        <v>1. Concluído</v>
      </c>
      <c r="H610" s="135" t="s">
        <v>612</v>
      </c>
      <c r="I610" s="468"/>
      <c r="J610" s="142"/>
      <c r="K610" s="142"/>
      <c r="L610" s="153"/>
      <c r="M610" s="153"/>
      <c r="N610" s="142"/>
      <c r="O610" s="142" t="s">
        <v>2354</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9"/>
        <v>modesg_out_emss_vclsunidade_funcional_scp1_emss</v>
      </c>
      <c r="B611" s="141" t="s">
        <v>26</v>
      </c>
      <c r="C611" s="137" t="s">
        <v>310</v>
      </c>
      <c r="D611" s="133" t="s">
        <v>40</v>
      </c>
      <c r="E611" s="134" t="s">
        <v>331</v>
      </c>
      <c r="F611" s="471" t="s">
        <v>322</v>
      </c>
      <c r="G611" s="135" t="str">
        <f>VLOOKUP(A611,Plano_V3!$A$26:$G$768,7,0)</f>
        <v>1. Concluído</v>
      </c>
      <c r="H611" s="135" t="s">
        <v>612</v>
      </c>
      <c r="I611" s="468"/>
      <c r="J611" s="153"/>
      <c r="K611" s="153"/>
      <c r="L611" s="153"/>
      <c r="M611" s="153"/>
      <c r="N611" s="489"/>
      <c r="O611" s="142" t="s">
        <v>2354</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9"/>
        <v>modesg_out_emss_vclsunidade_funcional_scp2_emss</v>
      </c>
      <c r="B612" s="141" t="s">
        <v>26</v>
      </c>
      <c r="C612" s="137" t="s">
        <v>310</v>
      </c>
      <c r="D612" s="133" t="s">
        <v>40</v>
      </c>
      <c r="E612" s="134" t="s">
        <v>331</v>
      </c>
      <c r="F612" s="471" t="s">
        <v>323</v>
      </c>
      <c r="G612" s="135" t="str">
        <f>VLOOKUP(A612,Plano_V3!$A$26:$G$768,7,0)</f>
        <v>1. Concluído</v>
      </c>
      <c r="H612" s="135" t="s">
        <v>612</v>
      </c>
      <c r="I612" s="468"/>
      <c r="J612" s="153"/>
      <c r="K612" s="153"/>
      <c r="L612" s="153"/>
      <c r="M612" s="153"/>
      <c r="N612" s="489"/>
      <c r="O612" s="142" t="s">
        <v>2354</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9"/>
        <v>modesg_out_emss_vclsunidade_funcional_scp3_emss</v>
      </c>
      <c r="B613" s="141" t="s">
        <v>26</v>
      </c>
      <c r="C613" s="137" t="s">
        <v>310</v>
      </c>
      <c r="D613" s="133" t="s">
        <v>40</v>
      </c>
      <c r="E613" s="134" t="s">
        <v>331</v>
      </c>
      <c r="F613" s="471" t="s">
        <v>324</v>
      </c>
      <c r="G613" s="135" t="str">
        <f>VLOOKUP(A613,Plano_V3!$A$26:$G$768,7,0)</f>
        <v>1. Concluído</v>
      </c>
      <c r="H613" s="135" t="s">
        <v>612</v>
      </c>
      <c r="I613" s="468"/>
      <c r="J613" s="153"/>
      <c r="K613" s="153"/>
      <c r="L613" s="153"/>
      <c r="M613" s="153"/>
      <c r="N613" s="489"/>
      <c r="O613" s="142" t="s">
        <v>2354</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hidden="1" customHeight="1">
      <c r="A614" s="29" t="str">
        <f t="shared" si="9"/>
        <v>modesg_out_sfics_taxon_europeiaordem</v>
      </c>
      <c r="B614" s="141" t="s">
        <v>26</v>
      </c>
      <c r="C614" s="137" t="s">
        <v>310</v>
      </c>
      <c r="D614" s="133" t="s">
        <v>40</v>
      </c>
      <c r="E614" s="134" t="s">
        <v>2080</v>
      </c>
      <c r="F614" s="471" t="s">
        <v>211</v>
      </c>
      <c r="G614" s="135" t="str">
        <f>VLOOKUP(A614,Plano_V3!$A$26:$G$768,7,0)</f>
        <v>0. Cancelado</v>
      </c>
      <c r="H614" s="135" t="s">
        <v>611</v>
      </c>
      <c r="I614" s="468"/>
      <c r="J614" s="482"/>
      <c r="K614" s="356" t="s">
        <v>2454</v>
      </c>
      <c r="L614" s="490">
        <v>45747</v>
      </c>
      <c r="M614" s="490">
        <v>45763</v>
      </c>
      <c r="N614" s="482"/>
      <c r="O614" s="482"/>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9"/>
        <v>lt003_entitytxnmy_elgbl_capex_ccm</v>
      </c>
      <c r="B615" s="141" t="s">
        <v>26</v>
      </c>
      <c r="C615" s="137" t="s">
        <v>26</v>
      </c>
      <c r="D615" s="133" t="s">
        <v>40</v>
      </c>
      <c r="E615" s="136" t="s">
        <v>335</v>
      </c>
      <c r="F615" s="475" t="s">
        <v>338</v>
      </c>
      <c r="G615" s="135" t="str">
        <f>VLOOKUP(A615,Plano_V3!$A$26:$G$768,7,0)</f>
        <v>1. Concluído</v>
      </c>
      <c r="H615" s="135" t="s">
        <v>612</v>
      </c>
      <c r="I615" s="468"/>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9"/>
        <v>lt003_entitytxnmy_elgbl_trnvr_ccm</v>
      </c>
      <c r="B616" s="141" t="s">
        <v>26</v>
      </c>
      <c r="C616" s="137" t="s">
        <v>26</v>
      </c>
      <c r="D616" s="133" t="s">
        <v>40</v>
      </c>
      <c r="E616" s="136" t="s">
        <v>335</v>
      </c>
      <c r="F616" s="475" t="s">
        <v>339</v>
      </c>
      <c r="G616" s="135" t="str">
        <f>VLOOKUP(A616,Plano_V3!$A$26:$G$768,7,0)</f>
        <v>1. Concluído</v>
      </c>
      <c r="H616" s="135" t="s">
        <v>612</v>
      </c>
      <c r="I616" s="468"/>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9"/>
        <v>lt003_entitytxnmy_elgbl_capex_cca</v>
      </c>
      <c r="B617" s="141" t="s">
        <v>26</v>
      </c>
      <c r="C617" s="137" t="s">
        <v>26</v>
      </c>
      <c r="D617" s="133" t="s">
        <v>40</v>
      </c>
      <c r="E617" s="136" t="s">
        <v>335</v>
      </c>
      <c r="F617" s="475" t="s">
        <v>340</v>
      </c>
      <c r="G617" s="135" t="str">
        <f>VLOOKUP(A617,Plano_V3!$A$26:$G$768,7,0)</f>
        <v>1. Concluído</v>
      </c>
      <c r="H617" s="135" t="s">
        <v>612</v>
      </c>
      <c r="I617" s="468"/>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9"/>
        <v>lt003_entitytxnmy_elgbl_trnvr_cca</v>
      </c>
      <c r="B618" s="141" t="s">
        <v>26</v>
      </c>
      <c r="C618" s="137" t="s">
        <v>26</v>
      </c>
      <c r="D618" s="133" t="s">
        <v>40</v>
      </c>
      <c r="E618" s="136" t="s">
        <v>335</v>
      </c>
      <c r="F618" s="475" t="s">
        <v>341</v>
      </c>
      <c r="G618" s="135" t="str">
        <f>VLOOKUP(A618,Plano_V3!$A$26:$G$768,7,0)</f>
        <v>1. Concluído</v>
      </c>
      <c r="H618" s="135" t="s">
        <v>612</v>
      </c>
      <c r="I618" s="468"/>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9"/>
        <v>lt003_entityenblng_capex_ccm</v>
      </c>
      <c r="B619" s="141" t="s">
        <v>26</v>
      </c>
      <c r="C619" s="137" t="s">
        <v>26</v>
      </c>
      <c r="D619" s="133" t="s">
        <v>40</v>
      </c>
      <c r="E619" s="136" t="s">
        <v>335</v>
      </c>
      <c r="F619" s="475" t="s">
        <v>342</v>
      </c>
      <c r="G619" s="135" t="str">
        <f>VLOOKUP(A619,Plano_V3!$A$26:$G$768,7,0)</f>
        <v>1. Concluído</v>
      </c>
      <c r="H619" s="135" t="s">
        <v>612</v>
      </c>
      <c r="I619" s="468"/>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9"/>
        <v>lt003_entityenblng_capex_cca</v>
      </c>
      <c r="B620" s="141" t="s">
        <v>26</v>
      </c>
      <c r="C620" s="137" t="s">
        <v>26</v>
      </c>
      <c r="D620" s="133" t="s">
        <v>40</v>
      </c>
      <c r="E620" s="136" t="s">
        <v>335</v>
      </c>
      <c r="F620" s="475" t="s">
        <v>343</v>
      </c>
      <c r="G620" s="135" t="str">
        <f>VLOOKUP(A620,Plano_V3!$A$26:$G$768,7,0)</f>
        <v>1. Concluído</v>
      </c>
      <c r="H620" s="135" t="s">
        <v>612</v>
      </c>
      <c r="I620" s="468"/>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9"/>
        <v>lt003_entitytrnstnl_capex</v>
      </c>
      <c r="B621" s="141" t="s">
        <v>26</v>
      </c>
      <c r="C621" s="137" t="s">
        <v>26</v>
      </c>
      <c r="D621" s="133" t="s">
        <v>40</v>
      </c>
      <c r="E621" s="136" t="s">
        <v>335</v>
      </c>
      <c r="F621" s="475" t="s">
        <v>344</v>
      </c>
      <c r="G621" s="135" t="str">
        <f>VLOOKUP(A621,Plano_V3!$A$26:$G$768,7,0)</f>
        <v>1. Concluído</v>
      </c>
      <c r="H621" s="135" t="s">
        <v>612</v>
      </c>
      <c r="I621" s="468"/>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9"/>
        <v>lt003_entitypure_capex_ccm</v>
      </c>
      <c r="B622" s="141" t="s">
        <v>26</v>
      </c>
      <c r="C622" s="137" t="s">
        <v>26</v>
      </c>
      <c r="D622" s="133" t="s">
        <v>40</v>
      </c>
      <c r="E622" s="136" t="s">
        <v>335</v>
      </c>
      <c r="F622" s="475" t="s">
        <v>345</v>
      </c>
      <c r="G622" s="135" t="str">
        <f>VLOOKUP(A622,Plano_V3!$A$26:$G$768,7,0)</f>
        <v>1. Concluído</v>
      </c>
      <c r="H622" s="135" t="s">
        <v>612</v>
      </c>
      <c r="I622" s="468"/>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9"/>
        <v>lt003_entitypure_capex_cca</v>
      </c>
      <c r="B623" s="141" t="s">
        <v>26</v>
      </c>
      <c r="C623" s="137" t="s">
        <v>26</v>
      </c>
      <c r="D623" s="133" t="s">
        <v>40</v>
      </c>
      <c r="E623" s="136" t="s">
        <v>335</v>
      </c>
      <c r="F623" s="475" t="s">
        <v>346</v>
      </c>
      <c r="G623" s="135" t="str">
        <f>VLOOKUP(A623,Plano_V3!$A$26:$G$768,7,0)</f>
        <v>1. Concluído</v>
      </c>
      <c r="H623" s="135" t="s">
        <v>612</v>
      </c>
      <c r="I623" s="468"/>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9"/>
        <v>lt003_entityenblng_trnvr_ccm</v>
      </c>
      <c r="B624" s="141" t="s">
        <v>26</v>
      </c>
      <c r="C624" s="137" t="s">
        <v>26</v>
      </c>
      <c r="D624" s="133" t="s">
        <v>40</v>
      </c>
      <c r="E624" s="136" t="s">
        <v>335</v>
      </c>
      <c r="F624" s="475" t="s">
        <v>347</v>
      </c>
      <c r="G624" s="135" t="str">
        <f>VLOOKUP(A624,Plano_V3!$A$26:$G$768,7,0)</f>
        <v>1. Concluído</v>
      </c>
      <c r="H624" s="135" t="s">
        <v>612</v>
      </c>
      <c r="I624" s="468"/>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9"/>
        <v>lt003_entityenblng_trnvr_cca</v>
      </c>
      <c r="B625" s="141" t="s">
        <v>26</v>
      </c>
      <c r="C625" s="137" t="s">
        <v>26</v>
      </c>
      <c r="D625" s="133" t="s">
        <v>40</v>
      </c>
      <c r="E625" s="136" t="s">
        <v>335</v>
      </c>
      <c r="F625" s="475" t="s">
        <v>348</v>
      </c>
      <c r="G625" s="135" t="str">
        <f>VLOOKUP(A625,Plano_V3!$A$26:$G$768,7,0)</f>
        <v>1. Concluído</v>
      </c>
      <c r="H625" s="135" t="s">
        <v>612</v>
      </c>
      <c r="I625" s="468"/>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9"/>
        <v>lt003_entitytrnstnl_trnvr</v>
      </c>
      <c r="B626" s="141" t="s">
        <v>26</v>
      </c>
      <c r="C626" s="137" t="s">
        <v>26</v>
      </c>
      <c r="D626" s="133" t="s">
        <v>40</v>
      </c>
      <c r="E626" s="136" t="s">
        <v>335</v>
      </c>
      <c r="F626" s="475" t="s">
        <v>349</v>
      </c>
      <c r="G626" s="135" t="str">
        <f>VLOOKUP(A626,Plano_V3!$A$26:$G$768,7,0)</f>
        <v>1. Concluído</v>
      </c>
      <c r="H626" s="135" t="s">
        <v>612</v>
      </c>
      <c r="I626" s="468"/>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9"/>
        <v>lt003_entitypure_trnvr_ccm</v>
      </c>
      <c r="B627" s="141" t="s">
        <v>26</v>
      </c>
      <c r="C627" s="137" t="s">
        <v>26</v>
      </c>
      <c r="D627" s="133" t="s">
        <v>40</v>
      </c>
      <c r="E627" s="136" t="s">
        <v>335</v>
      </c>
      <c r="F627" s="475" t="s">
        <v>350</v>
      </c>
      <c r="G627" s="135" t="str">
        <f>VLOOKUP(A627,Plano_V3!$A$26:$G$768,7,0)</f>
        <v>1. Concluído</v>
      </c>
      <c r="H627" s="135" t="s">
        <v>612</v>
      </c>
      <c r="I627" s="468"/>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9"/>
        <v>lt003_entitypure_trnvr_cca</v>
      </c>
      <c r="B628" s="141" t="s">
        <v>26</v>
      </c>
      <c r="C628" s="137" t="s">
        <v>26</v>
      </c>
      <c r="D628" s="133" t="s">
        <v>40</v>
      </c>
      <c r="E628" s="136" t="s">
        <v>335</v>
      </c>
      <c r="F628" s="475" t="s">
        <v>351</v>
      </c>
      <c r="G628" s="135" t="str">
        <f>VLOOKUP(A628,Plano_V3!$A$26:$G$768,7,0)</f>
        <v>1. Concluído</v>
      </c>
      <c r="H628" s="135" t="s">
        <v>612</v>
      </c>
      <c r="I628" s="468"/>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9"/>
        <v>lt003_entityflg_nfrd_applcblty</v>
      </c>
      <c r="B629" s="141" t="s">
        <v>26</v>
      </c>
      <c r="C629" s="137" t="s">
        <v>26</v>
      </c>
      <c r="D629" s="133" t="s">
        <v>40</v>
      </c>
      <c r="E629" s="136" t="s">
        <v>335</v>
      </c>
      <c r="F629" s="475" t="s">
        <v>352</v>
      </c>
      <c r="G629" s="135" t="str">
        <f>VLOOKUP(A629,Plano_V3!$A$26:$G$768,7,0)</f>
        <v>1. Concluído</v>
      </c>
      <c r="H629" s="135" t="s">
        <v>612</v>
      </c>
      <c r="I629" s="468"/>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9"/>
        <v>lt003_entitycntrprty_emssns_scp1</v>
      </c>
      <c r="B630" s="141" t="s">
        <v>26</v>
      </c>
      <c r="C630" s="137" t="s">
        <v>26</v>
      </c>
      <c r="D630" s="133" t="s">
        <v>40</v>
      </c>
      <c r="E630" s="136" t="s">
        <v>335</v>
      </c>
      <c r="F630" s="475" t="s">
        <v>353</v>
      </c>
      <c r="G630" s="135" t="str">
        <f>VLOOKUP(A630,Plano_V3!$A$26:$G$768,7,0)</f>
        <v>1. Concluído</v>
      </c>
      <c r="H630" s="135" t="s">
        <v>612</v>
      </c>
      <c r="I630" s="468"/>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9"/>
        <v>lt003_entitycntrprty_emssns_scp2</v>
      </c>
      <c r="B631" s="141" t="s">
        <v>26</v>
      </c>
      <c r="C631" s="137" t="s">
        <v>26</v>
      </c>
      <c r="D631" s="133" t="s">
        <v>40</v>
      </c>
      <c r="E631" s="136" t="s">
        <v>335</v>
      </c>
      <c r="F631" s="475" t="s">
        <v>354</v>
      </c>
      <c r="G631" s="135" t="str">
        <f>VLOOKUP(A631,Plano_V3!$A$26:$G$768,7,0)</f>
        <v>1. Concluído</v>
      </c>
      <c r="H631" s="135" t="s">
        <v>612</v>
      </c>
      <c r="I631" s="468"/>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9"/>
        <v>lt003_entitycntrprty_emssns_scp3</v>
      </c>
      <c r="B632" s="141" t="s">
        <v>26</v>
      </c>
      <c r="C632" s="137" t="s">
        <v>26</v>
      </c>
      <c r="D632" s="133" t="s">
        <v>40</v>
      </c>
      <c r="E632" s="136" t="s">
        <v>335</v>
      </c>
      <c r="F632" s="475" t="s">
        <v>355</v>
      </c>
      <c r="G632" s="135" t="str">
        <f>VLOOKUP(A632,Plano_V3!$A$26:$G$768,7,0)</f>
        <v>1. Concluído</v>
      </c>
      <c r="H632" s="135" t="s">
        <v>612</v>
      </c>
      <c r="I632" s="468"/>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9"/>
        <v>lt003_entityflg_excldd_eu_prs_algnd_bnchmrk</v>
      </c>
      <c r="B633" s="141" t="s">
        <v>26</v>
      </c>
      <c r="C633" s="137" t="s">
        <v>26</v>
      </c>
      <c r="D633" s="133" t="s">
        <v>40</v>
      </c>
      <c r="E633" s="136" t="s">
        <v>335</v>
      </c>
      <c r="F633" s="475" t="s">
        <v>356</v>
      </c>
      <c r="G633" s="135" t="str">
        <f>VLOOKUP(A633,Plano_V3!$A$26:$G$768,7,0)</f>
        <v>1. Concluído</v>
      </c>
      <c r="H633" s="135" t="s">
        <v>612</v>
      </c>
      <c r="I633" s="468"/>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9"/>
        <v>lt003_entitypst_cd</v>
      </c>
      <c r="B634" s="141" t="s">
        <v>26</v>
      </c>
      <c r="C634" s="137" t="s">
        <v>26</v>
      </c>
      <c r="D634" s="133" t="s">
        <v>40</v>
      </c>
      <c r="E634" s="136" t="s">
        <v>335</v>
      </c>
      <c r="F634" s="475" t="s">
        <v>359</v>
      </c>
      <c r="G634" s="481" t="str">
        <f>VLOOKUP(A634,Plano_V3!$A$26:$G$768,7,0)</f>
        <v>1. Concluído</v>
      </c>
      <c r="H634" s="135" t="s">
        <v>612</v>
      </c>
      <c r="I634" s="468"/>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9"/>
        <v>lt003_entityttl_lblty</v>
      </c>
      <c r="B635" s="141" t="s">
        <v>26</v>
      </c>
      <c r="C635" s="137" t="s">
        <v>26</v>
      </c>
      <c r="D635" s="133" t="s">
        <v>40</v>
      </c>
      <c r="E635" s="136" t="s">
        <v>335</v>
      </c>
      <c r="F635" s="475" t="s">
        <v>361</v>
      </c>
      <c r="G635" s="135" t="str">
        <f>VLOOKUP(A635,Plano_V3!$A$26:$G$768,7,0)</f>
        <v>1. Concluído</v>
      </c>
      <c r="H635" s="135" t="s">
        <v>612</v>
      </c>
      <c r="I635" s="468"/>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9"/>
        <v>lt003_entityisin</v>
      </c>
      <c r="B636" s="141" t="s">
        <v>26</v>
      </c>
      <c r="C636" s="137" t="s">
        <v>26</v>
      </c>
      <c r="D636" s="133" t="s">
        <v>40</v>
      </c>
      <c r="E636" s="136" t="s">
        <v>335</v>
      </c>
      <c r="F636" s="475" t="s">
        <v>238</v>
      </c>
      <c r="G636" s="135" t="str">
        <f>VLOOKUP(A636,Plano_V3!$A$26:$G$768,7,0)</f>
        <v>1. Concluído</v>
      </c>
      <c r="H636" s="135" t="s">
        <v>612</v>
      </c>
      <c r="I636" s="468"/>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9"/>
        <v>lt003_entitygrp_annl_trnvr_le</v>
      </c>
      <c r="B637" s="141" t="s">
        <v>26</v>
      </c>
      <c r="C637" s="137" t="s">
        <v>26</v>
      </c>
      <c r="D637" s="133" t="s">
        <v>40</v>
      </c>
      <c r="E637" s="136" t="s">
        <v>335</v>
      </c>
      <c r="F637" s="475" t="s">
        <v>362</v>
      </c>
      <c r="G637" s="135" t="str">
        <f>VLOOKUP(A637,Plano_V3!$A$26:$G$768,7,0)</f>
        <v>1. Concluído</v>
      </c>
      <c r="H637" s="135" t="s">
        <v>612</v>
      </c>
      <c r="I637" s="468"/>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9"/>
        <v>lt003_entitygrp_ttl_lblty</v>
      </c>
      <c r="B638" s="141" t="s">
        <v>26</v>
      </c>
      <c r="C638" s="137" t="s">
        <v>26</v>
      </c>
      <c r="D638" s="133" t="s">
        <v>40</v>
      </c>
      <c r="E638" s="136" t="s">
        <v>335</v>
      </c>
      <c r="F638" s="475" t="s">
        <v>363</v>
      </c>
      <c r="G638" s="135" t="str">
        <f>VLOOKUP(A638,Plano_V3!$A$26:$G$768,7,0)</f>
        <v>1. Concluído</v>
      </c>
      <c r="H638" s="135" t="s">
        <v>612</v>
      </c>
      <c r="I638" s="468"/>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9"/>
        <v>lt003_entityflg_grp_nfrd_applcblty</v>
      </c>
      <c r="B639" s="141" t="s">
        <v>26</v>
      </c>
      <c r="C639" s="137" t="s">
        <v>26</v>
      </c>
      <c r="D639" s="133" t="s">
        <v>40</v>
      </c>
      <c r="E639" s="136" t="s">
        <v>335</v>
      </c>
      <c r="F639" s="475" t="s">
        <v>364</v>
      </c>
      <c r="G639" s="135" t="str">
        <f>VLOOKUP(A639,Plano_V3!$A$26:$G$768,7,0)</f>
        <v>1. Concluído</v>
      </c>
      <c r="H639" s="135" t="s">
        <v>612</v>
      </c>
      <c r="I639" s="468"/>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9"/>
        <v>lt003_entitygrp_emssns_scp1</v>
      </c>
      <c r="B640" s="141" t="s">
        <v>26</v>
      </c>
      <c r="C640" s="137" t="s">
        <v>26</v>
      </c>
      <c r="D640" s="133" t="s">
        <v>40</v>
      </c>
      <c r="E640" s="136" t="s">
        <v>335</v>
      </c>
      <c r="F640" s="475" t="s">
        <v>365</v>
      </c>
      <c r="G640" s="135" t="str">
        <f>VLOOKUP(A640,Plano_V3!$A$26:$G$768,7,0)</f>
        <v>1. Concluído</v>
      </c>
      <c r="H640" s="135" t="s">
        <v>612</v>
      </c>
      <c r="I640" s="468"/>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9"/>
        <v>lt003_entitygrp_emssns_scp2</v>
      </c>
      <c r="B641" s="141" t="s">
        <v>26</v>
      </c>
      <c r="C641" s="137" t="s">
        <v>26</v>
      </c>
      <c r="D641" s="133" t="s">
        <v>40</v>
      </c>
      <c r="E641" s="136" t="s">
        <v>335</v>
      </c>
      <c r="F641" s="475" t="s">
        <v>366</v>
      </c>
      <c r="G641" s="135" t="str">
        <f>VLOOKUP(A641,Plano_V3!$A$26:$G$768,7,0)</f>
        <v>1. Concluído</v>
      </c>
      <c r="H641" s="135" t="s">
        <v>612</v>
      </c>
      <c r="I641" s="468"/>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9"/>
        <v>lt003_entitygrp_emssns_scp3</v>
      </c>
      <c r="B642" s="141" t="s">
        <v>26</v>
      </c>
      <c r="C642" s="137" t="s">
        <v>26</v>
      </c>
      <c r="D642" s="133" t="s">
        <v>40</v>
      </c>
      <c r="E642" s="136" t="s">
        <v>335</v>
      </c>
      <c r="F642" s="475" t="s">
        <v>367</v>
      </c>
      <c r="G642" s="135" t="str">
        <f>VLOOKUP(A642,Plano_V3!$A$26:$G$768,7,0)</f>
        <v>1. Concluído</v>
      </c>
      <c r="H642" s="135" t="s">
        <v>612</v>
      </c>
      <c r="I642" s="468"/>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9"/>
        <v>lt004_protectiontyp_epc_lbl</v>
      </c>
      <c r="B643" s="141" t="s">
        <v>26</v>
      </c>
      <c r="C643" s="137" t="s">
        <v>26</v>
      </c>
      <c r="D643" s="133" t="s">
        <v>40</v>
      </c>
      <c r="E643" s="136" t="s">
        <v>368</v>
      </c>
      <c r="F643" s="475" t="s">
        <v>371</v>
      </c>
      <c r="G643" s="135" t="str">
        <f>VLOOKUP(A643,Plano_V3!$A$26:$G$768,7,0)</f>
        <v>1. Concluído</v>
      </c>
      <c r="H643" s="135" t="s">
        <v>612</v>
      </c>
      <c r="I643" s="468"/>
      <c r="J643" s="142"/>
      <c r="K643" s="142"/>
      <c r="L643" s="153"/>
      <c r="M643" s="153"/>
      <c r="N643" s="142"/>
      <c r="O643" s="142" t="s">
        <v>2354</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9"/>
        <v>lt004_protectionepc_lbl</v>
      </c>
      <c r="B644" s="141" t="s">
        <v>26</v>
      </c>
      <c r="C644" s="137" t="s">
        <v>26</v>
      </c>
      <c r="D644" s="133" t="s">
        <v>40</v>
      </c>
      <c r="E644" s="136" t="s">
        <v>368</v>
      </c>
      <c r="F644" s="475" t="s">
        <v>372</v>
      </c>
      <c r="G644" s="135" t="str">
        <f>VLOOKUP(A644,Plano_V3!$A$26:$G$768,7,0)</f>
        <v>1. Concluído</v>
      </c>
      <c r="H644" s="135" t="s">
        <v>612</v>
      </c>
      <c r="I644" s="468"/>
      <c r="J644" s="142"/>
      <c r="K644" s="142"/>
      <c r="L644" s="153"/>
      <c r="M644" s="153"/>
      <c r="N644" s="142"/>
      <c r="O644" s="142" t="s">
        <v>2354</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9"/>
        <v>lt004_protectionemssns_scp1_prtctn</v>
      </c>
      <c r="B645" s="141" t="s">
        <v>26</v>
      </c>
      <c r="C645" s="137" t="s">
        <v>26</v>
      </c>
      <c r="D645" s="133" t="s">
        <v>40</v>
      </c>
      <c r="E645" s="136" t="s">
        <v>368</v>
      </c>
      <c r="F645" s="475" t="s">
        <v>373</v>
      </c>
      <c r="G645" s="304" t="str">
        <f>VLOOKUP(A645,Plano_V3!$A$26:$G$768,7,0)</f>
        <v>1. Concluído</v>
      </c>
      <c r="H645" s="135" t="s">
        <v>612</v>
      </c>
      <c r="I645" s="468"/>
      <c r="J645" s="142"/>
      <c r="K645" s="142"/>
      <c r="L645" s="153"/>
      <c r="M645" s="153"/>
      <c r="N645" s="142"/>
      <c r="O645" s="142" t="s">
        <v>2354</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9"/>
        <v>lt004_protectionemssns_scp2_prtctn</v>
      </c>
      <c r="B646" s="141" t="s">
        <v>26</v>
      </c>
      <c r="C646" s="137" t="s">
        <v>26</v>
      </c>
      <c r="D646" s="133" t="s">
        <v>40</v>
      </c>
      <c r="E646" s="136" t="s">
        <v>368</v>
      </c>
      <c r="F646" s="475" t="s">
        <v>374</v>
      </c>
      <c r="G646" s="304" t="str">
        <f>VLOOKUP(A646,Plano_V3!$A$26:$G$768,7,0)</f>
        <v>1. Concluído</v>
      </c>
      <c r="H646" s="135" t="s">
        <v>612</v>
      </c>
      <c r="I646" s="468"/>
      <c r="J646" s="142"/>
      <c r="K646" s="142"/>
      <c r="L646" s="153"/>
      <c r="M646" s="153"/>
      <c r="N646" s="142"/>
      <c r="O646" s="142" t="s">
        <v>2354</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9"/>
        <v>lt004_protectionemssns_scp3_prtctn</v>
      </c>
      <c r="B647" s="141" t="s">
        <v>26</v>
      </c>
      <c r="C647" s="137" t="s">
        <v>26</v>
      </c>
      <c r="D647" s="133" t="s">
        <v>40</v>
      </c>
      <c r="E647" s="136" t="s">
        <v>368</v>
      </c>
      <c r="F647" s="475" t="s">
        <v>375</v>
      </c>
      <c r="G647" s="304" t="str">
        <f>VLOOKUP(A647,Plano_V3!$A$26:$G$768,7,0)</f>
        <v>1. Concluído</v>
      </c>
      <c r="H647" s="135" t="s">
        <v>612</v>
      </c>
      <c r="I647" s="468"/>
      <c r="J647" s="142"/>
      <c r="K647" s="142"/>
      <c r="L647" s="153"/>
      <c r="M647" s="153"/>
      <c r="N647" s="142"/>
      <c r="O647" s="142" t="s">
        <v>2354</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9"/>
        <v>lt004_protectionmthd_usd_prtctn_scp_1</v>
      </c>
      <c r="B648" s="141" t="s">
        <v>26</v>
      </c>
      <c r="C648" s="137" t="s">
        <v>26</v>
      </c>
      <c r="D648" s="133" t="s">
        <v>40</v>
      </c>
      <c r="E648" s="136" t="s">
        <v>368</v>
      </c>
      <c r="F648" s="475" t="s">
        <v>376</v>
      </c>
      <c r="G648" s="304" t="str">
        <f>VLOOKUP(A648,Plano_V3!$A$26:$G$768,7,0)</f>
        <v>1. Concluído</v>
      </c>
      <c r="H648" s="135" t="s">
        <v>612</v>
      </c>
      <c r="I648" s="468"/>
      <c r="J648" s="142"/>
      <c r="K648" s="142"/>
      <c r="L648" s="153"/>
      <c r="M648" s="153"/>
      <c r="N648" s="142"/>
      <c r="O648" s="142" t="s">
        <v>2354</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9"/>
        <v>lt004_protectionmthd_usd_prtctn_scp_2</v>
      </c>
      <c r="B649" s="141" t="s">
        <v>26</v>
      </c>
      <c r="C649" s="137" t="s">
        <v>26</v>
      </c>
      <c r="D649" s="133" t="s">
        <v>40</v>
      </c>
      <c r="E649" s="136" t="s">
        <v>368</v>
      </c>
      <c r="F649" s="475" t="s">
        <v>377</v>
      </c>
      <c r="G649" s="304" t="str">
        <f>VLOOKUP(A649,Plano_V3!$A$26:$G$768,7,0)</f>
        <v>1. Concluído</v>
      </c>
      <c r="H649" s="135" t="s">
        <v>612</v>
      </c>
      <c r="I649" s="468"/>
      <c r="J649" s="142"/>
      <c r="K649" s="142"/>
      <c r="L649" s="153"/>
      <c r="M649" s="153"/>
      <c r="N649" s="142"/>
      <c r="O649" s="142" t="s">
        <v>2354</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9"/>
        <v>lt004_protectionmthd_usd_prtctn_scp_3</v>
      </c>
      <c r="B650" s="141" t="s">
        <v>26</v>
      </c>
      <c r="C650" s="137" t="s">
        <v>26</v>
      </c>
      <c r="D650" s="133" t="s">
        <v>40</v>
      </c>
      <c r="E650" s="136" t="s">
        <v>368</v>
      </c>
      <c r="F650" s="475" t="s">
        <v>378</v>
      </c>
      <c r="G650" s="304" t="str">
        <f>VLOOKUP(A650,Plano_V3!$A$26:$G$768,7,0)</f>
        <v>1. Concluído</v>
      </c>
      <c r="H650" s="135" t="s">
        <v>612</v>
      </c>
      <c r="I650" s="468"/>
      <c r="J650" s="142"/>
      <c r="K650" s="142"/>
      <c r="L650" s="153"/>
      <c r="M650" s="153"/>
      <c r="N650" s="142"/>
      <c r="O650" s="142" t="s">
        <v>2354</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9"/>
        <v>lt002_instrumentrsk_mtgtd_cct</v>
      </c>
      <c r="B651" s="141" t="s">
        <v>26</v>
      </c>
      <c r="C651" s="137" t="s">
        <v>26</v>
      </c>
      <c r="D651" s="133" t="s">
        <v>40</v>
      </c>
      <c r="E651" s="136" t="s">
        <v>379</v>
      </c>
      <c r="F651" s="475" t="s">
        <v>380</v>
      </c>
      <c r="G651" s="481" t="str">
        <f>VLOOKUP(A651,Plano_V3!$A$26:$G$768,7,0)</f>
        <v>1. Concluído</v>
      </c>
      <c r="H651" s="135" t="s">
        <v>612</v>
      </c>
      <c r="I651" s="468"/>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9"/>
        <v>lt007_instr_activityenvrnmntl_objctv</v>
      </c>
      <c r="B652" s="141" t="s">
        <v>26</v>
      </c>
      <c r="C652" s="137" t="s">
        <v>26</v>
      </c>
      <c r="D652" s="133" t="s">
        <v>40</v>
      </c>
      <c r="E652" s="136" t="s">
        <v>1860</v>
      </c>
      <c r="F652" s="475" t="s">
        <v>382</v>
      </c>
      <c r="G652" s="481" t="str">
        <f>VLOOKUP(A652,Plano_V3!$A$26:$G$768,7,0)</f>
        <v>1. Concluído</v>
      </c>
      <c r="H652" s="135" t="s">
        <v>612</v>
      </c>
      <c r="I652" s="468"/>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0">E653&amp;F653</f>
        <v>lt007_instr_activitytyp_actvty</v>
      </c>
      <c r="B653" s="141" t="s">
        <v>26</v>
      </c>
      <c r="C653" s="137" t="s">
        <v>26</v>
      </c>
      <c r="D653" s="133" t="s">
        <v>40</v>
      </c>
      <c r="E653" s="136" t="s">
        <v>1860</v>
      </c>
      <c r="F653" s="475" t="s">
        <v>383</v>
      </c>
      <c r="G653" s="481" t="str">
        <f>VLOOKUP(A653,Plano_V3!$A$26:$G$768,7,0)</f>
        <v>1. Concluído</v>
      </c>
      <c r="H653" s="135" t="s">
        <v>612</v>
      </c>
      <c r="I653" s="468"/>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0"/>
        <v>lt002_instrumentlns_clltrlzd_clssfctn</v>
      </c>
      <c r="B654" s="141" t="s">
        <v>26</v>
      </c>
      <c r="C654" s="137" t="s">
        <v>26</v>
      </c>
      <c r="D654" s="133" t="s">
        <v>40</v>
      </c>
      <c r="E654" s="136" t="s">
        <v>379</v>
      </c>
      <c r="F654" s="475" t="s">
        <v>384</v>
      </c>
      <c r="G654" s="481" t="str">
        <f>VLOOKUP(A654,Plano_V3!$A$26:$G$768,7,0)</f>
        <v>1. Concluído</v>
      </c>
      <c r="H654" s="135" t="s">
        <v>612</v>
      </c>
      <c r="I654" s="468"/>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0"/>
        <v>lt827_mthd_usd_instrmntambito</v>
      </c>
      <c r="B655" s="141" t="s">
        <v>26</v>
      </c>
      <c r="C655" s="137" t="s">
        <v>26</v>
      </c>
      <c r="D655" s="133" t="s">
        <v>40</v>
      </c>
      <c r="E655" s="136" t="s">
        <v>1861</v>
      </c>
      <c r="F655" s="475" t="s">
        <v>390</v>
      </c>
      <c r="G655" s="481" t="str">
        <f>VLOOKUP(A655,Plano_V3!$A$26:$G$768,7,0)</f>
        <v>1. Concluído</v>
      </c>
      <c r="H655" s="135" t="s">
        <v>612</v>
      </c>
      <c r="I655" s="468"/>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0"/>
        <v>lt827_mthd_usd_instrmntref_date</v>
      </c>
      <c r="B656" s="141" t="s">
        <v>26</v>
      </c>
      <c r="C656" s="137" t="s">
        <v>26</v>
      </c>
      <c r="D656" s="133" t="s">
        <v>40</v>
      </c>
      <c r="E656" s="136" t="s">
        <v>1861</v>
      </c>
      <c r="F656" s="475" t="s">
        <v>208</v>
      </c>
      <c r="G656" s="481" t="str">
        <f>VLOOKUP(A656,Plano_V3!$A$26:$G$768,7,0)</f>
        <v>1. Concluído</v>
      </c>
      <c r="H656" s="135" t="s">
        <v>612</v>
      </c>
      <c r="I656" s="468"/>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0"/>
        <v>lt827_mthd_usd_instrmntordem</v>
      </c>
      <c r="B657" s="141" t="s">
        <v>26</v>
      </c>
      <c r="C657" s="137" t="s">
        <v>26</v>
      </c>
      <c r="D657" s="133" t="s">
        <v>40</v>
      </c>
      <c r="E657" s="136" t="s">
        <v>1861</v>
      </c>
      <c r="F657" s="475" t="s">
        <v>211</v>
      </c>
      <c r="G657" s="135" t="str">
        <f>VLOOKUP(A657,Plano_V3!$A$26:$G$768,7,0)</f>
        <v>1. Concluído</v>
      </c>
      <c r="H657" s="135" t="s">
        <v>612</v>
      </c>
      <c r="I657" s="468"/>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0"/>
        <v>lt827_mthd_usd_instrmnttabela</v>
      </c>
      <c r="B658" s="141" t="s">
        <v>26</v>
      </c>
      <c r="C658" s="137" t="s">
        <v>26</v>
      </c>
      <c r="D658" s="133" t="s">
        <v>40</v>
      </c>
      <c r="E658" s="136" t="s">
        <v>1861</v>
      </c>
      <c r="F658" s="475" t="s">
        <v>391</v>
      </c>
      <c r="G658" s="135" t="str">
        <f>VLOOKUP(A658,Plano_V3!$A$26:$G$768,7,0)</f>
        <v>1. Concluído</v>
      </c>
      <c r="H658" s="135" t="s">
        <v>612</v>
      </c>
      <c r="I658" s="468"/>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0"/>
        <v>lt827_mthd_usd_instrmntorigem_scp1_emss</v>
      </c>
      <c r="B659" s="141" t="s">
        <v>26</v>
      </c>
      <c r="C659" s="137" t="s">
        <v>26</v>
      </c>
      <c r="D659" s="133" t="s">
        <v>40</v>
      </c>
      <c r="E659" s="136" t="s">
        <v>1861</v>
      </c>
      <c r="F659" s="475" t="s">
        <v>319</v>
      </c>
      <c r="G659" s="135" t="str">
        <f>VLOOKUP(A659,Plano_V3!$A$26:$G$768,7,0)</f>
        <v>1. Concluído</v>
      </c>
      <c r="H659" s="135" t="s">
        <v>612</v>
      </c>
      <c r="I659" s="468"/>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0"/>
        <v>lt827_mthd_usd_instrmntorigem_scp2_emss</v>
      </c>
      <c r="B660" s="141" t="s">
        <v>26</v>
      </c>
      <c r="C660" s="137" t="s">
        <v>26</v>
      </c>
      <c r="D660" s="133" t="s">
        <v>40</v>
      </c>
      <c r="E660" s="136" t="s">
        <v>1861</v>
      </c>
      <c r="F660" s="475" t="s">
        <v>320</v>
      </c>
      <c r="G660" s="135" t="str">
        <f>VLOOKUP(A660,Plano_V3!$A$26:$G$768,7,0)</f>
        <v>1. Concluído</v>
      </c>
      <c r="H660" s="135" t="s">
        <v>612</v>
      </c>
      <c r="I660" s="468"/>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0"/>
        <v>lt827_mthd_usd_instrmntorigem_scp3_emss</v>
      </c>
      <c r="B661" s="141" t="s">
        <v>26</v>
      </c>
      <c r="C661" s="137" t="s">
        <v>26</v>
      </c>
      <c r="D661" s="133" t="s">
        <v>40</v>
      </c>
      <c r="E661" s="136" t="s">
        <v>1861</v>
      </c>
      <c r="F661" s="475" t="s">
        <v>321</v>
      </c>
      <c r="G661" s="135" t="str">
        <f>VLOOKUP(A661,Plano_V3!$A$26:$G$768,7,0)</f>
        <v>1. Concluído</v>
      </c>
      <c r="H661" s="135" t="s">
        <v>612</v>
      </c>
      <c r="I661" s="468"/>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0"/>
        <v>lt827_mthd_usd_instrmntmthd_usd_instrmnt_scp_1</v>
      </c>
      <c r="B662" s="141" t="s">
        <v>26</v>
      </c>
      <c r="C662" s="137" t="s">
        <v>26</v>
      </c>
      <c r="D662" s="133" t="s">
        <v>40</v>
      </c>
      <c r="E662" s="136" t="s">
        <v>1861</v>
      </c>
      <c r="F662" s="475" t="s">
        <v>385</v>
      </c>
      <c r="G662" s="135" t="str">
        <f>VLOOKUP(A662,Plano_V3!$A$26:$G$768,7,0)</f>
        <v>1. Concluído</v>
      </c>
      <c r="H662" s="135" t="s">
        <v>612</v>
      </c>
      <c r="I662" s="468"/>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0"/>
        <v>lt827_mthd_usd_instrmntmthd_usd_instrmnt_scp_2</v>
      </c>
      <c r="B663" s="141" t="s">
        <v>26</v>
      </c>
      <c r="C663" s="137" t="s">
        <v>26</v>
      </c>
      <c r="D663" s="133" t="s">
        <v>40</v>
      </c>
      <c r="E663" s="136" t="s">
        <v>1861</v>
      </c>
      <c r="F663" s="475" t="s">
        <v>386</v>
      </c>
      <c r="G663" s="135" t="str">
        <f>VLOOKUP(A663,Plano_V3!$A$26:$G$768,7,0)</f>
        <v>1. Concluído</v>
      </c>
      <c r="H663" s="135" t="s">
        <v>612</v>
      </c>
      <c r="I663" s="468"/>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0"/>
        <v>lt827_mthd_usd_instrmntmthd_usd_instrmnt_scp_3</v>
      </c>
      <c r="B664" s="141" t="s">
        <v>26</v>
      </c>
      <c r="C664" s="137" t="s">
        <v>26</v>
      </c>
      <c r="D664" s="133" t="s">
        <v>40</v>
      </c>
      <c r="E664" s="136" t="s">
        <v>1861</v>
      </c>
      <c r="F664" s="475" t="s">
        <v>387</v>
      </c>
      <c r="G664" s="135" t="str">
        <f>VLOOKUP(A664,Plano_V3!$A$26:$G$768,7,0)</f>
        <v>1. Concluído</v>
      </c>
      <c r="H664" s="135" t="s">
        <v>612</v>
      </c>
      <c r="I664" s="468"/>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0"/>
        <v>lt827_mthd_usd_instrmntpurpose_code</v>
      </c>
      <c r="B665" s="141" t="s">
        <v>26</v>
      </c>
      <c r="C665" s="137" t="s">
        <v>26</v>
      </c>
      <c r="D665" s="133" t="s">
        <v>40</v>
      </c>
      <c r="E665" s="136" t="s">
        <v>1861</v>
      </c>
      <c r="F665" s="475" t="s">
        <v>1847</v>
      </c>
      <c r="G665" s="135" t="str">
        <f>VLOOKUP(A665,Plano_V3!$A$26:$G$768,7,0)</f>
        <v>1. Concluído</v>
      </c>
      <c r="H665" s="135" t="s">
        <v>612</v>
      </c>
      <c r="I665" s="468"/>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0"/>
        <v>lt827_mthd_usd_instrmntflg_fin</v>
      </c>
      <c r="B666" s="141" t="s">
        <v>26</v>
      </c>
      <c r="C666" s="137" t="s">
        <v>26</v>
      </c>
      <c r="D666" s="133" t="s">
        <v>40</v>
      </c>
      <c r="E666" s="136" t="s">
        <v>1861</v>
      </c>
      <c r="F666" s="475" t="s">
        <v>480</v>
      </c>
      <c r="G666" s="135" t="str">
        <f>VLOOKUP(A666,Plano_V3!$A$26:$G$768,7,0)</f>
        <v>1. Concluído</v>
      </c>
      <c r="H666" s="135" t="s">
        <v>612</v>
      </c>
      <c r="I666" s="468"/>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0"/>
        <v>lt827_mthd_usd_instrmntflg_exec</v>
      </c>
      <c r="B667" s="141" t="s">
        <v>26</v>
      </c>
      <c r="C667" s="137" t="s">
        <v>26</v>
      </c>
      <c r="D667" s="133" t="s">
        <v>40</v>
      </c>
      <c r="E667" s="136" t="s">
        <v>1861</v>
      </c>
      <c r="F667" s="475" t="s">
        <v>1276</v>
      </c>
      <c r="G667" s="135" t="str">
        <f>VLOOKUP(A667,Plano_V3!$A$26:$G$768,7,0)</f>
        <v>1. Concluído</v>
      </c>
      <c r="H667" s="135" t="s">
        <v>612</v>
      </c>
      <c r="I667" s="468"/>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0"/>
        <v>lt827_mthd_usd_instrmntflg_col</v>
      </c>
      <c r="B668" s="141" t="s">
        <v>26</v>
      </c>
      <c r="C668" s="137" t="s">
        <v>26</v>
      </c>
      <c r="D668" s="133" t="s">
        <v>40</v>
      </c>
      <c r="E668" s="136" t="s">
        <v>1861</v>
      </c>
      <c r="F668" s="475" t="s">
        <v>479</v>
      </c>
      <c r="G668" s="135" t="str">
        <f>VLOOKUP(A668,Plano_V3!$A$26:$G$768,7,0)</f>
        <v>1. Concluído</v>
      </c>
      <c r="H668" s="135" t="s">
        <v>612</v>
      </c>
      <c r="I668" s="468"/>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0"/>
        <v>lt827_mthd_usd_instrmntflg_pro</v>
      </c>
      <c r="B669" s="141" t="s">
        <v>26</v>
      </c>
      <c r="C669" s="137" t="s">
        <v>26</v>
      </c>
      <c r="D669" s="133" t="s">
        <v>40</v>
      </c>
      <c r="E669" s="136" t="s">
        <v>1861</v>
      </c>
      <c r="F669" s="475" t="s">
        <v>481</v>
      </c>
      <c r="G669" s="135" t="str">
        <f>VLOOKUP(A669,Plano_V3!$A$26:$G$768,7,0)</f>
        <v>1. Concluído</v>
      </c>
      <c r="H669" s="135" t="s">
        <v>612</v>
      </c>
      <c r="I669" s="468"/>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0"/>
        <v>lt826_esg_sbsctrambito</v>
      </c>
      <c r="B670" s="141" t="s">
        <v>26</v>
      </c>
      <c r="C670" s="137" t="s">
        <v>26</v>
      </c>
      <c r="D670" s="133" t="s">
        <v>40</v>
      </c>
      <c r="E670" s="136" t="s">
        <v>392</v>
      </c>
      <c r="F670" s="475" t="s">
        <v>390</v>
      </c>
      <c r="G670" s="135" t="str">
        <f>VLOOKUP(A670,Plano_V3!$A$26:$G$768,7,0)</f>
        <v>1. Concluído</v>
      </c>
      <c r="H670" s="135" t="s">
        <v>612</v>
      </c>
      <c r="I670" s="468"/>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0"/>
        <v>lt826_esg_sbsctrref_date</v>
      </c>
      <c r="B671" s="141" t="s">
        <v>26</v>
      </c>
      <c r="C671" s="137" t="s">
        <v>26</v>
      </c>
      <c r="D671" s="133" t="s">
        <v>40</v>
      </c>
      <c r="E671" s="136" t="s">
        <v>392</v>
      </c>
      <c r="F671" s="475" t="s">
        <v>208</v>
      </c>
      <c r="G671" s="135" t="str">
        <f>VLOOKUP(A671,Plano_V3!$A$26:$G$768,7,0)</f>
        <v>1. Concluído</v>
      </c>
      <c r="H671" s="135" t="s">
        <v>612</v>
      </c>
      <c r="I671" s="468"/>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0"/>
        <v>lt826_esg_sbsctrordem</v>
      </c>
      <c r="B672" s="141" t="s">
        <v>26</v>
      </c>
      <c r="C672" s="137" t="s">
        <v>26</v>
      </c>
      <c r="D672" s="133" t="s">
        <v>40</v>
      </c>
      <c r="E672" s="136" t="s">
        <v>392</v>
      </c>
      <c r="F672" s="475" t="s">
        <v>211</v>
      </c>
      <c r="G672" s="135" t="str">
        <f>VLOOKUP(A672,Plano_V3!$A$26:$G$768,7,0)</f>
        <v>1. Concluído</v>
      </c>
      <c r="H672" s="135" t="s">
        <v>612</v>
      </c>
      <c r="I672" s="468"/>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0"/>
        <v>lt826_esg_sbsctrnace_code</v>
      </c>
      <c r="B673" s="141" t="s">
        <v>26</v>
      </c>
      <c r="C673" s="137" t="s">
        <v>26</v>
      </c>
      <c r="D673" s="133" t="s">
        <v>40</v>
      </c>
      <c r="E673" s="136" t="s">
        <v>392</v>
      </c>
      <c r="F673" s="475" t="s">
        <v>393</v>
      </c>
      <c r="G673" s="135" t="str">
        <f>VLOOKUP(A673,Plano_V3!$A$26:$G$768,7,0)</f>
        <v>1. Concluído</v>
      </c>
      <c r="H673" s="135" t="s">
        <v>612</v>
      </c>
      <c r="I673" s="468"/>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0"/>
        <v>lt826_esg_sbsctrcontraparte</v>
      </c>
      <c r="B674" s="141" t="s">
        <v>26</v>
      </c>
      <c r="C674" s="137" t="s">
        <v>26</v>
      </c>
      <c r="D674" s="133" t="s">
        <v>40</v>
      </c>
      <c r="E674" s="136" t="s">
        <v>392</v>
      </c>
      <c r="F674" s="475" t="s">
        <v>394</v>
      </c>
      <c r="G674" s="135" t="str">
        <f>VLOOKUP(A674,Plano_V3!$A$26:$G$768,7,0)</f>
        <v>1. Concluído</v>
      </c>
      <c r="H674" s="135" t="s">
        <v>612</v>
      </c>
      <c r="I674" s="468"/>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0"/>
        <v>lt826_esg_sbsctrcnatureza_juri</v>
      </c>
      <c r="B675" s="141" t="s">
        <v>26</v>
      </c>
      <c r="C675" s="137" t="s">
        <v>26</v>
      </c>
      <c r="D675" s="133" t="s">
        <v>40</v>
      </c>
      <c r="E675" s="136" t="s">
        <v>392</v>
      </c>
      <c r="F675" s="475" t="s">
        <v>395</v>
      </c>
      <c r="G675" s="135" t="str">
        <f>VLOOKUP(A675,Plano_V3!$A$26:$G$768,7,0)</f>
        <v>1. Concluído</v>
      </c>
      <c r="H675" s="135" t="s">
        <v>612</v>
      </c>
      <c r="I675" s="468"/>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0"/>
        <v>lt826_esg_sbsctridcomb</v>
      </c>
      <c r="B676" s="141" t="s">
        <v>26</v>
      </c>
      <c r="C676" s="137" t="s">
        <v>26</v>
      </c>
      <c r="D676" s="133" t="s">
        <v>40</v>
      </c>
      <c r="E676" s="136" t="s">
        <v>392</v>
      </c>
      <c r="F676" s="475" t="s">
        <v>396</v>
      </c>
      <c r="G676" s="135" t="str">
        <f>VLOOKUP(A676,Plano_V3!$A$26:$G$768,7,0)</f>
        <v>1. Concluído</v>
      </c>
      <c r="H676" s="135" t="s">
        <v>612</v>
      </c>
      <c r="I676" s="468"/>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0"/>
        <v>lt826_esg_sbsctresg_sbsctr</v>
      </c>
      <c r="B677" s="141" t="s">
        <v>26</v>
      </c>
      <c r="C677" s="137" t="s">
        <v>26</v>
      </c>
      <c r="D677" s="133" t="s">
        <v>40</v>
      </c>
      <c r="E677" s="136" t="s">
        <v>392</v>
      </c>
      <c r="F677" s="475" t="s">
        <v>360</v>
      </c>
      <c r="G677" s="135" t="str">
        <f>VLOOKUP(A677,Plano_V3!$A$26:$G$768,7,0)</f>
        <v>1. Concluído</v>
      </c>
      <c r="H677" s="135" t="s">
        <v>612</v>
      </c>
      <c r="I677" s="468"/>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0"/>
        <v>lt826_esg_sbsctrdescrição</v>
      </c>
      <c r="B678" s="141" t="s">
        <v>26</v>
      </c>
      <c r="C678" s="137" t="s">
        <v>26</v>
      </c>
      <c r="D678" s="133" t="s">
        <v>40</v>
      </c>
      <c r="E678" s="136" t="s">
        <v>392</v>
      </c>
      <c r="F678" s="475" t="s">
        <v>397</v>
      </c>
      <c r="G678" s="135" t="str">
        <f>VLOOKUP(A678,Plano_V3!$A$26:$G$768,7,0)</f>
        <v>1. Concluído</v>
      </c>
      <c r="H678" s="135" t="s">
        <v>612</v>
      </c>
      <c r="I678" s="468"/>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0"/>
        <v>lt002_instrumentdt_rfrnc</v>
      </c>
      <c r="B679" s="141" t="s">
        <v>26</v>
      </c>
      <c r="C679" s="137" t="s">
        <v>26</v>
      </c>
      <c r="D679" s="133" t="s">
        <v>40</v>
      </c>
      <c r="E679" s="136" t="s">
        <v>379</v>
      </c>
      <c r="F679" s="475" t="s">
        <v>398</v>
      </c>
      <c r="G679" s="135" t="str">
        <f>VLOOKUP(A679,Plano_V3!$A$26:$G$768,7,0)</f>
        <v>1. Concluído</v>
      </c>
      <c r="H679" s="135" t="s">
        <v>612</v>
      </c>
      <c r="I679" s="468"/>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0"/>
        <v>lt002_instrumentinstrmnt_id</v>
      </c>
      <c r="B680" s="141" t="s">
        <v>26</v>
      </c>
      <c r="C680" s="137" t="s">
        <v>26</v>
      </c>
      <c r="D680" s="133" t="s">
        <v>40</v>
      </c>
      <c r="E680" s="136" t="s">
        <v>379</v>
      </c>
      <c r="F680" s="475" t="s">
        <v>400</v>
      </c>
      <c r="G680" s="135" t="str">
        <f>VLOOKUP(A680,Plano_V3!$A$26:$G$768,7,0)</f>
        <v>1. Concluído</v>
      </c>
      <c r="H680" s="135" t="s">
        <v>612</v>
      </c>
      <c r="I680" s="468"/>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0"/>
        <v>lt002_instrumentdt_incptn</v>
      </c>
      <c r="B681" s="141" t="s">
        <v>26</v>
      </c>
      <c r="C681" s="137" t="s">
        <v>26</v>
      </c>
      <c r="D681" s="133" t="s">
        <v>40</v>
      </c>
      <c r="E681" s="136" t="s">
        <v>379</v>
      </c>
      <c r="F681" s="475" t="s">
        <v>401</v>
      </c>
      <c r="G681" s="135" t="str">
        <f>VLOOKUP(A681,Plano_V3!$A$26:$G$768,7,0)</f>
        <v>1. Concluído</v>
      </c>
      <c r="H681" s="135" t="s">
        <v>612</v>
      </c>
      <c r="I681" s="468"/>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0"/>
        <v>lt002_instrumentdflt_stts_instrmnt</v>
      </c>
      <c r="B682" s="141" t="s">
        <v>26</v>
      </c>
      <c r="C682" s="137" t="s">
        <v>26</v>
      </c>
      <c r="D682" s="133" t="s">
        <v>40</v>
      </c>
      <c r="E682" s="136" t="s">
        <v>379</v>
      </c>
      <c r="F682" s="475" t="s">
        <v>402</v>
      </c>
      <c r="G682" s="135" t="str">
        <f>VLOOKUP(A682,Plano_V3!$A$26:$G$768,7,0)</f>
        <v>1. Concluído</v>
      </c>
      <c r="H682" s="135" t="s">
        <v>612</v>
      </c>
      <c r="I682" s="468"/>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0"/>
        <v>lt002_instrumentimprmnt_stts</v>
      </c>
      <c r="B683" s="141" t="s">
        <v>26</v>
      </c>
      <c r="C683" s="137" t="s">
        <v>26</v>
      </c>
      <c r="D683" s="133" t="s">
        <v>40</v>
      </c>
      <c r="E683" s="136" t="s">
        <v>379</v>
      </c>
      <c r="F683" s="475" t="s">
        <v>403</v>
      </c>
      <c r="G683" s="135" t="str">
        <f>VLOOKUP(A683,Plano_V3!$A$26:$G$768,7,0)</f>
        <v>1. Concluído</v>
      </c>
      <c r="H683" s="135" t="s">
        <v>612</v>
      </c>
      <c r="I683" s="468"/>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0"/>
        <v>lt002_instrumentprfrmng_stts</v>
      </c>
      <c r="B684" s="141" t="s">
        <v>26</v>
      </c>
      <c r="C684" s="137" t="s">
        <v>26</v>
      </c>
      <c r="D684" s="133" t="s">
        <v>40</v>
      </c>
      <c r="E684" s="136" t="s">
        <v>379</v>
      </c>
      <c r="F684" s="475" t="s">
        <v>404</v>
      </c>
      <c r="G684" s="135" t="str">
        <f>VLOOKUP(A684,Plano_V3!$A$26:$G$768,7,0)</f>
        <v>1. Concluído</v>
      </c>
      <c r="H684" s="135" t="s">
        <v>612</v>
      </c>
      <c r="I684" s="468"/>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0"/>
        <v>lt002_instrumentprjct_fnnc_ln</v>
      </c>
      <c r="B685" s="141" t="s">
        <v>26</v>
      </c>
      <c r="C685" s="137" t="s">
        <v>26</v>
      </c>
      <c r="D685" s="133" t="s">
        <v>40</v>
      </c>
      <c r="E685" s="136" t="s">
        <v>379</v>
      </c>
      <c r="F685" s="475" t="s">
        <v>405</v>
      </c>
      <c r="G685" s="135" t="str">
        <f>VLOOKUP(A685,Plano_V3!$A$26:$G$768,7,0)</f>
        <v>1. Concluído</v>
      </c>
      <c r="H685" s="135" t="s">
        <v>612</v>
      </c>
      <c r="I685" s="468"/>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0"/>
        <v>lt002_instrumenttyp_instrmnt</v>
      </c>
      <c r="B686" s="141" t="s">
        <v>26</v>
      </c>
      <c r="C686" s="137" t="s">
        <v>26</v>
      </c>
      <c r="D686" s="133" t="s">
        <v>40</v>
      </c>
      <c r="E686" s="136" t="s">
        <v>379</v>
      </c>
      <c r="F686" s="475" t="s">
        <v>406</v>
      </c>
      <c r="G686" s="135" t="str">
        <f>VLOOKUP(A686,Plano_V3!$A$26:$G$768,7,0)</f>
        <v>1. Concluído</v>
      </c>
      <c r="H686" s="135" t="s">
        <v>612</v>
      </c>
      <c r="I686" s="468"/>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0"/>
        <v>lt002_instrumentgrss_crryng_amnt_instrmnt</v>
      </c>
      <c r="B687" s="141" t="s">
        <v>26</v>
      </c>
      <c r="C687" s="137" t="s">
        <v>26</v>
      </c>
      <c r="D687" s="133" t="s">
        <v>40</v>
      </c>
      <c r="E687" s="136" t="s">
        <v>379</v>
      </c>
      <c r="F687" s="475" t="s">
        <v>407</v>
      </c>
      <c r="G687" s="135" t="str">
        <f>VLOOKUP(A687,Plano_V3!$A$26:$G$768,7,0)</f>
        <v>1. Concluído</v>
      </c>
      <c r="H687" s="135" t="s">
        <v>612</v>
      </c>
      <c r="I687" s="468"/>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0"/>
        <v>lt002_instrumentaccmltd_chngs_fv_cr_instrmnt</v>
      </c>
      <c r="B688" s="141" t="s">
        <v>26</v>
      </c>
      <c r="C688" s="137" t="s">
        <v>26</v>
      </c>
      <c r="D688" s="133" t="s">
        <v>40</v>
      </c>
      <c r="E688" s="136" t="s">
        <v>379</v>
      </c>
      <c r="F688" s="475" t="s">
        <v>408</v>
      </c>
      <c r="G688" s="135" t="str">
        <f>VLOOKUP(A688,Plano_V3!$A$26:$G$768,7,0)</f>
        <v>1. Concluído</v>
      </c>
      <c r="H688" s="135" t="s">
        <v>612</v>
      </c>
      <c r="I688" s="468"/>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0"/>
        <v>lt002_instrumentaccntng_clssfctn</v>
      </c>
      <c r="B689" s="141" t="s">
        <v>26</v>
      </c>
      <c r="C689" s="137" t="s">
        <v>26</v>
      </c>
      <c r="D689" s="133" t="s">
        <v>40</v>
      </c>
      <c r="E689" s="136" t="s">
        <v>379</v>
      </c>
      <c r="F689" s="475" t="s">
        <v>409</v>
      </c>
      <c r="G689" s="135" t="str">
        <f>VLOOKUP(A689,Plano_V3!$A$26:$G$768,7,0)</f>
        <v>1. Concluído</v>
      </c>
      <c r="H689" s="135" t="s">
        <v>612</v>
      </c>
      <c r="I689" s="468"/>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0"/>
        <v>lt002_instrumentdt_lgl_fnl_mtrty</v>
      </c>
      <c r="B690" s="141" t="s">
        <v>26</v>
      </c>
      <c r="C690" s="137" t="s">
        <v>26</v>
      </c>
      <c r="D690" s="133" t="s">
        <v>40</v>
      </c>
      <c r="E690" s="136" t="s">
        <v>379</v>
      </c>
      <c r="F690" s="475" t="s">
        <v>410</v>
      </c>
      <c r="G690" s="135" t="str">
        <f>VLOOKUP(A690,Plano_V3!$A$26:$G$768,7,0)</f>
        <v>1. Concluído</v>
      </c>
      <c r="H690" s="135" t="s">
        <v>612</v>
      </c>
      <c r="I690" s="468"/>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0"/>
        <v>lt002_instrumentaccmltd_imprmnt_instrmnt</v>
      </c>
      <c r="B691" s="141" t="s">
        <v>26</v>
      </c>
      <c r="C691" s="137" t="s">
        <v>26</v>
      </c>
      <c r="D691" s="133" t="s">
        <v>40</v>
      </c>
      <c r="E691" s="136" t="s">
        <v>379</v>
      </c>
      <c r="F691" s="475" t="s">
        <v>411</v>
      </c>
      <c r="G691" s="135" t="str">
        <f>VLOOKUP(A691,Plano_V3!$A$26:$G$768,7,0)</f>
        <v>1. Concluído</v>
      </c>
      <c r="H691" s="135" t="s">
        <v>612</v>
      </c>
      <c r="I691" s="468"/>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0"/>
        <v>lt002_instrumentissr_cntry</v>
      </c>
      <c r="B692" s="141" t="s">
        <v>26</v>
      </c>
      <c r="C692" s="137" t="s">
        <v>26</v>
      </c>
      <c r="D692" s="133" t="s">
        <v>40</v>
      </c>
      <c r="E692" s="136" t="s">
        <v>379</v>
      </c>
      <c r="F692" s="475" t="s">
        <v>412</v>
      </c>
      <c r="G692" s="135" t="str">
        <f>VLOOKUP(A692,Plano_V3!$A$26:$G$768,7,0)</f>
        <v>1. Concluído</v>
      </c>
      <c r="H692" s="135" t="s">
        <v>612</v>
      </c>
      <c r="I692" s="468"/>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0"/>
        <v>lt002_instrumentissr_nace_sctr</v>
      </c>
      <c r="B693" s="141" t="s">
        <v>26</v>
      </c>
      <c r="C693" s="137" t="s">
        <v>26</v>
      </c>
      <c r="D693" s="133" t="s">
        <v>40</v>
      </c>
      <c r="E693" s="136" t="s">
        <v>379</v>
      </c>
      <c r="F693" s="475" t="s">
        <v>413</v>
      </c>
      <c r="G693" s="135" t="str">
        <f>VLOOKUP(A693,Plano_V3!$A$26:$G$768,7,0)</f>
        <v>1. Concluído</v>
      </c>
      <c r="H693" s="135" t="s">
        <v>612</v>
      </c>
      <c r="I693" s="468"/>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0"/>
        <v>lt002_instrumentprmry_asst_clssf</v>
      </c>
      <c r="B694" s="141" t="s">
        <v>26</v>
      </c>
      <c r="C694" s="137" t="s">
        <v>26</v>
      </c>
      <c r="D694" s="133" t="s">
        <v>40</v>
      </c>
      <c r="E694" s="136" t="s">
        <v>379</v>
      </c>
      <c r="F694" s="475" t="s">
        <v>414</v>
      </c>
      <c r="G694" s="135" t="str">
        <f>VLOOKUP(A694,Plano_V3!$A$26:$G$768,7,0)</f>
        <v>1. Concluído</v>
      </c>
      <c r="H694" s="135" t="s">
        <v>612</v>
      </c>
      <c r="I694" s="468"/>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0"/>
        <v>lt002_instrumentsubportfolio_id</v>
      </c>
      <c r="B695" s="141" t="s">
        <v>26</v>
      </c>
      <c r="C695" s="137" t="s">
        <v>26</v>
      </c>
      <c r="D695" s="133" t="s">
        <v>40</v>
      </c>
      <c r="E695" s="136" t="s">
        <v>379</v>
      </c>
      <c r="F695" s="475" t="s">
        <v>415</v>
      </c>
      <c r="G695" s="135" t="str">
        <f>VLOOKUP(A695,Plano_V3!$A$26:$G$768,7,0)</f>
        <v>1. Concluído</v>
      </c>
      <c r="H695" s="135" t="s">
        <v>612</v>
      </c>
      <c r="I695" s="468"/>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0"/>
        <v>lt002_instrumentcod_soc</v>
      </c>
      <c r="B696" s="141" t="s">
        <v>26</v>
      </c>
      <c r="C696" s="137" t="s">
        <v>26</v>
      </c>
      <c r="D696" s="133" t="s">
        <v>40</v>
      </c>
      <c r="E696" s="136" t="s">
        <v>379</v>
      </c>
      <c r="F696" s="475" t="s">
        <v>416</v>
      </c>
      <c r="G696" s="135" t="str">
        <f>VLOOKUP(A696,Plano_V3!$A$26:$G$768,7,0)</f>
        <v>1. Concluído</v>
      </c>
      <c r="H696" s="135" t="s">
        <v>612</v>
      </c>
      <c r="I696" s="468"/>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0"/>
        <v>lt002_instrumentlcl_instmrnt_id</v>
      </c>
      <c r="B697" s="141" t="s">
        <v>26</v>
      </c>
      <c r="C697" s="137" t="s">
        <v>26</v>
      </c>
      <c r="D697" s="133" t="s">
        <v>40</v>
      </c>
      <c r="E697" s="136" t="s">
        <v>379</v>
      </c>
      <c r="F697" s="475" t="s">
        <v>417</v>
      </c>
      <c r="G697" s="135" t="str">
        <f>VLOOKUP(A697,Plano_V3!$A$26:$G$768,7,0)</f>
        <v>1. Concluído</v>
      </c>
      <c r="H697" s="135" t="s">
        <v>612</v>
      </c>
      <c r="I697" s="468"/>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0"/>
        <v>lt002_instrumentidcmb</v>
      </c>
      <c r="B698" s="141" t="s">
        <v>26</v>
      </c>
      <c r="C698" s="137" t="s">
        <v>26</v>
      </c>
      <c r="D698" s="133" t="s">
        <v>40</v>
      </c>
      <c r="E698" s="136" t="s">
        <v>379</v>
      </c>
      <c r="F698" s="475" t="s">
        <v>423</v>
      </c>
      <c r="G698" s="135" t="str">
        <f>VLOOKUP(A698,Plano_V3!$A$26:$G$768,7,0)</f>
        <v>1. Concluído</v>
      </c>
      <c r="H698" s="135" t="s">
        <v>612</v>
      </c>
      <c r="I698" s="468"/>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0"/>
        <v>lt003_entitycntry</v>
      </c>
      <c r="B699" s="141" t="s">
        <v>26</v>
      </c>
      <c r="C699" s="137" t="s">
        <v>26</v>
      </c>
      <c r="D699" s="133" t="s">
        <v>40</v>
      </c>
      <c r="E699" s="136" t="s">
        <v>335</v>
      </c>
      <c r="F699" s="475" t="s">
        <v>424</v>
      </c>
      <c r="G699" s="135" t="str">
        <f>VLOOKUP(A699,Plano_V3!$A$26:$G$768,7,0)</f>
        <v>1. Concluído</v>
      </c>
      <c r="H699" s="135" t="s">
        <v>612</v>
      </c>
      <c r="I699" s="468"/>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0"/>
        <v>lt003_entitydt_rfrnc</v>
      </c>
      <c r="B700" s="141" t="s">
        <v>26</v>
      </c>
      <c r="C700" s="137" t="s">
        <v>26</v>
      </c>
      <c r="D700" s="133" t="s">
        <v>40</v>
      </c>
      <c r="E700" s="136" t="s">
        <v>335</v>
      </c>
      <c r="F700" s="475" t="s">
        <v>398</v>
      </c>
      <c r="G700" s="135" t="str">
        <f>VLOOKUP(A700,Plano_V3!$A$26:$G$768,7,0)</f>
        <v>1. Concluído</v>
      </c>
      <c r="H700" s="135" t="s">
        <v>612</v>
      </c>
      <c r="I700" s="468"/>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0"/>
        <v>lt003_entityentty_id</v>
      </c>
      <c r="B701" s="141" t="s">
        <v>26</v>
      </c>
      <c r="C701" s="137" t="s">
        <v>26</v>
      </c>
      <c r="D701" s="133" t="s">
        <v>40</v>
      </c>
      <c r="E701" s="136" t="s">
        <v>335</v>
      </c>
      <c r="F701" s="475" t="s">
        <v>425</v>
      </c>
      <c r="G701" s="135" t="str">
        <f>VLOOKUP(A701,Plano_V3!$A$26:$G$768,7,0)</f>
        <v>1. Concluído</v>
      </c>
      <c r="H701" s="135" t="s">
        <v>612</v>
      </c>
      <c r="I701" s="468"/>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0"/>
        <v>lt003_entitylei</v>
      </c>
      <c r="B702" s="141" t="s">
        <v>26</v>
      </c>
      <c r="C702" s="137" t="s">
        <v>26</v>
      </c>
      <c r="D702" s="133" t="s">
        <v>40</v>
      </c>
      <c r="E702" s="136" t="s">
        <v>335</v>
      </c>
      <c r="F702" s="475" t="s">
        <v>426</v>
      </c>
      <c r="G702" s="135" t="str">
        <f>VLOOKUP(A702,Plano_V3!$A$26:$G$768,7,0)</f>
        <v>1. Concluído</v>
      </c>
      <c r="H702" s="135" t="s">
        <v>612</v>
      </c>
      <c r="I702" s="468"/>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0"/>
        <v>lt003_entityecnmc_actvty</v>
      </c>
      <c r="B703" s="141" t="s">
        <v>26</v>
      </c>
      <c r="C703" s="137" t="s">
        <v>26</v>
      </c>
      <c r="D703" s="133" t="s">
        <v>40</v>
      </c>
      <c r="E703" s="136" t="s">
        <v>335</v>
      </c>
      <c r="F703" s="475" t="s">
        <v>427</v>
      </c>
      <c r="G703" s="135" t="str">
        <f>VLOOKUP(A703,Plano_V3!$A$26:$G$768,7,0)</f>
        <v>1. Concluído</v>
      </c>
      <c r="H703" s="135" t="s">
        <v>612</v>
      </c>
      <c r="I703" s="468"/>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0"/>
        <v>lt003_entitygrp_eqty</v>
      </c>
      <c r="B704" s="141" t="s">
        <v>26</v>
      </c>
      <c r="C704" s="137" t="s">
        <v>26</v>
      </c>
      <c r="D704" s="133" t="s">
        <v>40</v>
      </c>
      <c r="E704" s="136" t="s">
        <v>335</v>
      </c>
      <c r="F704" s="475" t="s">
        <v>428</v>
      </c>
      <c r="G704" s="135" t="str">
        <f>VLOOKUP(A704,Plano_V3!$A$26:$G$768,7,0)</f>
        <v>1. Concluído</v>
      </c>
      <c r="H704" s="135" t="s">
        <v>612</v>
      </c>
      <c r="I704" s="468"/>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0"/>
        <v>lt003_entityannl_trnvr_le</v>
      </c>
      <c r="B705" s="141" t="s">
        <v>26</v>
      </c>
      <c r="C705" s="137" t="s">
        <v>26</v>
      </c>
      <c r="D705" s="133" t="s">
        <v>40</v>
      </c>
      <c r="E705" s="136" t="s">
        <v>335</v>
      </c>
      <c r="F705" s="475" t="s">
        <v>429</v>
      </c>
      <c r="G705" s="135" t="str">
        <f>VLOOKUP(A705,Plano_V3!$A$26:$G$768,7,0)</f>
        <v>1. Concluído</v>
      </c>
      <c r="H705" s="135" t="s">
        <v>612</v>
      </c>
      <c r="I705" s="468"/>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0"/>
        <v>lt003_entityeqty</v>
      </c>
      <c r="B706" s="141" t="s">
        <v>26</v>
      </c>
      <c r="C706" s="137" t="s">
        <v>26</v>
      </c>
      <c r="D706" s="133" t="s">
        <v>40</v>
      </c>
      <c r="E706" s="136" t="s">
        <v>335</v>
      </c>
      <c r="F706" s="475" t="s">
        <v>430</v>
      </c>
      <c r="G706" s="135" t="str">
        <f>VLOOKUP(A706,Plano_V3!$A$26:$G$768,7,0)</f>
        <v>1. Concluído</v>
      </c>
      <c r="H706" s="135" t="s">
        <v>612</v>
      </c>
      <c r="I706" s="468"/>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0"/>
        <v>lt003_entitygrp_ttl_dbt</v>
      </c>
      <c r="B707" s="141" t="s">
        <v>26</v>
      </c>
      <c r="C707" s="137" t="s">
        <v>26</v>
      </c>
      <c r="D707" s="133" t="s">
        <v>40</v>
      </c>
      <c r="E707" s="136" t="s">
        <v>335</v>
      </c>
      <c r="F707" s="475" t="s">
        <v>431</v>
      </c>
      <c r="G707" s="135" t="str">
        <f>VLOOKUP(A707,Plano_V3!$A$26:$G$768,7,0)</f>
        <v>1. Concluído</v>
      </c>
      <c r="H707" s="135" t="s">
        <v>612</v>
      </c>
      <c r="I707" s="468"/>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0"/>
        <v>lt003_entityttl_dbt</v>
      </c>
      <c r="B708" s="141" t="s">
        <v>26</v>
      </c>
      <c r="C708" s="137" t="s">
        <v>26</v>
      </c>
      <c r="D708" s="133" t="s">
        <v>40</v>
      </c>
      <c r="E708" s="136" t="s">
        <v>335</v>
      </c>
      <c r="F708" s="475" t="s">
        <v>432</v>
      </c>
      <c r="G708" s="135" t="str">
        <f>VLOOKUP(A708,Plano_V3!$A$26:$G$768,7,0)</f>
        <v>1. Concluído</v>
      </c>
      <c r="H708" s="135" t="s">
        <v>612</v>
      </c>
      <c r="I708" s="468"/>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0"/>
        <v>lt003_entitycod_soc</v>
      </c>
      <c r="B709" s="141" t="s">
        <v>26</v>
      </c>
      <c r="C709" s="137" t="s">
        <v>26</v>
      </c>
      <c r="D709" s="133" t="s">
        <v>40</v>
      </c>
      <c r="E709" s="136" t="s">
        <v>335</v>
      </c>
      <c r="F709" s="475" t="s">
        <v>416</v>
      </c>
      <c r="G709" s="135" t="str">
        <f>VLOOKUP(A709,Plano_V3!$A$26:$G$768,7,0)</f>
        <v>1. Concluído</v>
      </c>
      <c r="H709" s="135" t="s">
        <v>612</v>
      </c>
      <c r="I709" s="468"/>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0"/>
        <v>lt004_protectiondt_rfrnc</v>
      </c>
      <c r="B710" s="141" t="s">
        <v>26</v>
      </c>
      <c r="C710" s="137" t="s">
        <v>26</v>
      </c>
      <c r="D710" s="133" t="s">
        <v>40</v>
      </c>
      <c r="E710" s="136" t="s">
        <v>368</v>
      </c>
      <c r="F710" s="475" t="s">
        <v>398</v>
      </c>
      <c r="G710" s="135" t="str">
        <f>VLOOKUP(A710,Plano_V3!$A$26:$G$768,7,0)</f>
        <v>1. Concluído</v>
      </c>
      <c r="H710" s="135" t="s">
        <v>612</v>
      </c>
      <c r="I710" s="468"/>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0"/>
        <v>lt004_protectionprtctn_id</v>
      </c>
      <c r="B711" s="141" t="s">
        <v>26</v>
      </c>
      <c r="C711" s="137" t="s">
        <v>26</v>
      </c>
      <c r="D711" s="133" t="s">
        <v>40</v>
      </c>
      <c r="E711" s="136" t="s">
        <v>368</v>
      </c>
      <c r="F711" s="475" t="s">
        <v>433</v>
      </c>
      <c r="G711" s="135" t="str">
        <f>VLOOKUP(A711,Plano_V3!$A$26:$G$768,7,0)</f>
        <v>1. Concluído</v>
      </c>
      <c r="H711" s="135" t="s">
        <v>612</v>
      </c>
      <c r="I711" s="468"/>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0"/>
        <v>lt004_protectionrl_estt_clltrl_lctn</v>
      </c>
      <c r="B712" s="141" t="s">
        <v>26</v>
      </c>
      <c r="C712" s="137" t="s">
        <v>26</v>
      </c>
      <c r="D712" s="133" t="s">
        <v>40</v>
      </c>
      <c r="E712" s="136" t="s">
        <v>368</v>
      </c>
      <c r="F712" s="475" t="s">
        <v>434</v>
      </c>
      <c r="G712" s="135" t="str">
        <f>VLOOKUP(A712,Plano_V3!$A$26:$G$768,7,0)</f>
        <v>1. Concluído</v>
      </c>
      <c r="H712" s="135" t="s">
        <v>612</v>
      </c>
      <c r="I712" s="468"/>
      <c r="J712" s="142"/>
      <c r="K712" s="142"/>
      <c r="L712" s="153"/>
      <c r="M712" s="153"/>
      <c r="N712" s="142"/>
      <c r="O712" s="142" t="s">
        <v>2354</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0"/>
        <v>lt004_protectionrl_estt_pst_cd</v>
      </c>
      <c r="B713" s="141" t="s">
        <v>26</v>
      </c>
      <c r="C713" s="137" t="s">
        <v>26</v>
      </c>
      <c r="D713" s="133" t="s">
        <v>40</v>
      </c>
      <c r="E713" s="136" t="s">
        <v>368</v>
      </c>
      <c r="F713" s="475" t="s">
        <v>435</v>
      </c>
      <c r="G713" s="135" t="str">
        <f>VLOOKUP(A713,Plano_V3!$A$26:$G$768,7,0)</f>
        <v>1. Concluído</v>
      </c>
      <c r="H713" s="135" t="s">
        <v>612</v>
      </c>
      <c r="I713" s="468"/>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0"/>
        <v>lt004_protectiontyp_prtctn</v>
      </c>
      <c r="B714" s="141" t="s">
        <v>26</v>
      </c>
      <c r="C714" s="137" t="s">
        <v>26</v>
      </c>
      <c r="D714" s="133" t="s">
        <v>40</v>
      </c>
      <c r="E714" s="136" t="s">
        <v>368</v>
      </c>
      <c r="F714" s="475" t="s">
        <v>436</v>
      </c>
      <c r="G714" s="135" t="str">
        <f>VLOOKUP(A714,Plano_V3!$A$26:$G$768,7,0)</f>
        <v>1. Concluído</v>
      </c>
      <c r="H714" s="135" t="s">
        <v>612</v>
      </c>
      <c r="I714" s="468"/>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0"/>
        <v>lt004_protectionorgnl_prtctn_vl</v>
      </c>
      <c r="B715" s="141" t="s">
        <v>26</v>
      </c>
      <c r="C715" s="137" t="s">
        <v>26</v>
      </c>
      <c r="D715" s="133" t="s">
        <v>40</v>
      </c>
      <c r="E715" s="136" t="s">
        <v>368</v>
      </c>
      <c r="F715" s="475" t="s">
        <v>437</v>
      </c>
      <c r="G715" s="135" t="str">
        <f>VLOOKUP(A715,Plano_V3!$A$26:$G$768,7,0)</f>
        <v>1. Concluído</v>
      </c>
      <c r="H715" s="135" t="s">
        <v>612</v>
      </c>
      <c r="I715" s="468"/>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1">E716&amp;F716</f>
        <v>lt004_protectionprtctn_vl</v>
      </c>
      <c r="B716" s="141" t="s">
        <v>26</v>
      </c>
      <c r="C716" s="137" t="s">
        <v>26</v>
      </c>
      <c r="D716" s="133" t="s">
        <v>40</v>
      </c>
      <c r="E716" s="136" t="s">
        <v>368</v>
      </c>
      <c r="F716" s="475" t="s">
        <v>438</v>
      </c>
      <c r="G716" s="135" t="str">
        <f>VLOOKUP(A716,Plano_V3!$A$26:$G$768,7,0)</f>
        <v>1. Concluído</v>
      </c>
      <c r="H716" s="135" t="s">
        <v>612</v>
      </c>
      <c r="I716" s="468"/>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1"/>
        <v>lt004_protectioncod_soc</v>
      </c>
      <c r="B717" s="141" t="s">
        <v>26</v>
      </c>
      <c r="C717" s="137" t="s">
        <v>26</v>
      </c>
      <c r="D717" s="133" t="s">
        <v>40</v>
      </c>
      <c r="E717" s="136" t="s">
        <v>368</v>
      </c>
      <c r="F717" s="475" t="s">
        <v>416</v>
      </c>
      <c r="G717" s="135" t="str">
        <f>VLOOKUP(A717,Plano_V3!$A$26:$G$768,7,0)</f>
        <v>1. Concluído</v>
      </c>
      <c r="H717" s="135" t="s">
        <v>612</v>
      </c>
      <c r="I717" s="468"/>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1"/>
        <v>lt005_instr_entdt_rfrnc</v>
      </c>
      <c r="B718" s="141" t="s">
        <v>26</v>
      </c>
      <c r="C718" s="137" t="s">
        <v>26</v>
      </c>
      <c r="D718" s="133" t="s">
        <v>40</v>
      </c>
      <c r="E718" s="136" t="s">
        <v>439</v>
      </c>
      <c r="F718" s="475" t="s">
        <v>398</v>
      </c>
      <c r="G718" s="135" t="str">
        <f>VLOOKUP(A718,Plano_V3!$A$26:$G$768,7,0)</f>
        <v>1. Concluído</v>
      </c>
      <c r="H718" s="135" t="s">
        <v>612</v>
      </c>
      <c r="I718" s="468"/>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1"/>
        <v>lt005_instr_ententty_id</v>
      </c>
      <c r="B719" s="141" t="s">
        <v>26</v>
      </c>
      <c r="C719" s="137" t="s">
        <v>26</v>
      </c>
      <c r="D719" s="133" t="s">
        <v>40</v>
      </c>
      <c r="E719" s="136" t="s">
        <v>439</v>
      </c>
      <c r="F719" s="475" t="s">
        <v>425</v>
      </c>
      <c r="G719" s="135" t="str">
        <f>VLOOKUP(A719,Plano_V3!$A$26:$G$768,7,0)</f>
        <v>1. Concluído</v>
      </c>
      <c r="H719" s="135" t="s">
        <v>612</v>
      </c>
      <c r="I719" s="468"/>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1"/>
        <v>lt005_instr_entinstrmnt_id</v>
      </c>
      <c r="B720" s="141" t="s">
        <v>26</v>
      </c>
      <c r="C720" s="137" t="s">
        <v>26</v>
      </c>
      <c r="D720" s="133" t="s">
        <v>40</v>
      </c>
      <c r="E720" s="136" t="s">
        <v>439</v>
      </c>
      <c r="F720" s="475" t="s">
        <v>400</v>
      </c>
      <c r="G720" s="135" t="str">
        <f>VLOOKUP(A720,Plano_V3!$A$26:$G$768,7,0)</f>
        <v>1. Concluído</v>
      </c>
      <c r="H720" s="135" t="s">
        <v>612</v>
      </c>
      <c r="I720" s="468"/>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1"/>
        <v>lt005_instr_entcod_soc</v>
      </c>
      <c r="B721" s="141" t="s">
        <v>26</v>
      </c>
      <c r="C721" s="137" t="s">
        <v>26</v>
      </c>
      <c r="D721" s="133" t="s">
        <v>40</v>
      </c>
      <c r="E721" s="136" t="s">
        <v>439</v>
      </c>
      <c r="F721" s="475" t="s">
        <v>416</v>
      </c>
      <c r="G721" s="135" t="str">
        <f>VLOOKUP(A721,Plano_V3!$A$26:$G$768,7,0)</f>
        <v>1. Concluído</v>
      </c>
      <c r="H721" s="135" t="s">
        <v>612</v>
      </c>
      <c r="I721" s="468"/>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1"/>
        <v>lt005_instr_entmn_entty_id</v>
      </c>
      <c r="B722" s="141" t="s">
        <v>26</v>
      </c>
      <c r="C722" s="137" t="s">
        <v>26</v>
      </c>
      <c r="D722" s="133" t="s">
        <v>40</v>
      </c>
      <c r="E722" s="136" t="s">
        <v>439</v>
      </c>
      <c r="F722" s="475" t="s">
        <v>440</v>
      </c>
      <c r="G722" s="135" t="str">
        <f>VLOOKUP(A722,Plano_V3!$A$26:$G$768,7,0)</f>
        <v>1. Concluído</v>
      </c>
      <c r="H722" s="135" t="s">
        <v>612</v>
      </c>
      <c r="I722" s="468"/>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1"/>
        <v>lt006_instr_protdt_rfrnc</v>
      </c>
      <c r="B723" s="141" t="s">
        <v>26</v>
      </c>
      <c r="C723" s="137" t="s">
        <v>26</v>
      </c>
      <c r="D723" s="133" t="s">
        <v>40</v>
      </c>
      <c r="E723" s="136" t="s">
        <v>441</v>
      </c>
      <c r="F723" s="475" t="s">
        <v>398</v>
      </c>
      <c r="G723" s="135" t="str">
        <f>VLOOKUP(A723,Plano_V3!$A$26:$G$768,7,0)</f>
        <v>1. Concluído</v>
      </c>
      <c r="H723" s="135" t="s">
        <v>612</v>
      </c>
      <c r="I723" s="468"/>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1"/>
        <v>lt006_instr_protinstrmnt_id</v>
      </c>
      <c r="B724" s="141" t="s">
        <v>26</v>
      </c>
      <c r="C724" s="137" t="s">
        <v>26</v>
      </c>
      <c r="D724" s="133" t="s">
        <v>40</v>
      </c>
      <c r="E724" s="136" t="s">
        <v>441</v>
      </c>
      <c r="F724" s="475" t="s">
        <v>400</v>
      </c>
      <c r="G724" s="135" t="str">
        <f>VLOOKUP(A724,Plano_V3!$A$26:$G$768,7,0)</f>
        <v>1. Concluído</v>
      </c>
      <c r="H724" s="135" t="s">
        <v>612</v>
      </c>
      <c r="I724" s="468"/>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1"/>
        <v>lt006_instr_protprtctn_id</v>
      </c>
      <c r="B725" s="141" t="s">
        <v>26</v>
      </c>
      <c r="C725" s="137" t="s">
        <v>26</v>
      </c>
      <c r="D725" s="133" t="s">
        <v>40</v>
      </c>
      <c r="E725" s="136" t="s">
        <v>441</v>
      </c>
      <c r="F725" s="475" t="s">
        <v>433</v>
      </c>
      <c r="G725" s="135" t="str">
        <f>VLOOKUP(A725,Plano_V3!$A$26:$G$768,7,0)</f>
        <v>1. Concluído</v>
      </c>
      <c r="H725" s="135" t="s">
        <v>612</v>
      </c>
      <c r="I725" s="468"/>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1"/>
        <v>lt006_instr_protcod_soc</v>
      </c>
      <c r="B726" s="141" t="s">
        <v>26</v>
      </c>
      <c r="C726" s="137" t="s">
        <v>26</v>
      </c>
      <c r="D726" s="133" t="s">
        <v>40</v>
      </c>
      <c r="E726" s="136" t="s">
        <v>441</v>
      </c>
      <c r="F726" s="475" t="s">
        <v>416</v>
      </c>
      <c r="G726" s="135" t="str">
        <f>VLOOKUP(A726,Plano_V3!$A$26:$G$768,7,0)</f>
        <v>1. Concluído</v>
      </c>
      <c r="H726" s="135" t="s">
        <v>612</v>
      </c>
      <c r="I726" s="468"/>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1"/>
        <v>lt004_protectionflg_fin</v>
      </c>
      <c r="B727" s="141" t="s">
        <v>26</v>
      </c>
      <c r="C727" s="137" t="s">
        <v>26</v>
      </c>
      <c r="D727" s="133" t="s">
        <v>40</v>
      </c>
      <c r="E727" s="136" t="s">
        <v>368</v>
      </c>
      <c r="F727" s="475" t="s">
        <v>480</v>
      </c>
      <c r="G727" s="135" t="str">
        <f>VLOOKUP(A727,Plano_V3!$A$26:$G$768,7,0)</f>
        <v>0. Cancelado</v>
      </c>
      <c r="H727" s="135" t="s">
        <v>611</v>
      </c>
      <c r="I727" s="468"/>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1"/>
        <v>lt004_protectionflg_exec</v>
      </c>
      <c r="B728" s="141" t="s">
        <v>26</v>
      </c>
      <c r="C728" s="137" t="s">
        <v>26</v>
      </c>
      <c r="D728" s="133" t="s">
        <v>40</v>
      </c>
      <c r="E728" s="136" t="s">
        <v>368</v>
      </c>
      <c r="F728" s="475" t="s">
        <v>1276</v>
      </c>
      <c r="G728" s="135" t="str">
        <f>VLOOKUP(A728,Plano_V3!$A$26:$G$768,7,0)</f>
        <v>0. Cancelado</v>
      </c>
      <c r="H728" s="135" t="s">
        <v>611</v>
      </c>
      <c r="I728" s="468"/>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1"/>
        <v>lt004_protectionflg_col</v>
      </c>
      <c r="B729" s="141" t="s">
        <v>26</v>
      </c>
      <c r="C729" s="137" t="s">
        <v>26</v>
      </c>
      <c r="D729" s="133" t="s">
        <v>40</v>
      </c>
      <c r="E729" s="136" t="s">
        <v>368</v>
      </c>
      <c r="F729" s="475" t="s">
        <v>479</v>
      </c>
      <c r="G729" s="135" t="str">
        <f>VLOOKUP(A729,Plano_V3!$A$26:$G$768,7,0)</f>
        <v>0. Cancelado</v>
      </c>
      <c r="H729" s="135" t="s">
        <v>611</v>
      </c>
      <c r="I729" s="468"/>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1"/>
        <v>lt004_protectionflg_pro</v>
      </c>
      <c r="B730" s="141" t="s">
        <v>26</v>
      </c>
      <c r="C730" s="137" t="s">
        <v>26</v>
      </c>
      <c r="D730" s="133" t="s">
        <v>40</v>
      </c>
      <c r="E730" s="136" t="s">
        <v>368</v>
      </c>
      <c r="F730" s="475" t="s">
        <v>481</v>
      </c>
      <c r="G730" s="135" t="str">
        <f>VLOOKUP(A730,Plano_V3!$A$26:$G$768,7,0)</f>
        <v>0. Cancelado</v>
      </c>
      <c r="H730" s="135" t="s">
        <v>611</v>
      </c>
      <c r="I730" s="468"/>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1"/>
        <v>modesg_inp_emss_nacenome_regiao</v>
      </c>
      <c r="B731" s="141" t="s">
        <v>26</v>
      </c>
      <c r="C731" s="137" t="s">
        <v>181</v>
      </c>
      <c r="D731" s="133" t="s">
        <v>40</v>
      </c>
      <c r="E731" s="134" t="s">
        <v>218</v>
      </c>
      <c r="F731" s="471" t="s">
        <v>220</v>
      </c>
      <c r="G731" s="135" t="str">
        <f>VLOOKUP(A731,Plano_V3!$A$26:$G$768,7,0)</f>
        <v>0. Cancelado</v>
      </c>
      <c r="H731" s="135" t="s">
        <v>611</v>
      </c>
      <c r="I731" s="468"/>
      <c r="J731" s="142"/>
      <c r="K731" s="142"/>
      <c r="L731" s="153"/>
      <c r="M731" s="153"/>
      <c r="N731" s="142"/>
      <c r="O731" s="142" t="s">
        <v>2354</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1"/>
        <v>modesg_inp_emss_nacearea_atividade</v>
      </c>
      <c r="B732" s="141" t="s">
        <v>26</v>
      </c>
      <c r="C732" s="137" t="s">
        <v>181</v>
      </c>
      <c r="D732" s="133" t="s">
        <v>40</v>
      </c>
      <c r="E732" s="134" t="s">
        <v>218</v>
      </c>
      <c r="F732" s="471" t="s">
        <v>643</v>
      </c>
      <c r="G732" s="135" t="str">
        <f>VLOOKUP(A732,Plano_V3!$A$26:$G$768,7,0)</f>
        <v>0. Cancelado</v>
      </c>
      <c r="H732" s="135" t="s">
        <v>611</v>
      </c>
      <c r="I732" s="468"/>
      <c r="J732" s="142"/>
      <c r="K732" s="142"/>
      <c r="L732" s="153"/>
      <c r="M732" s="153"/>
      <c r="N732" s="142"/>
      <c r="O732" s="142" t="s">
        <v>2354</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1"/>
        <v>modesg_inp_emss_nacetipo_atividade</v>
      </c>
      <c r="B733" s="141" t="s">
        <v>26</v>
      </c>
      <c r="C733" s="137" t="s">
        <v>181</v>
      </c>
      <c r="D733" s="133" t="s">
        <v>40</v>
      </c>
      <c r="E733" s="134" t="s">
        <v>218</v>
      </c>
      <c r="F733" s="471" t="s">
        <v>644</v>
      </c>
      <c r="G733" s="135" t="str">
        <f>VLOOKUP(A733,Plano_V3!$A$26:$G$768,7,0)</f>
        <v>0. Cancelado</v>
      </c>
      <c r="H733" s="135" t="s">
        <v>611</v>
      </c>
      <c r="I733" s="468"/>
      <c r="J733" s="142"/>
      <c r="K733" s="142"/>
      <c r="L733" s="153"/>
      <c r="M733" s="153"/>
      <c r="N733" s="142"/>
      <c r="O733" s="142" t="s">
        <v>2354</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1"/>
        <v>modesg_inp_emss_nacesub_tipo_atividade_1</v>
      </c>
      <c r="B734" s="141" t="s">
        <v>26</v>
      </c>
      <c r="C734" s="137" t="s">
        <v>181</v>
      </c>
      <c r="D734" s="133" t="s">
        <v>40</v>
      </c>
      <c r="E734" s="134" t="s">
        <v>218</v>
      </c>
      <c r="F734" s="471" t="s">
        <v>645</v>
      </c>
      <c r="G734" s="135" t="str">
        <f>VLOOKUP(A734,Plano_V3!$A$26:$G$768,7,0)</f>
        <v>0. Cancelado</v>
      </c>
      <c r="H734" s="135" t="s">
        <v>611</v>
      </c>
      <c r="I734" s="468"/>
      <c r="J734" s="142"/>
      <c r="K734" s="142"/>
      <c r="L734" s="153"/>
      <c r="M734" s="153"/>
      <c r="N734" s="142"/>
      <c r="O734" s="142" t="s">
        <v>2354</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1"/>
        <v>modesg_inp_emss_nacesub_tipo_atividade_2</v>
      </c>
      <c r="B735" s="141" t="s">
        <v>26</v>
      </c>
      <c r="C735" s="137" t="s">
        <v>181</v>
      </c>
      <c r="D735" s="133" t="s">
        <v>40</v>
      </c>
      <c r="E735" s="134" t="s">
        <v>218</v>
      </c>
      <c r="F735" s="471" t="s">
        <v>646</v>
      </c>
      <c r="G735" s="135" t="str">
        <f>VLOOKUP(A735,Plano_V3!$A$26:$G$768,7,0)</f>
        <v>0. Cancelado</v>
      </c>
      <c r="H735" s="135" t="s">
        <v>611</v>
      </c>
      <c r="I735" s="468"/>
      <c r="J735" s="142"/>
      <c r="K735" s="142"/>
      <c r="L735" s="153"/>
      <c r="M735" s="153"/>
      <c r="N735" s="142"/>
      <c r="O735" s="142" t="s">
        <v>2354</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1"/>
        <v>modesg_inp_emss_naceunidades_unidade_funcional</v>
      </c>
      <c r="B736" s="141" t="s">
        <v>26</v>
      </c>
      <c r="C736" s="137" t="s">
        <v>181</v>
      </c>
      <c r="D736" s="133" t="s">
        <v>40</v>
      </c>
      <c r="E736" s="134" t="s">
        <v>218</v>
      </c>
      <c r="F736" s="471" t="s">
        <v>647</v>
      </c>
      <c r="G736" s="135" t="str">
        <f>VLOOKUP(A736,Plano_V3!$A$26:$G$768,7,0)</f>
        <v>0. Cancelado</v>
      </c>
      <c r="H736" s="135" t="s">
        <v>611</v>
      </c>
      <c r="I736" s="468"/>
      <c r="J736" s="142"/>
      <c r="K736" s="142"/>
      <c r="L736" s="153"/>
      <c r="M736" s="153"/>
      <c r="N736" s="142"/>
      <c r="O736" s="142" t="s">
        <v>2354</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1"/>
        <v>modesg_inp_emss_nacefator_emissao</v>
      </c>
      <c r="B737" s="141" t="s">
        <v>26</v>
      </c>
      <c r="C737" s="137" t="s">
        <v>181</v>
      </c>
      <c r="D737" s="133" t="s">
        <v>40</v>
      </c>
      <c r="E737" s="134" t="s">
        <v>218</v>
      </c>
      <c r="F737" s="471" t="s">
        <v>648</v>
      </c>
      <c r="G737" s="135" t="str">
        <f>VLOOKUP(A737,Plano_V3!$A$26:$G$768,7,0)</f>
        <v>0. Cancelado</v>
      </c>
      <c r="H737" s="135" t="s">
        <v>611</v>
      </c>
      <c r="I737" s="468"/>
      <c r="J737" s="142"/>
      <c r="K737" s="142"/>
      <c r="L737" s="153"/>
      <c r="M737" s="153"/>
      <c r="N737" s="142"/>
      <c r="O737" s="142" t="s">
        <v>2354</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1"/>
        <v>modesg_inp_km_medios_emss_vclsmedia_scp1_emss</v>
      </c>
      <c r="B738" s="141" t="s">
        <v>26</v>
      </c>
      <c r="C738" s="137" t="s">
        <v>181</v>
      </c>
      <c r="D738" s="133" t="s">
        <v>40</v>
      </c>
      <c r="E738" s="134" t="s">
        <v>213</v>
      </c>
      <c r="F738" s="471" t="s">
        <v>649</v>
      </c>
      <c r="G738" s="135" t="str">
        <f>VLOOKUP(A738,Plano_V3!$A$26:$G$768,7,0)</f>
        <v>0. Cancelado</v>
      </c>
      <c r="H738" s="135" t="s">
        <v>611</v>
      </c>
      <c r="I738" s="468"/>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1"/>
        <v>modesg_inp_km_medios_emss_vclsmedia_scp2_emss</v>
      </c>
      <c r="B739" s="141" t="s">
        <v>26</v>
      </c>
      <c r="C739" s="137" t="s">
        <v>181</v>
      </c>
      <c r="D739" s="133" t="s">
        <v>40</v>
      </c>
      <c r="E739" s="134" t="s">
        <v>213</v>
      </c>
      <c r="F739" s="471" t="s">
        <v>650</v>
      </c>
      <c r="G739" s="135" t="str">
        <f>VLOOKUP(A739,Plano_V3!$A$26:$G$768,7,0)</f>
        <v>0. Cancelado</v>
      </c>
      <c r="H739" s="135" t="s">
        <v>611</v>
      </c>
      <c r="I739" s="468"/>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1"/>
        <v>modesg_inp_km_medios_emss_vclsmedia_scp3_emss</v>
      </c>
      <c r="B740" s="145" t="s">
        <v>26</v>
      </c>
      <c r="C740" s="146" t="s">
        <v>181</v>
      </c>
      <c r="D740" s="147" t="s">
        <v>40</v>
      </c>
      <c r="E740" s="148" t="s">
        <v>213</v>
      </c>
      <c r="F740" s="476" t="s">
        <v>651</v>
      </c>
      <c r="G740" s="149" t="str">
        <f>VLOOKUP(A740,Plano_V3!$A$26:$G$768,7,0)</f>
        <v>0. Cancelado</v>
      </c>
      <c r="H740" s="135" t="s">
        <v>611</v>
      </c>
      <c r="I740" s="469"/>
      <c r="J740" s="150"/>
      <c r="K740" s="150"/>
      <c r="L740" s="492"/>
      <c r="M740" s="492"/>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E5" zoomScale="90" zoomScaleNormal="90" workbookViewId="0">
      <selection activeCell="I1326" sqref="I1326"/>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7" t="s">
        <v>2456</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5"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3"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3"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3"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3"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4"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4"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3"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3"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3"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3"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3"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3"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3"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3"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3"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3"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4"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4"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3"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3"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3"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3"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3"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3"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3"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3"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3"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3"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3"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3"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3"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3"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3"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3"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3"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3"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3"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3"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3"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3"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3"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3"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3"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3"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3"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3"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3"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3"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3"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3"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3"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3"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3"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3"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3"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3"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3"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3"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3"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3"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3"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3"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3"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3"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3"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3"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3"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3"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3"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3"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3"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3"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3"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3"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3"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3"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3"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3"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3"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3"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3"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3"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3"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3"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3"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3"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3"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3"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3"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3"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3"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3"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3"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3"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3"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3"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3"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3"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3"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3"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3"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3"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3"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3"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3"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3"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3"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3"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3"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3"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3"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3"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3"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3"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3"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3"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3"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3"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3"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3"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3"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3"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3"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3"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3"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3"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3"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3"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3"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3"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3"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3"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3"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3"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3"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3"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3"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3"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3"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3"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3"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3"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3"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3"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3"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3"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3"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3"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3"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3"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3"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3"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3"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3"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3"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3"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3"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3"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3"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3"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3"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3"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3"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3"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3"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3"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3"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3"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3"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3"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3"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3"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3"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3"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3"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3"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3"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3"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3"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3"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3"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3"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3"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3"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3"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3"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3"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3"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3"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3"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3"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3"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3"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3"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3"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3"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3"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3"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3"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3"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3"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3"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3"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3"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3"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3"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3"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3"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3"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3"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3"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3"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3"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3"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3"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3"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3"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3"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3"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3"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3"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3"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3"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3"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3"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3"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3"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3"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3"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3"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3"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3"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3"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3"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3"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3"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3"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3"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3"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3"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3"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3"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3"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3"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3"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3"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3"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3"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3"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3"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3"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3"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3"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3"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3"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3"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3"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3"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3"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3"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3"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3"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3"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3"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3"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3"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3"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3"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3"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3"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3"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3"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3"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3"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3"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3"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3"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3"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3"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3"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3"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3"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3"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3"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3"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3"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3"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3"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3"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3"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3"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3"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3"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3"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3"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3"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3"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3"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3"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3"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3"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3"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3"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3"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3"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3"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3"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3"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3"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3"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3"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3"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3"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3"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3"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3"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3"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3"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3"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3"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3"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3"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3"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3"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3"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3"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3"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3"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3"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3"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3"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3"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3"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3"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3"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3"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3"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3"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3"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3"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3"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3"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3"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3"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3"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3"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3"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3"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3"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3"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3"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3"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3"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3"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3"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3"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3"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3"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3"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3"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3"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3"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3"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3"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3"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3"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3"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3"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3"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3"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3"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3"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3"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3"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3"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3"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3"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3"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3"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3"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3"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3"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3"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3"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3"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3"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3"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3"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3"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3"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3"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3"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3"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3"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3"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3"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3"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3"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3"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3"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3"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3"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3"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3"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3"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3"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2429</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3"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2430</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3"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3"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3"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3"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3"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3"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3"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3"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3"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3"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3"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3"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3"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3"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3"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3"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3"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3"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3"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3"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3"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3"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3"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3"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3"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3"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3"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3"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3"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3"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3"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3"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3"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3"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3"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3"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3"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3"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3"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3"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3"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3"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3"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3"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3"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3"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3"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3"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3"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3"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3"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3"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3"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3"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3"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3"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3"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3"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3"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3"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3"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3"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3"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3"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3"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3"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3"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3"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3"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3"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3"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3"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3"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3"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3"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3"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3"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3"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3"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3"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3"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3"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3"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3"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3"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3"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3"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3"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3"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3"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2437</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3"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2437</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3"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2437</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3"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2438</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3"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2438</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3"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2438</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3"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3"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3"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3"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3"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3"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3"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3"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3"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3"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3"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3"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3"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3"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3"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3"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3"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3"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3"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3"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3"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3"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3"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3"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3"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3"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3"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3"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3"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3"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3"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3"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3"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3"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3"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3"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3"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3"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3"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3"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3"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3"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3"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3"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3"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3"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3"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3"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3"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3"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3"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3"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3"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3"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3"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3"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3"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3"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3"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3"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3"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3"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3"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3"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3"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3"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3"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3"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3"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3"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3"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3"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3"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3"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3"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3"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3"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3"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3"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3"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3"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3"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3"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3"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3"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3"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3"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3"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3"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3"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3"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3"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3"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3"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3"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3"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3"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3"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3"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3"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3"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3"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3"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3"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3"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3"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3"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3"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3"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3"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3"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3"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3"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3"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3"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3"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3"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3"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3"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3"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3"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3"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3"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3"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3"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3"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3"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3"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3"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3"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3"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3"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3"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3"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3"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3"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3"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3"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3"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3"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3"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3"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3"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3"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3"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3"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3"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3"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3"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3"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3"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3"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3"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3"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3"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3"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3"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3"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3"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3"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3"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3"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3"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3"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3"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3"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3"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3"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3"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3"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3"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3"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3"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3"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3"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3"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3"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3"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3"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3"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3"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3"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3"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3"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3"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3"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3"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3"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3"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3"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3"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3"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3"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3"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3"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3"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3"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3"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3"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3"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3"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3"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3"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3"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3"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3"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3"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3"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3"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3"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3"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3"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3"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3"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3"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3"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3"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3"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3"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3"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3"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3"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3"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3"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3"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3"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3"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3"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3"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3"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3"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3"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3"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3"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3"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3"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3"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3"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3"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3"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3"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3"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3"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3"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3"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3"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3"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3"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3"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3"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3"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3"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3"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3"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3"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3"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3"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3"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3"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3"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3"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3"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3"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3"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3"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3"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3"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3"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3"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3"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3"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3"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3"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1840</v>
      </c>
      <c r="J785" s="42">
        <f>VLOOKUP(Table1[[#This Row],[Status]],Auxiliar!$B$16:$C$24,2,0)</f>
        <v>2</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4</v>
      </c>
      <c r="X785" s="165">
        <f>+VLOOKUP(CONCATENATE(Table1[[#This Row],[Tabela]],Table1[[#This Row],[Campo]]),'2. Status Detalhe Campos FY24'!A:J,9,FALSE)</f>
        <v>0</v>
      </c>
      <c r="Y785" s="493"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1840</v>
      </c>
      <c r="J786" s="42">
        <f>VLOOKUP(Table1[[#This Row],[Status]],Auxiliar!$B$16:$C$24,2,0)</f>
        <v>2</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165">
        <f>+VLOOKUP(CONCATENATE(Table1[[#This Row],[Tabela]],Table1[[#This Row],[Campo]]),'2. Status Detalhe Campos FY24'!A:J,9,FALSE)</f>
        <v>0</v>
      </c>
      <c r="Y786" s="493"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1840</v>
      </c>
      <c r="J787" s="42">
        <f>VLOOKUP(Table1[[#This Row],[Status]],Auxiliar!$B$16:$C$24,2,0)</f>
        <v>2</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165">
        <f>+VLOOKUP(CONCATENATE(Table1[[#This Row],[Tabela]],Table1[[#This Row],[Campo]]),'2. Status Detalhe Campos FY24'!A:J,9,FALSE)</f>
        <v>0</v>
      </c>
      <c r="Y787" s="493"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1840</v>
      </c>
      <c r="J788" s="42">
        <f>VLOOKUP(Table1[[#This Row],[Status]],Auxiliar!$B$16:$C$24,2,0)</f>
        <v>2</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165">
        <f>+VLOOKUP(CONCATENATE(Table1[[#This Row],[Tabela]],Table1[[#This Row],[Campo]]),'2. Status Detalhe Campos FY24'!A:J,9,FALSE)</f>
        <v>0</v>
      </c>
      <c r="Y788" s="493"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1840</v>
      </c>
      <c r="J789" s="42">
        <f>VLOOKUP(Table1[[#This Row],[Status]],Auxiliar!$B$16:$C$24,2,0)</f>
        <v>2</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1</v>
      </c>
      <c r="X789" s="165">
        <f>+VLOOKUP(CONCATENATE(Table1[[#This Row],[Tabela]],Table1[[#This Row],[Campo]]),'2. Status Detalhe Campos FY24'!A:J,9,FALSE)</f>
        <v>0</v>
      </c>
      <c r="Y789" s="493"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1840</v>
      </c>
      <c r="J790" s="42">
        <f>VLOOKUP(Table1[[#This Row],[Status]],Auxiliar!$B$16:$C$24,2,0)</f>
        <v>2</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1</v>
      </c>
      <c r="X790" s="165">
        <f>+VLOOKUP(CONCATENATE(Table1[[#This Row],[Tabela]],Table1[[#This Row],[Campo]]),'2. Status Detalhe Campos FY24'!A:J,9,FALSE)</f>
        <v>0</v>
      </c>
      <c r="Y790" s="493"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1840</v>
      </c>
      <c r="J791" s="42">
        <f>VLOOKUP(Table1[[#This Row],[Status]],Auxiliar!$B$16:$C$24,2,0)</f>
        <v>2</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0.05</v>
      </c>
      <c r="X791" s="165">
        <f>+VLOOKUP(CONCATENATE(Table1[[#This Row],[Tabela]],Table1[[#This Row],[Campo]]),'2. Status Detalhe Campos FY24'!A:J,9,FALSE)</f>
        <v>0</v>
      </c>
      <c r="Y791" s="493"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1840</v>
      </c>
      <c r="J792" s="42">
        <f>VLOOKUP(Table1[[#This Row],[Status]],Auxiliar!$B$16:$C$24,2,0)</f>
        <v>2</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1</v>
      </c>
      <c r="X792" s="165">
        <f>+VLOOKUP(CONCATENATE(Table1[[#This Row],[Tabela]],Table1[[#This Row],[Campo]]),'2. Status Detalhe Campos FY24'!A:J,9,FALSE)</f>
        <v>0</v>
      </c>
      <c r="Y792" s="493"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1840</v>
      </c>
      <c r="J793" s="42">
        <f>VLOOKUP(Table1[[#This Row],[Status]],Auxiliar!$B$16:$C$24,2,0)</f>
        <v>2</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1</v>
      </c>
      <c r="X793" s="165">
        <f>+VLOOKUP(CONCATENATE(Table1[[#This Row],[Tabela]],Table1[[#This Row],[Campo]]),'2. Status Detalhe Campos FY24'!A:J,9,FALSE)</f>
        <v>0</v>
      </c>
      <c r="Y793" s="493"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1840</v>
      </c>
      <c r="J794" s="42">
        <f>VLOOKUP(Table1[[#This Row],[Status]],Auxiliar!$B$16:$C$24,2,0)</f>
        <v>2</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0.05</v>
      </c>
      <c r="X794" s="165">
        <f>+VLOOKUP(CONCATENATE(Table1[[#This Row],[Tabela]],Table1[[#This Row],[Campo]]),'2. Status Detalhe Campos FY24'!A:J,9,FALSE)</f>
        <v>0</v>
      </c>
      <c r="Y794" s="493"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3"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3"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3"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3"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3"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3"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2408</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3"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1840</v>
      </c>
      <c r="J802" s="42">
        <f>VLOOKUP(Table1[[#This Row],[Status]],Auxiliar!$B$16:$C$24,2,0)</f>
        <v>2</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4</v>
      </c>
      <c r="X802" s="165">
        <f>+VLOOKUP(CONCATENATE(Table1[[#This Row],[Tabela]],Table1[[#This Row],[Campo]]),'2. Status Detalhe Campos FY24'!A:J,9,FALSE)</f>
        <v>0</v>
      </c>
      <c r="Y802" s="493"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1840</v>
      </c>
      <c r="J803" s="42">
        <f>VLOOKUP(Table1[[#This Row],[Status]],Auxiliar!$B$16:$C$24,2,0)</f>
        <v>2</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4</v>
      </c>
      <c r="X803" s="165">
        <f>+VLOOKUP(CONCATENATE(Table1[[#This Row],[Tabela]],Table1[[#This Row],[Campo]]),'2. Status Detalhe Campos FY24'!A:J,9,FALSE)</f>
        <v>0</v>
      </c>
      <c r="Y803" s="493"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1840</v>
      </c>
      <c r="J804" s="42">
        <f>VLOOKUP(Table1[[#This Row],[Status]],Auxiliar!$B$16:$C$24,2,0)</f>
        <v>2</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0.05</v>
      </c>
      <c r="X804" s="165">
        <f>+VLOOKUP(CONCATENATE(Table1[[#This Row],[Tabela]],Table1[[#This Row],[Campo]]),'2. Status Detalhe Campos FY24'!A:J,9,FALSE)</f>
        <v>0</v>
      </c>
      <c r="Y804" s="493"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1840</v>
      </c>
      <c r="J805" s="42">
        <f>VLOOKUP(Table1[[#This Row],[Status]],Auxiliar!$B$16:$C$24,2,0)</f>
        <v>2</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4</v>
      </c>
      <c r="X805" s="165">
        <f>+VLOOKUP(CONCATENATE(Table1[[#This Row],[Tabela]],Table1[[#This Row],[Campo]]),'2. Status Detalhe Campos FY24'!A:J,9,FALSE)</f>
        <v>0</v>
      </c>
      <c r="Y805" s="493"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1840</v>
      </c>
      <c r="J806" s="42">
        <f>VLOOKUP(Table1[[#This Row],[Status]],Auxiliar!$B$16:$C$24,2,0)</f>
        <v>2</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4</v>
      </c>
      <c r="X806" s="165">
        <f>+VLOOKUP(CONCATENATE(Table1[[#This Row],[Tabela]],Table1[[#This Row],[Campo]]),'2. Status Detalhe Campos FY24'!A:J,9,FALSE)</f>
        <v>0</v>
      </c>
      <c r="Y806" s="493"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1840</v>
      </c>
      <c r="J807" s="42">
        <f>VLOOKUP(Table1[[#This Row],[Status]],Auxiliar!$B$16:$C$24,2,0)</f>
        <v>2</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0.05</v>
      </c>
      <c r="X807" s="165">
        <f>+VLOOKUP(CONCATENATE(Table1[[#This Row],[Tabela]],Table1[[#This Row],[Campo]]),'2. Status Detalhe Campos FY24'!A:J,9,FALSE)</f>
        <v>0</v>
      </c>
      <c r="Y807" s="493"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1840</v>
      </c>
      <c r="J808" s="42">
        <f>VLOOKUP(Table1[[#This Row],[Status]],Auxiliar!$B$16:$C$24,2,0)</f>
        <v>2</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2</v>
      </c>
      <c r="X808" s="165">
        <f>+VLOOKUP(CONCATENATE(Table1[[#This Row],[Tabela]],Table1[[#This Row],[Campo]]),'2. Status Detalhe Campos FY24'!A:J,9,FALSE)</f>
        <v>0</v>
      </c>
      <c r="Y808" s="493"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1840</v>
      </c>
      <c r="J809" s="42">
        <f>VLOOKUP(Table1[[#This Row],[Status]],Auxiliar!$B$16:$C$24,2,0)</f>
        <v>2</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2</v>
      </c>
      <c r="X809" s="165">
        <f>+VLOOKUP(CONCATENATE(Table1[[#This Row],[Tabela]],Table1[[#This Row],[Campo]]),'2. Status Detalhe Campos FY24'!A:J,9,FALSE)</f>
        <v>0</v>
      </c>
      <c r="Y809" s="493"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1840</v>
      </c>
      <c r="J810" s="42">
        <f>VLOOKUP(Table1[[#This Row],[Status]],Auxiliar!$B$16:$C$24,2,0)</f>
        <v>2</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0.05</v>
      </c>
      <c r="X810" s="165">
        <f>+VLOOKUP(CONCATENATE(Table1[[#This Row],[Tabela]],Table1[[#This Row],[Campo]]),'2. Status Detalhe Campos FY24'!A:J,9,FALSE)</f>
        <v>0</v>
      </c>
      <c r="Y810" s="493"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1840</v>
      </c>
      <c r="J811" s="42">
        <f>VLOOKUP(Table1[[#This Row],[Status]],Auxiliar!$B$16:$C$24,2,0)</f>
        <v>2</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2</v>
      </c>
      <c r="X811" s="165">
        <f>+VLOOKUP(CONCATENATE(Table1[[#This Row],[Tabela]],Table1[[#This Row],[Campo]]),'2. Status Detalhe Campos FY24'!A:J,9,FALSE)</f>
        <v>0</v>
      </c>
      <c r="Y811" s="493"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1840</v>
      </c>
      <c r="J812" s="42">
        <f>VLOOKUP(Table1[[#This Row],[Status]],Auxiliar!$B$16:$C$24,2,0)</f>
        <v>2</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2</v>
      </c>
      <c r="X812" s="165">
        <f>+VLOOKUP(CONCATENATE(Table1[[#This Row],[Tabela]],Table1[[#This Row],[Campo]]),'2. Status Detalhe Campos FY24'!A:J,9,FALSE)</f>
        <v>0</v>
      </c>
      <c r="Y812" s="493"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1840</v>
      </c>
      <c r="J813" s="42">
        <f>VLOOKUP(Table1[[#This Row],[Status]],Auxiliar!$B$16:$C$24,2,0)</f>
        <v>2</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0.05</v>
      </c>
      <c r="X813" s="165">
        <f>+VLOOKUP(CONCATENATE(Table1[[#This Row],[Tabela]],Table1[[#This Row],[Campo]]),'2. Status Detalhe Campos FY24'!A:J,9,FALSE)</f>
        <v>0</v>
      </c>
      <c r="Y813" s="493"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1840</v>
      </c>
      <c r="J814" s="42">
        <f>VLOOKUP(Table1[[#This Row],[Status]],Auxiliar!$B$16:$C$24,2,0)</f>
        <v>2</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2</v>
      </c>
      <c r="X814" s="165">
        <f>+VLOOKUP(CONCATENATE(Table1[[#This Row],[Tabela]],Table1[[#This Row],[Campo]]),'2. Status Detalhe Campos FY24'!A:J,9,FALSE)</f>
        <v>0</v>
      </c>
      <c r="Y814" s="493"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1840</v>
      </c>
      <c r="J815" s="42">
        <f>VLOOKUP(Table1[[#This Row],[Status]],Auxiliar!$B$16:$C$24,2,0)</f>
        <v>2</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2</v>
      </c>
      <c r="X815" s="165">
        <f>+VLOOKUP(CONCATENATE(Table1[[#This Row],[Tabela]],Table1[[#This Row],[Campo]]),'2. Status Detalhe Campos FY24'!A:J,9,FALSE)</f>
        <v>0</v>
      </c>
      <c r="Y815" s="493"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1840</v>
      </c>
      <c r="J816" s="42">
        <f>VLOOKUP(Table1[[#This Row],[Status]],Auxiliar!$B$16:$C$24,2,0)</f>
        <v>2</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0.05</v>
      </c>
      <c r="X816" s="165">
        <f>+VLOOKUP(CONCATENATE(Table1[[#This Row],[Tabela]],Table1[[#This Row],[Campo]]),'2. Status Detalhe Campos FY24'!A:J,9,FALSE)</f>
        <v>0</v>
      </c>
      <c r="Y816" s="493"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1840</v>
      </c>
      <c r="J817" s="42">
        <f>VLOOKUP(Table1[[#This Row],[Status]],Auxiliar!$B$16:$C$24,2,0)</f>
        <v>2</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2</v>
      </c>
      <c r="X817" s="165">
        <f>+VLOOKUP(CONCATENATE(Table1[[#This Row],[Tabela]],Table1[[#This Row],[Campo]]),'2. Status Detalhe Campos FY24'!A:J,9,FALSE)</f>
        <v>0</v>
      </c>
      <c r="Y817" s="493"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1840</v>
      </c>
      <c r="J818" s="42">
        <f>VLOOKUP(Table1[[#This Row],[Status]],Auxiliar!$B$16:$C$24,2,0)</f>
        <v>2</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2</v>
      </c>
      <c r="X818" s="165">
        <f>+VLOOKUP(CONCATENATE(Table1[[#This Row],[Tabela]],Table1[[#This Row],[Campo]]),'2. Status Detalhe Campos FY24'!A:J,9,FALSE)</f>
        <v>0</v>
      </c>
      <c r="Y818" s="493"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1840</v>
      </c>
      <c r="J819" s="42">
        <f>VLOOKUP(Table1[[#This Row],[Status]],Auxiliar!$B$16:$C$24,2,0)</f>
        <v>2</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0.05</v>
      </c>
      <c r="X819" s="165">
        <f>+VLOOKUP(CONCATENATE(Table1[[#This Row],[Tabela]],Table1[[#This Row],[Campo]]),'2. Status Detalhe Campos FY24'!A:J,9,FALSE)</f>
        <v>0</v>
      </c>
      <c r="Y819" s="493"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1840</v>
      </c>
      <c r="J820" s="42">
        <f>VLOOKUP(Table1[[#This Row],[Status]],Auxiliar!$B$16:$C$24,2,0)</f>
        <v>2</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2</v>
      </c>
      <c r="X820" s="165">
        <f>+VLOOKUP(CONCATENATE(Table1[[#This Row],[Tabela]],Table1[[#This Row],[Campo]]),'2. Status Detalhe Campos FY24'!A:J,9,FALSE)</f>
        <v>0</v>
      </c>
      <c r="Y820" s="493"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1840</v>
      </c>
      <c r="J821" s="42">
        <f>VLOOKUP(Table1[[#This Row],[Status]],Auxiliar!$B$16:$C$24,2,0)</f>
        <v>2</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2</v>
      </c>
      <c r="X821" s="165">
        <f>+VLOOKUP(CONCATENATE(Table1[[#This Row],[Tabela]],Table1[[#This Row],[Campo]]),'2. Status Detalhe Campos FY24'!A:J,9,FALSE)</f>
        <v>0</v>
      </c>
      <c r="Y821" s="493"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1840</v>
      </c>
      <c r="J822" s="42">
        <f>VLOOKUP(Table1[[#This Row],[Status]],Auxiliar!$B$16:$C$24,2,0)</f>
        <v>2</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0.05</v>
      </c>
      <c r="X822" s="165">
        <f>+VLOOKUP(CONCATENATE(Table1[[#This Row],[Tabela]],Table1[[#This Row],[Campo]]),'2. Status Detalhe Campos FY24'!A:J,9,FALSE)</f>
        <v>0</v>
      </c>
      <c r="Y822" s="493"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1840</v>
      </c>
      <c r="J823" s="42">
        <f>VLOOKUP(Table1[[#This Row],[Status]],Auxiliar!$B$16:$C$24,2,0)</f>
        <v>2</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3"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3"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3"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3"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1840</v>
      </c>
      <c r="J827" s="42">
        <f>VLOOKUP(Table1[[#This Row],[Status]],Auxiliar!$B$16:$C$24,2,0)</f>
        <v>2</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1</v>
      </c>
      <c r="X827" s="165">
        <f>+VLOOKUP(CONCATENATE(Table1[[#This Row],[Tabela]],Table1[[#This Row],[Campo]]),'2. Status Detalhe Campos FY24'!A:J,9,FALSE)</f>
        <v>0</v>
      </c>
      <c r="Y827" s="493"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1840</v>
      </c>
      <c r="J828" s="42">
        <f>VLOOKUP(Table1[[#This Row],[Status]],Auxiliar!$B$16:$C$24,2,0)</f>
        <v>2</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1</v>
      </c>
      <c r="X828" s="165">
        <f>+VLOOKUP(CONCATENATE(Table1[[#This Row],[Tabela]],Table1[[#This Row],[Campo]]),'2. Status Detalhe Campos FY24'!A:J,9,FALSE)</f>
        <v>0</v>
      </c>
      <c r="Y828" s="493"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1840</v>
      </c>
      <c r="J829" s="42">
        <f>VLOOKUP(Table1[[#This Row],[Status]],Auxiliar!$B$16:$C$24,2,0)</f>
        <v>2</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0.05</v>
      </c>
      <c r="X829" s="165">
        <f>+VLOOKUP(CONCATENATE(Table1[[#This Row],[Tabela]],Table1[[#This Row],[Campo]]),'2. Status Detalhe Campos FY24'!A:J,9,FALSE)</f>
        <v>0</v>
      </c>
      <c r="Y829" s="493"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1840</v>
      </c>
      <c r="J830" s="42">
        <f>VLOOKUP(Table1[[#This Row],[Status]],Auxiliar!$B$16:$C$24,2,0)</f>
        <v>2</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2</v>
      </c>
      <c r="X830" s="165">
        <f>+VLOOKUP(CONCATENATE(Table1[[#This Row],[Tabela]],Table1[[#This Row],[Campo]]),'2. Status Detalhe Campos FY24'!A:J,9,FALSE)</f>
        <v>0</v>
      </c>
      <c r="Y830" s="493"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1840</v>
      </c>
      <c r="J831" s="42">
        <f>VLOOKUP(Table1[[#This Row],[Status]],Auxiliar!$B$16:$C$24,2,0)</f>
        <v>2</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2</v>
      </c>
      <c r="X831" s="165">
        <f>+VLOOKUP(CONCATENATE(Table1[[#This Row],[Tabela]],Table1[[#This Row],[Campo]]),'2. Status Detalhe Campos FY24'!A:J,9,FALSE)</f>
        <v>0</v>
      </c>
      <c r="Y831" s="493"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1840</v>
      </c>
      <c r="J832" s="42">
        <f>VLOOKUP(Table1[[#This Row],[Status]],Auxiliar!$B$16:$C$24,2,0)</f>
        <v>2</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0.05</v>
      </c>
      <c r="X832" s="165">
        <f>+VLOOKUP(CONCATENATE(Table1[[#This Row],[Tabela]],Table1[[#This Row],[Campo]]),'2. Status Detalhe Campos FY24'!A:J,9,FALSE)</f>
        <v>0</v>
      </c>
      <c r="Y832" s="493"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3"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3"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2408</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3"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3"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2416</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3"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3"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3"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3"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2408</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3"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3"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3"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3"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3"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3"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3"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3"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3"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3"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3"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3"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3"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2403</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3"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2403</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3"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3"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3"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3"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3"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3"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2410</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3"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3"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3"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3"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3"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3"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3"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3"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3"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3"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3"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3"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3"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2417</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3"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3"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3"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3"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3"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3"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3"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3"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3"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3"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3"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3"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3"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3"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3"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3"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3"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3"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3"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3"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3"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3"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3"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3"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2401</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3"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2401</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3"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3"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3"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3"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3"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2410</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3"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3"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3"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3"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3"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3"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3"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3"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3"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3"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3"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3"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3"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3"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3"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3"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3"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3"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3"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2412</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3"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2412</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3"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3"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3"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3"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3"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3"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3"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3"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3"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3"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3"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3"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3"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3"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3"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3"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3"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3"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3"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3"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3"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3"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3"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3"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3"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3"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3"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3"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3"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3"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3"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3"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3"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3"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3"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3"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3"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3"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3"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3"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3"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3"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3"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3"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3"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3"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3"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3"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3"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3"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3"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3"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3"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3"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3"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3"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3"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3"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3"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3"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3"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3"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3"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3"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3"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3"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3"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3"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3"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3"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3"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3"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3"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3"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3"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3"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3"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3"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3"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3"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3"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3"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3"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3"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3"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3"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3"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3"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3"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3"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3"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3"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3"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3"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3"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3"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3"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3"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3"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3"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3"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3"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3"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3"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3"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3"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3"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3"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3"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3"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3"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3"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3"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3"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3"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3"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3"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3"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3"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3"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3"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3"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3"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3"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3"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3"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3"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3"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3"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3"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3"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3"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3"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3"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3"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3"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3"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3"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3"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3"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3"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3"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3"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3"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3"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3"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3"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3"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3"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3"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3"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3"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3"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3"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3"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3"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3"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3"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3"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3"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3"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3"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3"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3"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3"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3"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3"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3"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3"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3"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3"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3"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3"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3"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3"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3"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3"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3"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3"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3"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3"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3"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3"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3"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3"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3"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3"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3"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3"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3"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3"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3"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3"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3"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3"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3"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3"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3"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3"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3"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3"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3"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3"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3"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3"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3"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3"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3"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3"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3"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3"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3"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3"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3"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3"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3"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3"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3"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3"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3"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3"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3"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3"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3"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3"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3"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3"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3"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3"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3"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3"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3"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3"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3"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3"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3"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3"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3"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3"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3"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3"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3"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3"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3"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3"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3"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3"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3"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3"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3"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3"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3"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3"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3"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3"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3"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3"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3"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3"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3"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3"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3"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3"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3"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3"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3"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3"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3"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3"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3"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3"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3"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3"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3"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3"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3"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3"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3"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3"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3"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3"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3"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3"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3"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3"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3"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3"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3"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3"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3"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3"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3"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3"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3"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3"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3"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3"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3"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3"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3"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3"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3"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3"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3"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3"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3"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3"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3"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3"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3"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3"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3"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3"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3"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3"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3"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3"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3"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3"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3"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3"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3"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3"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3"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3"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3"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3"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3"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3"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3"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3"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3"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3"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3"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3"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3"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3"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3"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3"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3"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3"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3"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3"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3"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3"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3"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3"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3"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3"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3"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3"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3"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3"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3"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3"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3"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3"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3"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3"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3"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3"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3"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3"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3"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3"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3"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3"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3"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3"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3"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3"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3"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3"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3"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3"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3"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3"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3"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3"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3"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3"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3"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3"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3"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3"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3"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3"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3"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3"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3"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3"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3"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3"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3"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3"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3"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3"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3"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3"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3" t="e">
        <f>+VLOOKUP(A1323,#REF!,1,FALSE)</f>
        <v>#REF!</v>
      </c>
    </row>
    <row r="1324" spans="1:25" ht="17.899999999999999"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3" t="e">
        <f>+VLOOKUP(A1324,#REF!,1,FALSE)</f>
        <v>#REF!</v>
      </c>
    </row>
    <row r="1325" spans="1:25" ht="17.899999999999999"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3" t="e">
        <f>+VLOOKUP(A1325,#REF!,1,FALSE)</f>
        <v>#REF!</v>
      </c>
    </row>
    <row r="1326" spans="1:25" ht="35.15"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3" t="e">
        <f>+VLOOKUP(A1326,#REF!,1,FALSE)</f>
        <v>#REF!</v>
      </c>
    </row>
    <row r="1327" spans="1:25" ht="17.899999999999999"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3" t="e">
        <f>+VLOOKUP(A1327,#REF!,1,FALSE)</f>
        <v>#REF!</v>
      </c>
    </row>
    <row r="1328" spans="1:25" ht="17.899999999999999"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3" t="e">
        <f>+VLOOKUP(A1328,#REF!,1,FALSE)</f>
        <v>#REF!</v>
      </c>
    </row>
    <row r="1329" spans="1:25" ht="35.15"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3" t="e">
        <f>+VLOOKUP(A1329,#REF!,1,FALSE)</f>
        <v>#REF!</v>
      </c>
    </row>
    <row r="1330" spans="1:25" ht="17.899999999999999"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3" t="e">
        <f>+VLOOKUP(A1330,#REF!,1,FALSE)</f>
        <v>#REF!</v>
      </c>
    </row>
    <row r="1331" spans="1:25" ht="17.899999999999999"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3" t="e">
        <f>+VLOOKUP(A1331,#REF!,1,FALSE)</f>
        <v>#REF!</v>
      </c>
    </row>
    <row r="1332" spans="1:25" ht="17.899999999999999"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3"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3"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3"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3"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3"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3"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3"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3"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3"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3"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3"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3"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3"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3"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3"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3"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3"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3"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3"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3"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3"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3"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3"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3"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3"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3"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3"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3"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3"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3"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3"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3"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3"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3"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3"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3"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3"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3"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3"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3"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3"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3"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3"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3"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3"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3"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3"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3"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3"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3"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3"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3"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3"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3"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3"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3"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3"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3"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3"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3"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3"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3"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3"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3"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3"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3"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3"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3"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3"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3"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3"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3"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3"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3"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3"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3"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3"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3"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3"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3"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3"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3"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3"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3"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3"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3"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3"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3"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3"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3"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3"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3"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1840</v>
      </c>
      <c r="J1424" s="44">
        <f>VLOOKUP(Table1[[#This Row],[Status]],Auxiliar!$B$16:$C$24,2,0)</f>
        <v>2</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3"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3"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1840</v>
      </c>
      <c r="J1426" s="44">
        <f>VLOOKUP(Table1[[#This Row],[Status]],Auxiliar!$B$16:$C$24,2,0)</f>
        <v>2</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3"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3"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3"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3"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1840</v>
      </c>
      <c r="J1430" s="44">
        <f>VLOOKUP(Table1[[#This Row],[Status]],Auxiliar!$B$16:$C$24,2,0)</f>
        <v>2</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3"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1840</v>
      </c>
      <c r="J1431" s="44">
        <f>VLOOKUP(Table1[[#This Row],[Status]],Auxiliar!$B$16:$C$24,2,0)</f>
        <v>2</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5">
        <f>+VLOOKUP(CONCATENATE(Table1[[#This Row],[Tabela]],Table1[[#This Row],[Campo]]),'2. Status Detalhe Campos FY24'!A:J,9,FALSE)</f>
        <v>0</v>
      </c>
      <c r="Y1431" s="493" t="e">
        <f>+VLOOKUP(A1431,#REF!,1,FALSE)</f>
        <v>#REF!</v>
      </c>
    </row>
    <row r="1432" spans="1:25" ht="17.899999999999999"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3"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3"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3"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3"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3"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3"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3"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3"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3"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3"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3"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3"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3"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3"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3"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3"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3"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615</v>
      </c>
      <c r="J1449" s="44">
        <f>VLOOKUP(Table1[[#This Row],[Status]],Auxiliar!$B$16:$C$24,2,0)</f>
        <v>6</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3"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615</v>
      </c>
      <c r="J1450" s="44">
        <f>VLOOKUP(Table1[[#This Row],[Status]],Auxiliar!$B$16:$C$24,2,0)</f>
        <v>6</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3"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615</v>
      </c>
      <c r="J1451" s="44">
        <f>VLOOKUP(Table1[[#This Row],[Status]],Auxiliar!$B$16:$C$24,2,0)</f>
        <v>6</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3"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3"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3"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3"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3"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3"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3"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3"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3"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3"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3"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3"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3"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3"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3"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3"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3"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3"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3"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3"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3"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3"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3"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3"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3"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3"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3"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3"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3"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3"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3"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3"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3"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3"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3"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3"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3"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3"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3"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3"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3"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3"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615</v>
      </c>
      <c r="J1493" s="44">
        <f>VLOOKUP(Table1[[#This Row],[Status]],Auxiliar!$B$16:$C$24,2,0)</f>
        <v>6</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3"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3"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3"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3"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3"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3"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6"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3"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3"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3"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3"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3"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3"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3"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3"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3"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3"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3"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3"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3"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3"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3"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3"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3"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3"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3"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3"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3"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3"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3"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3"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3"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3"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3"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3"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3"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3"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3"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3"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3"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6"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29" operator="containsText" id="{8983D8D5-C2D6-4B72-B323-1B9C72824199}">
            <xm:f>NOT(ISERROR(SEARCH(Auxiliar!$B$21,I10)))</xm:f>
            <xm:f>Auxiliar!$B$21</xm:f>
            <x14:dxf>
              <font>
                <b/>
                <i val="0"/>
                <color rgb="FFFFC000"/>
              </font>
              <fill>
                <patternFill>
                  <bgColor theme="9" tint="0.59996337778862885"/>
                </patternFill>
              </fill>
            </x14:dxf>
          </x14:cfRule>
          <x14:cfRule type="cellIs" priority="230" operator="equal" id="{851F9D3C-DE91-4C20-A255-DBA976D47256}">
            <xm:f>Auxiliar!$B$24</xm:f>
            <x14:dxf>
              <font>
                <b/>
                <i val="0"/>
                <color theme="1"/>
              </font>
              <fill>
                <patternFill patternType="darkUp">
                  <bgColor theme="0"/>
                </patternFill>
              </fill>
            </x14:dxf>
          </x14:cfRule>
          <x14:cfRule type="cellIs" priority="231" operator="equal" id="{AEB76678-92B6-4E42-BA0D-898B2AB889D7}">
            <xm:f>Auxiliar!$B$18</xm:f>
            <x14:dxf>
              <font>
                <b/>
                <i val="0"/>
                <color theme="0" tint="-0.499984740745262"/>
              </font>
              <fill>
                <patternFill>
                  <bgColor theme="0" tint="-4.9989318521683403E-2"/>
                </patternFill>
              </fill>
            </x14:dxf>
          </x14:cfRule>
          <x14:cfRule type="containsText" priority="23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3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11" operator="containsText" id="{F0FC3167-D078-4732-B252-F6CF35A33118}">
            <xm:f>NOT(ISERROR(SEARCH(Auxiliar!$B$21,I193)))</xm:f>
            <xm:f>Auxiliar!$B$21</xm:f>
            <x14:dxf>
              <font>
                <b/>
                <i val="0"/>
                <color rgb="FFFFC000"/>
              </font>
              <fill>
                <patternFill>
                  <bgColor theme="9" tint="0.59996337778862885"/>
                </patternFill>
              </fill>
            </x14:dxf>
          </x14:cfRule>
          <x14:cfRule type="cellIs" priority="512" operator="equal" id="{0DF84132-7044-4342-A136-5BB25A806900}">
            <xm:f>Auxiliar!$B$24</xm:f>
            <x14:dxf>
              <font>
                <b/>
                <i val="0"/>
                <color theme="1"/>
              </font>
              <fill>
                <patternFill patternType="darkUp">
                  <bgColor theme="0"/>
                </patternFill>
              </fill>
            </x14:dxf>
          </x14:cfRule>
          <x14:cfRule type="cellIs" priority="513" operator="equal" id="{0AA668F3-08F2-48AD-824F-FDAAFE4C3390}">
            <xm:f>Auxiliar!$B$18</xm:f>
            <x14:dxf>
              <font>
                <b/>
                <i val="0"/>
                <color theme="0" tint="-0.499984740745262"/>
              </font>
              <fill>
                <patternFill>
                  <bgColor theme="0" tint="-4.9989318521683403E-2"/>
                </patternFill>
              </fill>
            </x14:dxf>
          </x14:cfRule>
          <x14:cfRule type="containsText" priority="51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1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1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35" operator="containsText" id="{680189A3-E553-4E28-88AF-4BE37876E399}">
            <xm:f>NOT(ISERROR(SEARCH(Auxiliar!$B$21,I224)))</xm:f>
            <xm:f>Auxiliar!$B$21</xm:f>
            <x14:dxf>
              <font>
                <b/>
                <i val="0"/>
                <color rgb="FFFFC000"/>
              </font>
              <fill>
                <patternFill>
                  <bgColor theme="9" tint="0.59996337778862885"/>
                </patternFill>
              </fill>
            </x14:dxf>
          </x14:cfRule>
          <x14:cfRule type="cellIs" priority="236" operator="equal" id="{837D1480-3614-407B-A9D1-E2F5BA61EA3D}">
            <xm:f>Auxiliar!$B$24</xm:f>
            <x14:dxf>
              <font>
                <b/>
                <i val="0"/>
                <color theme="1"/>
              </font>
              <fill>
                <patternFill patternType="darkUp">
                  <bgColor theme="0"/>
                </patternFill>
              </fill>
            </x14:dxf>
          </x14:cfRule>
          <x14:cfRule type="cellIs" priority="237" operator="equal" id="{782D49B3-623A-4DF5-8308-75A6F81A19FD}">
            <xm:f>Auxiliar!$B$18</xm:f>
            <x14:dxf>
              <font>
                <b/>
                <i val="0"/>
                <color theme="0" tint="-0.499984740745262"/>
              </font>
              <fill>
                <patternFill>
                  <bgColor theme="0" tint="-4.9989318521683403E-2"/>
                </patternFill>
              </fill>
            </x14:dxf>
          </x14:cfRule>
          <x14:cfRule type="containsText" priority="23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3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40"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17" operator="containsText" id="{BA88C474-7CD5-48E4-BBD7-168BDC558FC6}">
            <xm:f>NOT(ISERROR(SEARCH(Auxiliar!$B$21,I393)))</xm:f>
            <xm:f>Auxiliar!$B$21</xm:f>
            <x14:dxf>
              <font>
                <b/>
                <i val="0"/>
                <color rgb="FFFFC000"/>
              </font>
              <fill>
                <patternFill>
                  <bgColor theme="9" tint="0.59996337778862885"/>
                </patternFill>
              </fill>
            </x14:dxf>
          </x14:cfRule>
          <x14:cfRule type="cellIs" priority="218" operator="equal" id="{09D83F8A-0668-4607-A721-73C22171BC18}">
            <xm:f>Auxiliar!$B$24</xm:f>
            <x14:dxf>
              <font>
                <b/>
                <i val="0"/>
                <color theme="1"/>
              </font>
              <fill>
                <patternFill patternType="darkUp">
                  <bgColor theme="0"/>
                </patternFill>
              </fill>
            </x14:dxf>
          </x14:cfRule>
          <x14:cfRule type="cellIs" priority="219" operator="equal" id="{630BCF05-930B-451C-86BD-163F900C7CF1}">
            <xm:f>Auxiliar!$B$18</xm:f>
            <x14:dxf>
              <font>
                <b/>
                <i val="0"/>
                <color theme="0" tint="-0.499984740745262"/>
              </font>
              <fill>
                <patternFill>
                  <bgColor theme="0" tint="-4.9989318521683403E-2"/>
                </patternFill>
              </fill>
            </x14:dxf>
          </x14:cfRule>
          <x14:cfRule type="containsText" priority="22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2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2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271" operator="containsText" id="{6DE85724-2EE4-4C5C-BFE4-5CDF139191EE}">
            <xm:f>NOT(ISERROR(SEARCH(Auxiliar!$B$21,I1149)))</xm:f>
            <xm:f>Auxiliar!$B$21</xm:f>
            <x14:dxf>
              <font>
                <b/>
                <i val="0"/>
                <color rgb="FFFFC000"/>
              </font>
              <fill>
                <patternFill>
                  <bgColor theme="9" tint="0.59996337778862885"/>
                </patternFill>
              </fill>
            </x14:dxf>
          </x14:cfRule>
          <x14:cfRule type="cellIs" priority="272" operator="equal" id="{108BBB59-B3A9-4718-AE41-245162C547B8}">
            <xm:f>Auxiliar!$B$24</xm:f>
            <x14:dxf>
              <font>
                <b/>
                <i val="0"/>
                <color theme="1"/>
              </font>
              <fill>
                <patternFill patternType="darkUp">
                  <bgColor theme="0"/>
                </patternFill>
              </fill>
            </x14:dxf>
          </x14:cfRule>
          <x14:cfRule type="cellIs" priority="273" operator="equal" id="{9568F5E2-6C96-435A-A8A4-37A212A788A8}">
            <xm:f>Auxiliar!$B$18</xm:f>
            <x14:dxf>
              <font>
                <b/>
                <i val="0"/>
                <color theme="0" tint="-0.499984740745262"/>
              </font>
              <fill>
                <patternFill>
                  <bgColor theme="0" tint="-4.9989318521683403E-2"/>
                </patternFill>
              </fill>
            </x14:dxf>
          </x14:cfRule>
          <x14:cfRule type="containsText" priority="27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7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7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99" operator="containsText" id="{2B892DA0-DAF7-421F-B66B-0FB6F4150541}">
            <xm:f>NOT(ISERROR(SEARCH(Auxiliar!$B$21,I1305)))</xm:f>
            <xm:f>Auxiliar!$B$21</xm:f>
            <x14:dxf>
              <font>
                <b/>
                <i val="0"/>
                <color rgb="FFFFC000"/>
              </font>
              <fill>
                <patternFill>
                  <bgColor theme="9" tint="0.59996337778862885"/>
                </patternFill>
              </fill>
            </x14:dxf>
          </x14:cfRule>
          <x14:cfRule type="cellIs" priority="200" operator="equal" id="{6F6FE95C-2911-46F9-A476-E59F486686B1}">
            <xm:f>Auxiliar!$B$24</xm:f>
            <x14:dxf>
              <font>
                <b/>
                <i val="0"/>
                <color theme="1"/>
              </font>
              <fill>
                <patternFill patternType="darkUp">
                  <bgColor theme="0"/>
                </patternFill>
              </fill>
            </x14:dxf>
          </x14:cfRule>
          <x14:cfRule type="cellIs" priority="201" operator="equal" id="{33721898-A6FE-4D41-9A0F-2B8F543A091F}">
            <xm:f>Auxiliar!$B$18</xm:f>
            <x14:dxf>
              <font>
                <b/>
                <i val="0"/>
                <color theme="0" tint="-0.499984740745262"/>
              </font>
              <fill>
                <patternFill>
                  <bgColor theme="0" tint="-4.9989318521683403E-2"/>
                </patternFill>
              </fill>
            </x14:dxf>
          </x14:cfRule>
          <x14:cfRule type="containsText" priority="20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0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0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4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I1405:J1428</xm:sqref>
        </x14:conditionalFormatting>
        <x14:conditionalFormatting xmlns:xm="http://schemas.microsoft.com/office/excel/2006/main">
          <x14:cfRule type="containsText" priority="487" operator="containsText" id="{818B4E3F-A611-4A6A-A815-B804D1E3C747}">
            <xm:f>NOT(ISERROR(SEARCH(Auxiliar!$B$21,I1334)))</xm:f>
            <xm:f>Auxiliar!$B$21</xm:f>
            <x14:dxf>
              <font>
                <b/>
                <i val="0"/>
                <color rgb="FFFFC000"/>
              </font>
              <fill>
                <patternFill>
                  <bgColor theme="9" tint="0.59996337778862885"/>
                </patternFill>
              </fill>
            </x14:dxf>
          </x14:cfRule>
          <x14:cfRule type="cellIs" priority="488" operator="equal" id="{49F42230-2FF0-42CE-B047-38469DF4FF91}">
            <xm:f>Auxiliar!$B$24</xm:f>
            <x14:dxf>
              <font>
                <b/>
                <i val="0"/>
                <color theme="1"/>
              </font>
              <fill>
                <patternFill patternType="darkUp">
                  <bgColor theme="0"/>
                </patternFill>
              </fill>
            </x14:dxf>
          </x14:cfRule>
          <x14:cfRule type="cellIs" priority="489" operator="equal" id="{340814F4-4DC4-4851-925E-2EA110D79ECA}">
            <xm:f>Auxiliar!$B$18</xm:f>
            <x14:dxf>
              <font>
                <b/>
                <i val="0"/>
                <color theme="0" tint="-0.499984740745262"/>
              </font>
              <fill>
                <patternFill>
                  <bgColor theme="0" tint="-4.9989318521683403E-2"/>
                </patternFill>
              </fill>
            </x14:dxf>
          </x14:cfRule>
          <x14:cfRule type="containsText" priority="49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9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9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41" operator="containsText" id="{780D834D-C977-4B94-81EF-A8A47D289907}">
            <xm:f>NOT(ISERROR(SEARCH(Auxiliar!$B$21,I1433)))</xm:f>
            <xm:f>Auxiliar!$B$21</xm:f>
            <x14:dxf>
              <font>
                <b/>
                <i val="0"/>
                <color rgb="FFFFC000"/>
              </font>
              <fill>
                <patternFill>
                  <bgColor theme="9" tint="0.59996337778862885"/>
                </patternFill>
              </fill>
            </x14:dxf>
          </x14:cfRule>
          <x14:cfRule type="cellIs" priority="242" operator="equal" id="{A6EB2312-FB92-41F7-9CCA-3B81CF6C2FD3}">
            <xm:f>Auxiliar!$B$24</xm:f>
            <x14:dxf>
              <font>
                <b/>
                <i val="0"/>
                <color theme="1"/>
              </font>
              <fill>
                <patternFill patternType="darkUp">
                  <bgColor theme="0"/>
                </patternFill>
              </fill>
            </x14:dxf>
          </x14:cfRule>
          <x14:cfRule type="cellIs" priority="243" operator="equal" id="{BB030E3C-F572-4B6B-8325-D47BA2E295D4}">
            <xm:f>Auxiliar!$B$18</xm:f>
            <x14:dxf>
              <font>
                <b/>
                <i val="0"/>
                <color theme="0" tint="-0.499984740745262"/>
              </font>
              <fill>
                <patternFill>
                  <bgColor theme="0" tint="-4.9989318521683403E-2"/>
                </patternFill>
              </fill>
            </x14:dxf>
          </x14:cfRule>
          <x14:cfRule type="containsText" priority="24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4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4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81" operator="containsText" id="{6DA62849-05D4-40B1-87CE-BD01F462C809}">
            <xm:f>NOT(ISERROR(SEARCH(Auxiliar!$B$21,I1473)))</xm:f>
            <xm:f>Auxiliar!$B$21</xm:f>
            <x14:dxf>
              <font>
                <b/>
                <i val="0"/>
                <color rgb="FFFFC000"/>
              </font>
              <fill>
                <patternFill>
                  <bgColor theme="9" tint="0.59996337778862885"/>
                </patternFill>
              </fill>
            </x14:dxf>
          </x14:cfRule>
          <x14:cfRule type="cellIs" priority="182" operator="equal" id="{1E79D505-B910-4D78-97DA-7353733B54BB}">
            <xm:f>Auxiliar!$B$24</xm:f>
            <x14:dxf>
              <font>
                <b/>
                <i val="0"/>
                <color theme="1"/>
              </font>
              <fill>
                <patternFill patternType="darkUp">
                  <bgColor theme="0"/>
                </patternFill>
              </fill>
            </x14:dxf>
          </x14:cfRule>
          <x14:cfRule type="cellIs" priority="183" operator="equal" id="{00DE0B36-B6EA-4EC5-9098-B394F10BE65F}">
            <xm:f>Auxiliar!$B$18</xm:f>
            <x14:dxf>
              <font>
                <b/>
                <i val="0"/>
                <color theme="0" tint="-0.499984740745262"/>
              </font>
              <fill>
                <patternFill>
                  <bgColor theme="0" tint="-4.9989318521683403E-2"/>
                </patternFill>
              </fill>
            </x14:dxf>
          </x14:cfRule>
          <x14:cfRule type="containsText" priority="18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8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8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59" operator="containsText" id="{910038CB-D1D6-461C-9800-1C7E617EFE24}">
            <xm:f>NOT(ISERROR(SEARCH(Auxiliar!$B$21,I1511)))</xm:f>
            <xm:f>Auxiliar!$B$21</xm:f>
            <x14:dxf>
              <font>
                <b/>
                <i val="0"/>
                <color rgb="FFFFC000"/>
              </font>
              <fill>
                <patternFill>
                  <bgColor theme="9" tint="0.59996337778862885"/>
                </patternFill>
              </fill>
            </x14:dxf>
          </x14:cfRule>
          <x14:cfRule type="cellIs" priority="260" operator="equal" id="{25D71A38-C4F5-4732-B7AB-6520ECA4FB07}">
            <xm:f>Auxiliar!$B$24</xm:f>
            <x14:dxf>
              <font>
                <b/>
                <i val="0"/>
                <color theme="1"/>
              </font>
              <fill>
                <patternFill patternType="darkUp">
                  <bgColor theme="0"/>
                </patternFill>
              </fill>
            </x14:dxf>
          </x14:cfRule>
          <x14:cfRule type="cellIs" priority="261" operator="equal" id="{8B1AAD81-3C08-40FA-906E-0B19D6772275}">
            <xm:f>Auxiliar!$B$18</xm:f>
            <x14:dxf>
              <font>
                <b/>
                <i val="0"/>
                <color theme="0" tint="-0.499984740745262"/>
              </font>
              <fill>
                <patternFill>
                  <bgColor theme="0" tint="-4.9989318521683403E-2"/>
                </patternFill>
              </fill>
            </x14:dxf>
          </x14:cfRule>
          <x14:cfRule type="containsText" priority="26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6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6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1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95" operator="containsText" id="{22EE3303-E871-4FDC-B876-3AC40B4BB29E}">
            <xm:f>NOT(ISERROR(SEARCH(Auxiliar!$B$21,I9)))</xm:f>
            <xm:f>Auxiliar!$B$21</xm:f>
            <x14:dxf>
              <font>
                <b/>
                <i val="0"/>
                <color rgb="FFFFC000"/>
              </font>
              <fill>
                <patternFill>
                  <bgColor theme="9" tint="0.59996337778862885"/>
                </patternFill>
              </fill>
            </x14:dxf>
          </x14:cfRule>
          <x14:cfRule type="cellIs" priority="896" operator="equal" id="{A75C795E-F66D-4DC2-A9AF-15BDCED7DA25}">
            <xm:f>Auxiliar!$B$24</xm:f>
            <x14:dxf>
              <font>
                <b/>
                <i val="0"/>
                <color theme="1"/>
              </font>
              <fill>
                <patternFill patternType="darkUp">
                  <bgColor theme="0"/>
                </patternFill>
              </fill>
            </x14:dxf>
          </x14:cfRule>
          <x14:cfRule type="cellIs" priority="897" operator="equal" id="{68C7A1CE-73C7-4D91-A2AC-1493C4E277DD}">
            <xm:f>Auxiliar!$B$18</xm:f>
            <x14:dxf>
              <font>
                <b/>
                <i val="0"/>
                <color theme="0" tint="-0.499984740745262"/>
              </font>
              <fill>
                <patternFill>
                  <bgColor theme="0" tint="-4.9989318521683403E-2"/>
                </patternFill>
              </fill>
            </x14:dxf>
          </x14:cfRule>
          <x14:cfRule type="containsText" priority="89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9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0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79" operator="containsText" id="{6928D489-0130-4A60-BE2B-1D9108B02454}">
            <xm:f>NOT(ISERROR(SEARCH(Auxiliar!$B$21,I196)))</xm:f>
            <xm:f>Auxiliar!$B$21</xm:f>
            <x14:dxf>
              <font>
                <b/>
                <i val="0"/>
                <color rgb="FFFFC000"/>
              </font>
              <fill>
                <patternFill>
                  <bgColor theme="9" tint="0.59996337778862885"/>
                </patternFill>
              </fill>
            </x14:dxf>
          </x14:cfRule>
          <x14:cfRule type="cellIs" priority="980" operator="equal" id="{E2F14AF0-878C-4184-86EE-1EC72D11FF82}">
            <xm:f>Auxiliar!$B$24</xm:f>
            <x14:dxf>
              <font>
                <b/>
                <i val="0"/>
                <color theme="1"/>
              </font>
              <fill>
                <patternFill patternType="darkUp">
                  <bgColor theme="0"/>
                </patternFill>
              </fill>
            </x14:dxf>
          </x14:cfRule>
          <x14:cfRule type="cellIs" priority="981" operator="equal" id="{662C2D77-73A6-422E-B043-D39190EAAFD3}">
            <xm:f>Auxiliar!$B$18</xm:f>
            <x14:dxf>
              <font>
                <b/>
                <i val="0"/>
                <color theme="0" tint="-0.499984740745262"/>
              </font>
              <fill>
                <patternFill>
                  <bgColor theme="0" tint="-4.9989318521683403E-2"/>
                </patternFill>
              </fill>
            </x14:dxf>
          </x14:cfRule>
          <x14:cfRule type="containsText" priority="98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8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8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46" operator="equal" id="{461BEC2A-3AB6-4974-9160-0CC657CD83C0}">
            <xm:f>Auxiliar!$B$24</xm:f>
            <x14:dxf>
              <font>
                <b/>
                <i val="0"/>
                <color theme="1"/>
              </font>
              <fill>
                <patternFill patternType="darkUp">
                  <bgColor theme="0"/>
                </patternFill>
              </fill>
            </x14:dxf>
          </x14:cfRule>
          <x14:cfRule type="cellIs" priority="1513" operator="equal" id="{5CC18A3F-CC0C-4983-A19C-E91C49A3DB8A}">
            <xm:f>Auxiliar!$B$18</xm:f>
            <x14:dxf>
              <font>
                <b/>
                <i val="0"/>
                <color theme="0" tint="-0.499984740745262"/>
              </font>
              <fill>
                <patternFill>
                  <bgColor theme="0" tint="-4.9989318521683403E-2"/>
                </patternFill>
              </fill>
            </x14:dxf>
          </x14:cfRule>
          <x14:cfRule type="containsText" priority="151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1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1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I1405:J1428</xm:sqref>
        </x14:conditionalFormatting>
        <x14:conditionalFormatting xmlns:xm="http://schemas.microsoft.com/office/excel/2006/main">
          <x14:cfRule type="cellIs" priority="266" operator="equal" id="{CCD751C7-B7A2-4F98-8B22-D6FDAB936BE9}">
            <xm:f>Auxiliar!$B$24</xm:f>
            <x14:dxf>
              <font>
                <b/>
                <i val="0"/>
                <color theme="1"/>
              </font>
              <fill>
                <patternFill patternType="darkUp">
                  <bgColor theme="0"/>
                </patternFill>
              </fill>
            </x14:dxf>
          </x14:cfRule>
          <x14:cfRule type="cellIs" priority="267" operator="equal" id="{4D1BE949-1D0D-486A-8EBA-CAC34A73CAEF}">
            <xm:f>Auxiliar!$B$18</xm:f>
            <x14:dxf>
              <font>
                <b/>
                <i val="0"/>
                <color theme="0" tint="-0.499984740745262"/>
              </font>
              <fill>
                <patternFill>
                  <bgColor theme="0" tint="-4.9989318521683403E-2"/>
                </patternFill>
              </fill>
            </x14:dxf>
          </x14:cfRule>
          <x14:cfRule type="containsText" priority="26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6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7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6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20" operator="equal" id="{76582525-4532-4825-BBF1-E67A9D75C9D5}">
            <xm:f>Auxiliar!$B$24</xm:f>
            <x14:dxf>
              <font>
                <b/>
                <i val="0"/>
                <color theme="1"/>
              </font>
              <fill>
                <patternFill patternType="darkUp">
                  <bgColor theme="0"/>
                </patternFill>
              </fill>
            </x14:dxf>
          </x14:cfRule>
          <x14:cfRule type="cellIs" priority="321" operator="equal" id="{93C49E19-F144-4F91-BF43-40521F41D17C}">
            <xm:f>Auxiliar!$B$18</xm:f>
            <x14:dxf>
              <font>
                <b/>
                <i val="0"/>
                <color theme="0" tint="-0.499984740745262"/>
              </font>
              <fill>
                <patternFill>
                  <bgColor theme="0" tint="-4.9989318521683403E-2"/>
                </patternFill>
              </fill>
            </x14:dxf>
          </x14:cfRule>
          <x14:cfRule type="containsText" priority="32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2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2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71" operator="containsText" id="{B9BA2292-98F1-4845-8262-A781D9352444}">
            <xm:f>NOT(ISERROR(SEARCH(Auxiliar!$B$21,J193)))</xm:f>
            <xm:f>Auxiliar!$B$21</xm:f>
            <x14:dxf>
              <font>
                <b/>
                <i val="0"/>
                <color rgb="FFFFC000"/>
              </font>
              <fill>
                <patternFill>
                  <bgColor theme="9" tint="0.59996337778862885"/>
                </patternFill>
              </fill>
            </x14:dxf>
          </x14:cfRule>
          <x14:cfRule type="cellIs" priority="872" operator="equal" id="{D32B9961-C82B-426A-A975-2475FFC80C76}">
            <xm:f>Auxiliar!$B$24</xm:f>
            <x14:dxf>
              <font>
                <b/>
                <i val="0"/>
                <color theme="1"/>
              </font>
              <fill>
                <patternFill patternType="darkUp">
                  <bgColor theme="0"/>
                </patternFill>
              </fill>
            </x14:dxf>
          </x14:cfRule>
          <x14:cfRule type="cellIs" priority="873" operator="equal" id="{EE9F5D7D-A515-4B4F-859E-E804329C9CE0}">
            <xm:f>Auxiliar!$B$18</xm:f>
            <x14:dxf>
              <font>
                <b/>
                <i val="0"/>
                <color theme="0" tint="-0.499984740745262"/>
              </font>
              <fill>
                <patternFill>
                  <bgColor theme="0" tint="-4.9989318521683403E-2"/>
                </patternFill>
              </fill>
            </x14:dxf>
          </x14:cfRule>
          <x14:cfRule type="containsText" priority="87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7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7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61" operator="containsText" id="{68B7879D-8888-41E7-95DE-17E280293E9E}">
            <xm:f>NOT(ISERROR(SEARCH(Auxiliar!$B$21,J393)))</xm:f>
            <xm:f>Auxiliar!$B$21</xm:f>
            <x14:dxf>
              <font>
                <b/>
                <i val="0"/>
                <color rgb="FFFFC000"/>
              </font>
              <fill>
                <patternFill>
                  <bgColor theme="9" tint="0.59996337778862885"/>
                </patternFill>
              </fill>
            </x14:dxf>
          </x14:cfRule>
          <x14:cfRule type="cellIs" priority="362" operator="equal" id="{E7918B5B-09E9-4D9E-8DEF-22B78ADEF4EC}">
            <xm:f>Auxiliar!$B$24</xm:f>
            <x14:dxf>
              <font>
                <b/>
                <i val="0"/>
                <color theme="1"/>
              </font>
              <fill>
                <patternFill patternType="darkUp">
                  <bgColor theme="0"/>
                </patternFill>
              </fill>
            </x14:dxf>
          </x14:cfRule>
          <x14:cfRule type="cellIs" priority="363" operator="equal" id="{C9734D25-1591-44F4-B84A-F9635F7E3A1E}">
            <xm:f>Auxiliar!$B$18</xm:f>
            <x14:dxf>
              <font>
                <b/>
                <i val="0"/>
                <color theme="0" tint="-0.499984740745262"/>
              </font>
              <fill>
                <patternFill>
                  <bgColor theme="0" tint="-4.9989318521683403E-2"/>
                </patternFill>
              </fill>
            </x14:dxf>
          </x14:cfRule>
          <x14:cfRule type="containsText" priority="36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6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6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07" operator="containsText" id="{EE480963-A851-4287-A599-BA2BEAF698FD}">
            <xm:f>NOT(ISERROR(SEARCH(Auxiliar!$B$21,J802)))</xm:f>
            <xm:f>Auxiliar!$B$21</xm:f>
            <x14:dxf>
              <font>
                <b/>
                <i val="0"/>
                <color rgb="FFFFC000"/>
              </font>
              <fill>
                <patternFill>
                  <bgColor theme="9" tint="0.59996337778862885"/>
                </patternFill>
              </fill>
            </x14:dxf>
          </x14:cfRule>
          <x14:cfRule type="cellIs" priority="308" operator="equal" id="{E65463CC-CED3-418A-850B-2AEC62B95131}">
            <xm:f>Auxiliar!$B$24</xm:f>
            <x14:dxf>
              <font>
                <b/>
                <i val="0"/>
                <color theme="1"/>
              </font>
              <fill>
                <patternFill patternType="darkUp">
                  <bgColor theme="0"/>
                </patternFill>
              </fill>
            </x14:dxf>
          </x14:cfRule>
          <x14:cfRule type="cellIs" priority="309" operator="equal" id="{BFBBF7BF-D3FA-4006-A560-667BD910E543}">
            <xm:f>Auxiliar!$B$18</xm:f>
            <x14:dxf>
              <font>
                <b/>
                <i val="0"/>
                <color theme="0" tint="-0.499984740745262"/>
              </font>
              <fill>
                <patternFill>
                  <bgColor theme="0" tint="-4.9989318521683403E-2"/>
                </patternFill>
              </fill>
            </x14:dxf>
          </x14:cfRule>
          <x14:cfRule type="containsText" priority="31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1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1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13" operator="containsText" id="{38F96929-C4AA-431E-B12A-0DCF4864D5CD}">
            <xm:f>NOT(ISERROR(SEARCH(Auxiliar!$B$21,J1532)))</xm:f>
            <xm:f>Auxiliar!$B$21</xm:f>
            <x14:dxf>
              <font>
                <b/>
                <i val="0"/>
                <color rgb="FFFFC000"/>
              </font>
              <fill>
                <patternFill>
                  <bgColor theme="9" tint="0.59996337778862885"/>
                </patternFill>
              </fill>
            </x14:dxf>
          </x14:cfRule>
          <x14:cfRule type="cellIs" priority="314" operator="equal" id="{A23AEDE7-80C2-459D-94A3-CF50BC8E067F}">
            <xm:f>Auxiliar!$B$24</xm:f>
            <x14:dxf>
              <font>
                <b/>
                <i val="0"/>
                <color theme="1"/>
              </font>
              <fill>
                <patternFill patternType="darkUp">
                  <bgColor theme="0"/>
                </patternFill>
              </fill>
            </x14:dxf>
          </x14:cfRule>
          <x14:cfRule type="cellIs" priority="315" operator="equal" id="{BD63F02A-7953-4EFD-A25E-5F5A4519C878}">
            <xm:f>Auxiliar!$B$18</xm:f>
            <x14:dxf>
              <font>
                <b/>
                <i val="0"/>
                <color theme="0" tint="-0.499984740745262"/>
              </font>
              <fill>
                <patternFill>
                  <bgColor theme="0" tint="-4.9989318521683403E-2"/>
                </patternFill>
              </fill>
            </x14:dxf>
          </x14:cfRule>
          <x14:cfRule type="containsText" priority="31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1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1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51" operator="containsText" id="{B2D23FBA-A51D-48EA-8F07-0EE4D8A4D4F5}">
            <xm:f>NOT(ISERROR(SEARCH(Auxiliar!$B$21,I692)))</xm:f>
            <xm:f>Auxiliar!$B$21</xm:f>
            <x14:dxf>
              <font>
                <b/>
                <i val="0"/>
                <color rgb="FFFFC000"/>
              </font>
              <fill>
                <patternFill>
                  <bgColor theme="9" tint="0.59996337778862885"/>
                </patternFill>
              </fill>
            </x14:dxf>
          </x14:cfRule>
          <x14:cfRule type="cellIs" priority="152" operator="equal" id="{142E032A-CC22-40A8-8963-A9419EFD1875}">
            <xm:f>Auxiliar!$B$24</xm:f>
            <x14:dxf>
              <font>
                <b/>
                <i val="0"/>
                <color theme="1"/>
              </font>
              <fill>
                <patternFill patternType="darkUp">
                  <bgColor theme="0"/>
                </patternFill>
              </fill>
            </x14:dxf>
          </x14:cfRule>
          <x14:cfRule type="cellIs" priority="153" operator="equal" id="{5E9F3038-1A0C-40B9-BA0C-6B6DB3E11D9A}">
            <xm:f>Auxiliar!$B$18</xm:f>
            <x14:dxf>
              <font>
                <b/>
                <i val="0"/>
                <color theme="0" tint="-0.499984740745262"/>
              </font>
              <fill>
                <patternFill>
                  <bgColor theme="0" tint="-4.9989318521683403E-2"/>
                </patternFill>
              </fill>
            </x14:dxf>
          </x14:cfRule>
          <x14:cfRule type="containsText" priority="15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5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5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27" operator="containsText" id="{467E6DCD-B2BF-4E18-8034-F3514A283A82}">
            <xm:f>NOT(ISERROR(SEARCH(Auxiliar!$B$21,I1484)))</xm:f>
            <xm:f>Auxiliar!$B$21</xm:f>
            <x14:dxf>
              <font>
                <b/>
                <i val="0"/>
                <color rgb="FFFFC000"/>
              </font>
              <fill>
                <patternFill>
                  <bgColor theme="9" tint="0.59996337778862885"/>
                </patternFill>
              </fill>
            </x14:dxf>
          </x14:cfRule>
          <x14:cfRule type="cellIs" priority="128" operator="equal" id="{5BAE6283-FC73-4A20-9ACB-6FC78FD87AE5}">
            <xm:f>Auxiliar!$B$24</xm:f>
            <x14:dxf>
              <font>
                <b/>
                <i val="0"/>
                <color theme="1"/>
              </font>
              <fill>
                <patternFill patternType="darkUp">
                  <bgColor theme="0"/>
                </patternFill>
              </fill>
            </x14:dxf>
          </x14:cfRule>
          <x14:cfRule type="cellIs" priority="129" operator="equal" id="{F786D52B-8A76-4448-B668-4B7F3898B687}">
            <xm:f>Auxiliar!$B$18</xm:f>
            <x14:dxf>
              <font>
                <b/>
                <i val="0"/>
                <color theme="0" tint="-0.499984740745262"/>
              </font>
              <fill>
                <patternFill>
                  <bgColor theme="0" tint="-4.9989318521683403E-2"/>
                </patternFill>
              </fill>
            </x14:dxf>
          </x14:cfRule>
          <x14:cfRule type="containsText" priority="13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3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3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0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10" operator="equal" id="{B8B3A70C-D509-450E-A55F-4A7962EE7F12}">
            <xm:f>Auxiliar!$B$24</xm:f>
            <x14:dxf>
              <font>
                <b/>
                <i val="0"/>
                <color theme="1"/>
              </font>
              <fill>
                <patternFill patternType="darkUp">
                  <bgColor theme="0"/>
                </patternFill>
              </fill>
            </x14:dxf>
          </x14:cfRule>
          <x14:cfRule type="cellIs" priority="111" operator="equal" id="{66BF32AF-ABF1-4676-9EAE-BC89CE12FBB0}">
            <xm:f>Auxiliar!$B$18</xm:f>
            <x14:dxf>
              <font>
                <b/>
                <i val="0"/>
                <color theme="0" tint="-0.499984740745262"/>
              </font>
              <fill>
                <patternFill>
                  <bgColor theme="0" tint="-4.9989318521683403E-2"/>
                </patternFill>
              </fill>
            </x14:dxf>
          </x14:cfRule>
          <x14:cfRule type="containsText" priority="11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1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1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0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04" operator="equal" id="{73DC47AF-3F1E-45DF-AD5C-D7D83200AC0C}">
            <xm:f>Auxiliar!$B$24</xm:f>
            <x14:dxf>
              <font>
                <b/>
                <i val="0"/>
                <color theme="1"/>
              </font>
              <fill>
                <patternFill patternType="darkUp">
                  <bgColor theme="0"/>
                </patternFill>
              </fill>
            </x14:dxf>
          </x14:cfRule>
          <x14:cfRule type="cellIs" priority="105" operator="equal" id="{2B6707CF-983A-4674-B0E5-388DEF87F80D}">
            <xm:f>Auxiliar!$B$18</xm:f>
            <x14:dxf>
              <font>
                <b/>
                <i val="0"/>
                <color theme="0" tint="-0.499984740745262"/>
              </font>
              <fill>
                <patternFill>
                  <bgColor theme="0" tint="-4.9989318521683403E-2"/>
                </patternFill>
              </fill>
            </x14:dxf>
          </x14:cfRule>
          <x14:cfRule type="containsText" priority="10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0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0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9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98" operator="equal" id="{01040CC1-7AAF-449E-B1C0-8F9ADFC44FC8}">
            <xm:f>Auxiliar!$B$24</xm:f>
            <x14:dxf>
              <font>
                <b/>
                <i val="0"/>
                <color theme="1"/>
              </font>
              <fill>
                <patternFill patternType="darkUp">
                  <bgColor theme="0"/>
                </patternFill>
              </fill>
            </x14:dxf>
          </x14:cfRule>
          <x14:cfRule type="cellIs" priority="99" operator="equal" id="{B1C5B44C-DA1A-4A58-9870-C0E00A6A5C70}">
            <xm:f>Auxiliar!$B$18</xm:f>
            <x14:dxf>
              <font>
                <b/>
                <i val="0"/>
                <color theme="0" tint="-0.499984740745262"/>
              </font>
              <fill>
                <patternFill>
                  <bgColor theme="0" tint="-4.9989318521683403E-2"/>
                </patternFill>
              </fill>
            </x14:dxf>
          </x14:cfRule>
          <x14:cfRule type="containsText" priority="10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0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0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9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92" operator="equal" id="{8E7873B8-3382-4E62-991F-3EAD1327F9E2}">
            <xm:f>Auxiliar!$B$24</xm:f>
            <x14:dxf>
              <font>
                <b/>
                <i val="0"/>
                <color theme="1"/>
              </font>
              <fill>
                <patternFill patternType="darkUp">
                  <bgColor theme="0"/>
                </patternFill>
              </fill>
            </x14:dxf>
          </x14:cfRule>
          <x14:cfRule type="cellIs" priority="93" operator="equal" id="{961A0862-0BE4-4167-9561-084BA7058D75}">
            <xm:f>Auxiliar!$B$18</xm:f>
            <x14:dxf>
              <font>
                <b/>
                <i val="0"/>
                <color theme="0" tint="-0.499984740745262"/>
              </font>
              <fill>
                <patternFill>
                  <bgColor theme="0" tint="-4.9989318521683403E-2"/>
                </patternFill>
              </fill>
            </x14:dxf>
          </x14:cfRule>
          <x14:cfRule type="containsText" priority="9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9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9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8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86" operator="equal" id="{4DAE3995-11B7-48F6-AF0E-CA5332CEB81B}">
            <xm:f>Auxiliar!$B$24</xm:f>
            <x14:dxf>
              <font>
                <b/>
                <i val="0"/>
                <color theme="1"/>
              </font>
              <fill>
                <patternFill patternType="darkUp">
                  <bgColor theme="0"/>
                </patternFill>
              </fill>
            </x14:dxf>
          </x14:cfRule>
          <x14:cfRule type="cellIs" priority="87" operator="equal" id="{C27F6A88-7F24-4B31-BB9F-52D24EC4B91A}">
            <xm:f>Auxiliar!$B$18</xm:f>
            <x14:dxf>
              <font>
                <b/>
                <i val="0"/>
                <color theme="0" tint="-0.499984740745262"/>
              </font>
              <fill>
                <patternFill>
                  <bgColor theme="0" tint="-4.9989318521683403E-2"/>
                </patternFill>
              </fill>
            </x14:dxf>
          </x14:cfRule>
          <x14:cfRule type="containsText" priority="8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8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9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7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80" operator="equal" id="{10301E6F-0948-45D4-927E-665265C30B77}">
            <xm:f>Auxiliar!$B$24</xm:f>
            <x14:dxf>
              <font>
                <b/>
                <i val="0"/>
                <color theme="1"/>
              </font>
              <fill>
                <patternFill patternType="darkUp">
                  <bgColor theme="0"/>
                </patternFill>
              </fill>
            </x14:dxf>
          </x14:cfRule>
          <x14:cfRule type="cellIs" priority="81" operator="equal" id="{708DB537-594A-48B6-A9DD-C0CB16BB34BA}">
            <xm:f>Auxiliar!$B$18</xm:f>
            <x14:dxf>
              <font>
                <b/>
                <i val="0"/>
                <color theme="0" tint="-0.499984740745262"/>
              </font>
              <fill>
                <patternFill>
                  <bgColor theme="0" tint="-4.9989318521683403E-2"/>
                </patternFill>
              </fill>
            </x14:dxf>
          </x14:cfRule>
          <x14:cfRule type="containsText" priority="8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8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8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7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74" operator="equal" id="{EAF55DE4-07BE-4AA2-A911-0C20ABFE1CD3}">
            <xm:f>Auxiliar!$B$24</xm:f>
            <x14:dxf>
              <font>
                <b/>
                <i val="0"/>
                <color theme="1"/>
              </font>
              <fill>
                <patternFill patternType="darkUp">
                  <bgColor theme="0"/>
                </patternFill>
              </fill>
            </x14:dxf>
          </x14:cfRule>
          <x14:cfRule type="cellIs" priority="75" operator="equal" id="{5C847855-3480-4B6F-94F3-B3B209D6FAB8}">
            <xm:f>Auxiliar!$B$18</xm:f>
            <x14:dxf>
              <font>
                <b/>
                <i val="0"/>
                <color theme="0" tint="-0.499984740745262"/>
              </font>
              <fill>
                <patternFill>
                  <bgColor theme="0" tint="-4.9989318521683403E-2"/>
                </patternFill>
              </fill>
            </x14:dxf>
          </x14:cfRule>
          <x14:cfRule type="containsText" priority="7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7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7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6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68" operator="equal" id="{8AF7D580-27A3-468F-BC7C-859E1D7D87C3}">
            <xm:f>Auxiliar!$B$24</xm:f>
            <x14:dxf>
              <font>
                <b/>
                <i val="0"/>
                <color theme="1"/>
              </font>
              <fill>
                <patternFill patternType="darkUp">
                  <bgColor theme="0"/>
                </patternFill>
              </fill>
            </x14:dxf>
          </x14:cfRule>
          <x14:cfRule type="cellIs" priority="69" operator="equal" id="{711AE064-C4ED-40DC-800E-E050043AC889}">
            <xm:f>Auxiliar!$B$18</xm:f>
            <x14:dxf>
              <font>
                <b/>
                <i val="0"/>
                <color theme="0" tint="-0.499984740745262"/>
              </font>
              <fill>
                <patternFill>
                  <bgColor theme="0" tint="-4.9989318521683403E-2"/>
                </patternFill>
              </fill>
            </x14:dxf>
          </x14:cfRule>
          <x14:cfRule type="containsText" priority="7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7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7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6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62" operator="equal" id="{56A4BB33-47BE-477B-B456-84CC847D51EB}">
            <xm:f>Auxiliar!$B$24</xm:f>
            <x14:dxf>
              <font>
                <b/>
                <i val="0"/>
                <color theme="1"/>
              </font>
              <fill>
                <patternFill patternType="darkUp">
                  <bgColor theme="0"/>
                </patternFill>
              </fill>
            </x14:dxf>
          </x14:cfRule>
          <x14:cfRule type="cellIs" priority="63" operator="equal" id="{D70A94C1-FC91-49B9-9517-3BBC02D7FCE3}">
            <xm:f>Auxiliar!$B$18</xm:f>
            <x14:dxf>
              <font>
                <b/>
                <i val="0"/>
                <color theme="0" tint="-0.499984740745262"/>
              </font>
              <fill>
                <patternFill>
                  <bgColor theme="0" tint="-4.9989318521683403E-2"/>
                </patternFill>
              </fill>
            </x14:dxf>
          </x14:cfRule>
          <x14:cfRule type="containsText" priority="6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6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6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55" operator="containsText" id="{50D78235-AB08-4839-9159-E8A99E87EA33}">
            <xm:f>NOT(ISERROR(SEARCH(Auxiliar!$B$21,I1296)))</xm:f>
            <xm:f>Auxiliar!$B$21</xm:f>
            <x14:dxf>
              <font>
                <b/>
                <i val="0"/>
                <color rgb="FFFFC000"/>
              </font>
              <fill>
                <patternFill>
                  <bgColor theme="9" tint="0.59996337778862885"/>
                </patternFill>
              </fill>
            </x14:dxf>
          </x14:cfRule>
          <x14:cfRule type="cellIs" priority="56" operator="equal" id="{5744B9E9-3E69-4142-8D1D-B00BE76565D1}">
            <xm:f>Auxiliar!$B$24</xm:f>
            <x14:dxf>
              <font>
                <b/>
                <i val="0"/>
                <color theme="1"/>
              </font>
              <fill>
                <patternFill patternType="darkUp">
                  <bgColor theme="0"/>
                </patternFill>
              </fill>
            </x14:dxf>
          </x14:cfRule>
          <x14:cfRule type="cellIs" priority="57" operator="equal" id="{FC5A3D38-D702-4366-AEA3-D94ADE876FCF}">
            <xm:f>Auxiliar!$B$18</xm:f>
            <x14:dxf>
              <font>
                <b/>
                <i val="0"/>
                <color theme="0" tint="-0.499984740745262"/>
              </font>
              <fill>
                <patternFill>
                  <bgColor theme="0" tint="-4.9989318521683403E-2"/>
                </patternFill>
              </fill>
            </x14:dxf>
          </x14:cfRule>
          <x14:cfRule type="containsText" priority="5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5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6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31" operator="containsText" id="{50AAF197-CC28-460A-8073-794A3005953C}">
            <xm:f>NOT(ISERROR(SEARCH(Auxiliar!$B$21,I1431)))</xm:f>
            <xm:f>Auxiliar!$B$21</xm:f>
            <x14:dxf>
              <font>
                <b/>
                <i val="0"/>
                <color rgb="FFFFC000"/>
              </font>
              <fill>
                <patternFill>
                  <bgColor theme="9" tint="0.59996337778862885"/>
                </patternFill>
              </fill>
            </x14:dxf>
          </x14:cfRule>
          <x14:cfRule type="cellIs" priority="32" operator="equal" id="{8CA24267-7D07-4CB3-B9A4-27C81434A4A5}">
            <xm:f>Auxiliar!$B$24</xm:f>
            <x14:dxf>
              <font>
                <b/>
                <i val="0"/>
                <color theme="1"/>
              </font>
              <fill>
                <patternFill patternType="darkUp">
                  <bgColor theme="0"/>
                </patternFill>
              </fill>
            </x14:dxf>
          </x14:cfRule>
          <x14:cfRule type="cellIs" priority="33" operator="equal" id="{AD68B010-6007-4497-82D5-98AC777560C4}">
            <xm:f>Auxiliar!$B$18</xm:f>
            <x14:dxf>
              <font>
                <b/>
                <i val="0"/>
                <color theme="0" tint="-0.499984740745262"/>
              </font>
              <fill>
                <patternFill>
                  <bgColor theme="0" tint="-4.9989318521683403E-2"/>
                </patternFill>
              </fill>
            </x14:dxf>
          </x14:cfRule>
          <x14:cfRule type="containsText" priority="34"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35"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36"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25" operator="containsText" id="{AFF1CE8B-795D-4988-B010-64600C178828}">
            <xm:f>NOT(ISERROR(SEARCH(Auxiliar!$B$21,I414)))</xm:f>
            <xm:f>Auxiliar!$B$21</xm:f>
            <x14:dxf>
              <font>
                <b/>
                <i val="0"/>
                <color rgb="FFFFC000"/>
              </font>
              <fill>
                <patternFill>
                  <bgColor theme="9" tint="0.59996337778862885"/>
                </patternFill>
              </fill>
            </x14:dxf>
          </x14:cfRule>
          <x14:cfRule type="cellIs" priority="26" operator="equal" id="{C1B8F3A7-707D-4F0D-8945-68E216EFB8BD}">
            <xm:f>Auxiliar!$B$24</xm:f>
            <x14:dxf>
              <font>
                <b/>
                <i val="0"/>
                <color theme="1"/>
              </font>
              <fill>
                <patternFill patternType="darkUp">
                  <bgColor theme="0"/>
                </patternFill>
              </fill>
            </x14:dxf>
          </x14:cfRule>
          <x14:cfRule type="cellIs" priority="27" operator="equal" id="{8564ABDB-F13F-47A1-9061-CF89788CE26B}">
            <xm:f>Auxiliar!$B$18</xm:f>
            <x14:dxf>
              <font>
                <b/>
                <i val="0"/>
                <color theme="0" tint="-0.499984740745262"/>
              </font>
              <fill>
                <patternFill>
                  <bgColor theme="0" tint="-4.9989318521683403E-2"/>
                </patternFill>
              </fill>
            </x14:dxf>
          </x14:cfRule>
          <x14:cfRule type="containsText" priority="2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2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3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19" operator="containsText" id="{3C65CC34-1EAB-4AE9-87B5-2C829BE7745D}">
            <xm:f>NOT(ISERROR(SEARCH(Auxiliar!$B$21,I1429)))</xm:f>
            <xm:f>Auxiliar!$B$21</xm:f>
            <x14:dxf>
              <font>
                <b/>
                <i val="0"/>
                <color rgb="FFFFC000"/>
              </font>
              <fill>
                <patternFill>
                  <bgColor theme="9" tint="0.59996337778862885"/>
                </patternFill>
              </fill>
            </x14:dxf>
          </x14:cfRule>
          <x14:cfRule type="cellIs" priority="20" operator="equal" id="{D90C1412-4B9F-4783-BE88-83F5A9C4964E}">
            <xm:f>Auxiliar!$B$24</xm:f>
            <x14:dxf>
              <font>
                <b/>
                <i val="0"/>
                <color theme="1"/>
              </font>
              <fill>
                <patternFill patternType="darkUp">
                  <bgColor theme="0"/>
                </patternFill>
              </fill>
            </x14:dxf>
          </x14:cfRule>
          <x14:cfRule type="cellIs" priority="21" operator="equal" id="{3175A5F4-11BF-45CE-BEA1-FDEF32D54D6E}">
            <xm:f>Auxiliar!$B$18</xm:f>
            <x14:dxf>
              <font>
                <b/>
                <i val="0"/>
                <color theme="0" tint="-0.499984740745262"/>
              </font>
              <fill>
                <patternFill>
                  <bgColor theme="0" tint="-4.9989318521683403E-2"/>
                </patternFill>
              </fill>
            </x14:dxf>
          </x14:cfRule>
          <x14:cfRule type="containsText" priority="2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2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2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3" operator="containsText" id="{D06E69D3-F587-4C6B-A8CB-5A8C097148E0}">
            <xm:f>NOT(ISERROR(SEARCH(Auxiliar!$B$21,I1287)))</xm:f>
            <xm:f>Auxiliar!$B$21</xm:f>
            <x14:dxf>
              <font>
                <b/>
                <i val="0"/>
                <color rgb="FFFFC000"/>
              </font>
              <fill>
                <patternFill>
                  <bgColor theme="9" tint="0.59996337778862885"/>
                </patternFill>
              </fill>
            </x14:dxf>
          </x14:cfRule>
          <x14:cfRule type="cellIs" priority="14" operator="equal" id="{8812EAB7-DDB0-46FC-A88D-8272D4A5E80F}">
            <xm:f>Auxiliar!$B$24</xm:f>
            <x14:dxf>
              <font>
                <b/>
                <i val="0"/>
                <color theme="1"/>
              </font>
              <fill>
                <patternFill patternType="darkUp">
                  <bgColor theme="0"/>
                </patternFill>
              </fill>
            </x14:dxf>
          </x14:cfRule>
          <x14:cfRule type="cellIs" priority="15" operator="equal" id="{D0CB4156-0B25-4D3A-A126-BAF95C1C8015}">
            <xm:f>Auxiliar!$B$18</xm:f>
            <x14:dxf>
              <font>
                <b/>
                <i val="0"/>
                <color theme="0" tint="-0.499984740745262"/>
              </font>
              <fill>
                <patternFill>
                  <bgColor theme="0" tint="-4.9989318521683403E-2"/>
                </patternFill>
              </fill>
            </x14:dxf>
          </x14:cfRule>
          <x14:cfRule type="containsText" priority="16"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17"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18"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 xmlns:xm="http://schemas.microsoft.com/office/excel/2006/main">
          <x14:cfRule type="containsText" priority="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8" operator="equal" id="{39B763DA-6F77-4E11-8343-BE520F6A17CF}">
            <xm:f>Auxiliar!$B$24</xm:f>
            <x14:dxf>
              <font>
                <b/>
                <i val="0"/>
                <color theme="1"/>
              </font>
              <fill>
                <patternFill patternType="darkUp">
                  <bgColor theme="0"/>
                </patternFill>
              </fill>
            </x14:dxf>
          </x14:cfRule>
          <x14:cfRule type="cellIs" priority="9" operator="equal" id="{170FD677-B182-4021-A53E-34C3862D2AFE}">
            <xm:f>Auxiliar!$B$18</xm:f>
            <x14:dxf>
              <font>
                <b/>
                <i val="0"/>
                <color theme="0" tint="-0.499984740745262"/>
              </font>
              <fill>
                <patternFill>
                  <bgColor theme="0" tint="-4.9989318521683403E-2"/>
                </patternFill>
              </fill>
            </x14:dxf>
          </x14:cfRule>
          <x14:cfRule type="containsText" priority="1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1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1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 operator="containsText" id="{EC5D2995-3524-4D09-B230-C4F962BB1298}">
            <xm:f>NOT(ISERROR(SEARCH(Auxiliar!$B$21,I1430)))</xm:f>
            <xm:f>Auxiliar!$B$21</xm:f>
            <x14:dxf>
              <font>
                <b/>
                <i val="0"/>
                <color rgb="FFFFC000"/>
              </font>
              <fill>
                <patternFill>
                  <bgColor theme="9" tint="0.59996337778862885"/>
                </patternFill>
              </fill>
            </x14:dxf>
          </x14:cfRule>
          <x14:cfRule type="cellIs" priority="2" operator="equal" id="{974F5F4E-0A9C-4A2A-842A-2A0857FCF30A}">
            <xm:f>Auxiliar!$B$24</xm:f>
            <x14:dxf>
              <font>
                <b/>
                <i val="0"/>
                <color theme="1"/>
              </font>
              <fill>
                <patternFill patternType="darkUp">
                  <bgColor theme="0"/>
                </patternFill>
              </fill>
            </x14:dxf>
          </x14:cfRule>
          <x14:cfRule type="cellIs" priority="3" operator="equal" id="{4D284894-A160-4EC6-B3D2-1A10CB3D7D0C}">
            <xm:f>Auxiliar!$B$18</xm:f>
            <x14:dxf>
              <font>
                <b/>
                <i val="0"/>
                <color theme="0" tint="-0.499984740745262"/>
              </font>
              <fill>
                <patternFill>
                  <bgColor theme="0" tint="-4.9989318521683403E-2"/>
                </patternFill>
              </fill>
            </x14:dxf>
          </x14:cfRule>
          <x14:cfRule type="containsText" priority="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9.5" customWidth="1"/>
    <col min="3" max="3" width="23" customWidth="1"/>
    <col min="4" max="4" width="13.75" customWidth="1"/>
    <col min="5" max="5" width="13.83203125" customWidth="1"/>
    <col min="6" max="6" width="17.08203125" customWidth="1"/>
    <col min="7" max="7" width="16.5" customWidth="1"/>
    <col min="8" max="8" width="23.33203125" customWidth="1"/>
    <col min="9" max="9" width="13.08203125" customWidth="1"/>
    <col min="10"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2320</v>
      </c>
      <c r="I10" t="s">
        <v>1144</v>
      </c>
    </row>
    <row r="11" spans="2:9">
      <c r="B11" t="s">
        <v>1146</v>
      </c>
      <c r="C11" s="477">
        <v>35</v>
      </c>
      <c r="D11" s="477">
        <v>631</v>
      </c>
      <c r="E11" s="477">
        <v>21</v>
      </c>
      <c r="F11" s="477">
        <v>1</v>
      </c>
      <c r="G11" s="477">
        <v>10</v>
      </c>
      <c r="H11" s="477">
        <v>17</v>
      </c>
      <c r="I11" s="477">
        <v>715</v>
      </c>
    </row>
    <row r="18" spans="2:3">
      <c r="B18" s="50"/>
    </row>
    <row r="20" spans="2:3">
      <c r="B20" s="49" t="s">
        <v>8</v>
      </c>
      <c r="C20" t="s">
        <v>26</v>
      </c>
    </row>
    <row r="21" spans="2:3">
      <c r="B21" s="49" t="s">
        <v>10</v>
      </c>
      <c r="C21" t="s">
        <v>40</v>
      </c>
    </row>
    <row r="23" spans="2:3">
      <c r="B23" s="49" t="s">
        <v>1148</v>
      </c>
      <c r="C23" t="s">
        <v>1146</v>
      </c>
    </row>
    <row r="24" spans="2:3">
      <c r="B24" s="50" t="s">
        <v>611</v>
      </c>
      <c r="C24" s="477">
        <v>35</v>
      </c>
    </row>
    <row r="25" spans="2:3">
      <c r="B25" s="50" t="s">
        <v>612</v>
      </c>
      <c r="C25" s="477">
        <v>631</v>
      </c>
    </row>
    <row r="26" spans="2:3">
      <c r="B26" s="50" t="s">
        <v>1840</v>
      </c>
      <c r="C26" s="477">
        <v>21</v>
      </c>
    </row>
    <row r="27" spans="2:3">
      <c r="B27" s="50" t="s">
        <v>614</v>
      </c>
      <c r="C27" s="477">
        <v>1</v>
      </c>
    </row>
    <row r="28" spans="2:3">
      <c r="B28" s="50" t="s">
        <v>615</v>
      </c>
      <c r="C28" s="477">
        <v>10</v>
      </c>
    </row>
    <row r="29" spans="2:3">
      <c r="B29" s="50" t="s">
        <v>2320</v>
      </c>
      <c r="C29" s="477">
        <v>17</v>
      </c>
    </row>
    <row r="30" spans="2:3">
      <c r="B30" s="50" t="s">
        <v>1144</v>
      </c>
      <c r="C30" s="477">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7">
        <v>3</v>
      </c>
      <c r="D51" s="477">
        <v>17</v>
      </c>
      <c r="E51" s="477"/>
      <c r="F51" s="477">
        <v>20</v>
      </c>
    </row>
    <row r="52" spans="2:6">
      <c r="B52" s="50" t="s">
        <v>123</v>
      </c>
      <c r="C52" s="477"/>
      <c r="D52" s="477">
        <v>75</v>
      </c>
      <c r="E52" s="477">
        <v>1</v>
      </c>
      <c r="F52" s="477">
        <v>76</v>
      </c>
    </row>
    <row r="53" spans="2:6">
      <c r="B53" s="50" t="s">
        <v>94</v>
      </c>
      <c r="C53" s="477">
        <v>2</v>
      </c>
      <c r="D53" s="477">
        <v>31</v>
      </c>
      <c r="E53" s="477"/>
      <c r="F53" s="477">
        <v>33</v>
      </c>
    </row>
    <row r="54" spans="2:6">
      <c r="B54" s="50" t="s">
        <v>88</v>
      </c>
      <c r="C54" s="477">
        <v>1</v>
      </c>
      <c r="D54" s="477">
        <v>14</v>
      </c>
      <c r="E54" s="477"/>
      <c r="F54" s="477">
        <v>15</v>
      </c>
    </row>
    <row r="55" spans="2:6">
      <c r="B55" s="50" t="s">
        <v>55</v>
      </c>
      <c r="C55" s="477">
        <v>4</v>
      </c>
      <c r="D55" s="477">
        <v>14</v>
      </c>
      <c r="E55" s="477"/>
      <c r="F55" s="477">
        <v>18</v>
      </c>
    </row>
    <row r="56" spans="2:6">
      <c r="B56" s="50" t="s">
        <v>37</v>
      </c>
      <c r="C56" s="477">
        <v>2</v>
      </c>
      <c r="D56" s="477">
        <v>44</v>
      </c>
      <c r="E56" s="477"/>
      <c r="F56" s="477">
        <v>46</v>
      </c>
    </row>
    <row r="57" spans="2:6">
      <c r="B57" s="50" t="s">
        <v>1144</v>
      </c>
      <c r="C57" s="477">
        <v>12</v>
      </c>
      <c r="D57" s="477">
        <v>195</v>
      </c>
      <c r="E57" s="477">
        <v>1</v>
      </c>
      <c r="F57" s="477">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7">
        <v>12</v>
      </c>
    </row>
    <row r="68" spans="2:3">
      <c r="B68" s="50" t="s">
        <v>612</v>
      </c>
      <c r="C68" s="477">
        <v>195</v>
      </c>
    </row>
    <row r="69" spans="2:3">
      <c r="B69" s="50" t="s">
        <v>614</v>
      </c>
      <c r="C69" s="477">
        <v>1</v>
      </c>
    </row>
    <row r="70" spans="2:3">
      <c r="B70" s="50" t="s">
        <v>1144</v>
      </c>
      <c r="C70" s="477">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1144</v>
      </c>
    </row>
    <row r="89" spans="2:16">
      <c r="B89" s="50" t="s">
        <v>2097</v>
      </c>
      <c r="C89" s="477">
        <v>4</v>
      </c>
      <c r="D89" s="477">
        <v>44</v>
      </c>
      <c r="E89" s="477"/>
      <c r="F89" s="477">
        <v>48</v>
      </c>
    </row>
    <row r="90" spans="2:16">
      <c r="B90" s="50" t="s">
        <v>2080</v>
      </c>
      <c r="C90" s="477">
        <v>4</v>
      </c>
      <c r="D90" s="477"/>
      <c r="E90" s="477">
        <v>13</v>
      </c>
      <c r="F90" s="477">
        <v>17</v>
      </c>
    </row>
    <row r="91" spans="2:16">
      <c r="B91" s="50" t="s">
        <v>331</v>
      </c>
      <c r="C91" s="477"/>
      <c r="D91" s="477">
        <v>15</v>
      </c>
      <c r="E91" s="477"/>
      <c r="F91" s="477">
        <v>15</v>
      </c>
    </row>
    <row r="92" spans="2:16">
      <c r="B92" s="50" t="s">
        <v>325</v>
      </c>
      <c r="C92" s="477"/>
      <c r="D92" s="477">
        <v>54</v>
      </c>
      <c r="E92" s="477"/>
      <c r="F92" s="477">
        <v>54</v>
      </c>
    </row>
    <row r="93" spans="2:16">
      <c r="B93" s="50" t="s">
        <v>311</v>
      </c>
      <c r="C93" s="477"/>
      <c r="D93" s="477">
        <v>18</v>
      </c>
      <c r="E93" s="477"/>
      <c r="F93" s="477">
        <v>18</v>
      </c>
    </row>
    <row r="94" spans="2:16">
      <c r="B94" s="50" t="s">
        <v>2155</v>
      </c>
      <c r="C94" s="477"/>
      <c r="D94" s="477">
        <v>5</v>
      </c>
      <c r="E94" s="477"/>
      <c r="F94" s="477">
        <v>5</v>
      </c>
    </row>
    <row r="95" spans="2:16">
      <c r="B95" s="50" t="s">
        <v>216</v>
      </c>
      <c r="C95" s="477"/>
      <c r="D95" s="477">
        <v>6</v>
      </c>
      <c r="E95" s="477"/>
      <c r="F95" s="477">
        <v>6</v>
      </c>
    </row>
    <row r="96" spans="2:16">
      <c r="B96" s="50" t="s">
        <v>2061</v>
      </c>
      <c r="C96" s="477"/>
      <c r="D96" s="477">
        <v>9</v>
      </c>
      <c r="E96" s="477"/>
      <c r="F96" s="477">
        <v>9</v>
      </c>
    </row>
    <row r="97" spans="2:6">
      <c r="B97" s="50" t="s">
        <v>215</v>
      </c>
      <c r="C97" s="477"/>
      <c r="D97" s="477">
        <v>41</v>
      </c>
      <c r="E97" s="477"/>
      <c r="F97" s="477">
        <v>41</v>
      </c>
    </row>
    <row r="98" spans="2:6">
      <c r="B98" s="50" t="s">
        <v>213</v>
      </c>
      <c r="C98" s="477">
        <v>3</v>
      </c>
      <c r="D98" s="477">
        <v>6</v>
      </c>
      <c r="E98" s="477"/>
      <c r="F98" s="477">
        <v>9</v>
      </c>
    </row>
    <row r="99" spans="2:6">
      <c r="B99" s="50" t="s">
        <v>212</v>
      </c>
      <c r="C99" s="477"/>
      <c r="D99" s="477">
        <v>17</v>
      </c>
      <c r="E99" s="477"/>
      <c r="F99" s="477">
        <v>17</v>
      </c>
    </row>
    <row r="100" spans="2:6">
      <c r="B100" s="50" t="s">
        <v>217</v>
      </c>
      <c r="C100" s="477"/>
      <c r="D100" s="477">
        <v>17</v>
      </c>
      <c r="E100" s="477"/>
      <c r="F100" s="477">
        <v>17</v>
      </c>
    </row>
    <row r="101" spans="2:6">
      <c r="B101" s="50" t="s">
        <v>218</v>
      </c>
      <c r="C101" s="477">
        <v>7</v>
      </c>
      <c r="D101" s="477">
        <v>14</v>
      </c>
      <c r="E101" s="477"/>
      <c r="F101" s="477">
        <v>21</v>
      </c>
    </row>
    <row r="102" spans="2:6">
      <c r="B102" s="50" t="s">
        <v>219</v>
      </c>
      <c r="C102" s="477">
        <v>1</v>
      </c>
      <c r="D102" s="477">
        <v>17</v>
      </c>
      <c r="E102" s="477"/>
      <c r="F102" s="477">
        <v>18</v>
      </c>
    </row>
    <row r="103" spans="2:6">
      <c r="B103" s="50" t="s">
        <v>214</v>
      </c>
      <c r="C103" s="477"/>
      <c r="D103" s="477">
        <v>7</v>
      </c>
      <c r="E103" s="477"/>
      <c r="F103" s="477">
        <v>7</v>
      </c>
    </row>
    <row r="104" spans="2:6">
      <c r="B104" s="50" t="s">
        <v>1144</v>
      </c>
      <c r="C104" s="477">
        <v>19</v>
      </c>
      <c r="D104" s="477">
        <v>270</v>
      </c>
      <c r="E104" s="477">
        <v>13</v>
      </c>
      <c r="F104" s="477">
        <v>302</v>
      </c>
    </row>
    <row r="107" spans="2:6">
      <c r="B107" s="49" t="s">
        <v>8</v>
      </c>
      <c r="C107" t="s" vm="6">
        <v>2370</v>
      </c>
    </row>
    <row r="108" spans="2:6">
      <c r="B108" s="49" t="s">
        <v>9</v>
      </c>
      <c r="C108" t="s" vm="4">
        <v>1145</v>
      </c>
    </row>
    <row r="109" spans="2:6">
      <c r="B109" s="49" t="s">
        <v>10</v>
      </c>
      <c r="C109" t="s" vm="3">
        <v>40</v>
      </c>
    </row>
    <row r="111" spans="2:6">
      <c r="B111" s="49" t="s">
        <v>1148</v>
      </c>
      <c r="C111" t="s">
        <v>1146</v>
      </c>
    </row>
    <row r="112" spans="2:6">
      <c r="B112" s="50" t="s">
        <v>611</v>
      </c>
      <c r="C112" s="477">
        <v>19</v>
      </c>
    </row>
    <row r="113" spans="2:16">
      <c r="B113" s="50" t="s">
        <v>612</v>
      </c>
      <c r="C113" s="477">
        <v>270</v>
      </c>
    </row>
    <row r="114" spans="2:16">
      <c r="B114" s="50" t="s">
        <v>1840</v>
      </c>
      <c r="C114" s="477">
        <v>13</v>
      </c>
    </row>
    <row r="115" spans="2:16">
      <c r="B115" s="50" t="s">
        <v>1144</v>
      </c>
      <c r="C115" s="477">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2324</v>
      </c>
      <c r="H134" t="s">
        <v>1144</v>
      </c>
    </row>
    <row r="135" spans="2:8">
      <c r="B135" s="50" t="s">
        <v>379</v>
      </c>
      <c r="C135" s="477"/>
      <c r="D135" s="477">
        <v>34</v>
      </c>
      <c r="E135" s="477">
        <v>3</v>
      </c>
      <c r="F135" s="477">
        <v>1</v>
      </c>
      <c r="G135" s="477">
        <v>7</v>
      </c>
      <c r="H135" s="477">
        <v>45</v>
      </c>
    </row>
    <row r="136" spans="2:8">
      <c r="B136" s="50" t="s">
        <v>335</v>
      </c>
      <c r="C136" s="477"/>
      <c r="D136" s="477">
        <v>64</v>
      </c>
      <c r="E136" s="477"/>
      <c r="F136" s="477">
        <v>3</v>
      </c>
      <c r="G136" s="477"/>
      <c r="H136" s="477">
        <v>67</v>
      </c>
    </row>
    <row r="137" spans="2:8">
      <c r="B137" s="50" t="s">
        <v>368</v>
      </c>
      <c r="C137" s="477">
        <v>4</v>
      </c>
      <c r="D137" s="477">
        <v>31</v>
      </c>
      <c r="E137" s="477"/>
      <c r="F137" s="477">
        <v>5</v>
      </c>
      <c r="G137" s="477">
        <v>7</v>
      </c>
      <c r="H137" s="477">
        <v>47</v>
      </c>
    </row>
    <row r="138" spans="2:8">
      <c r="B138" s="50" t="s">
        <v>439</v>
      </c>
      <c r="C138" s="477"/>
      <c r="D138" s="477">
        <v>5</v>
      </c>
      <c r="E138" s="477"/>
      <c r="F138" s="477"/>
      <c r="G138" s="477"/>
      <c r="H138" s="477">
        <v>5</v>
      </c>
    </row>
    <row r="139" spans="2:8">
      <c r="B139" s="50" t="s">
        <v>441</v>
      </c>
      <c r="C139" s="477"/>
      <c r="D139" s="477">
        <v>4</v>
      </c>
      <c r="E139" s="477"/>
      <c r="F139" s="477">
        <v>1</v>
      </c>
      <c r="G139" s="477">
        <v>1</v>
      </c>
      <c r="H139" s="477">
        <v>6</v>
      </c>
    </row>
    <row r="140" spans="2:8">
      <c r="B140" s="50" t="s">
        <v>1860</v>
      </c>
      <c r="C140" s="477"/>
      <c r="D140" s="477">
        <v>4</v>
      </c>
      <c r="E140" s="477">
        <v>5</v>
      </c>
      <c r="F140" s="477"/>
      <c r="G140" s="477">
        <v>2</v>
      </c>
      <c r="H140" s="477">
        <v>11</v>
      </c>
    </row>
    <row r="141" spans="2:8">
      <c r="B141" s="50" t="s">
        <v>392</v>
      </c>
      <c r="C141" s="477"/>
      <c r="D141" s="477">
        <v>9</v>
      </c>
      <c r="E141" s="477"/>
      <c r="F141" s="477"/>
      <c r="G141" s="477"/>
      <c r="H141" s="477">
        <v>9</v>
      </c>
    </row>
    <row r="142" spans="2:8">
      <c r="B142" s="50" t="s">
        <v>1861</v>
      </c>
      <c r="C142" s="477"/>
      <c r="D142" s="477">
        <v>15</v>
      </c>
      <c r="E142" s="477"/>
      <c r="F142" s="477"/>
      <c r="G142" s="477"/>
      <c r="H142" s="477">
        <v>15</v>
      </c>
    </row>
    <row r="143" spans="2:8">
      <c r="B143" s="50" t="s">
        <v>1144</v>
      </c>
      <c r="C143" s="477">
        <v>4</v>
      </c>
      <c r="D143" s="477">
        <v>166</v>
      </c>
      <c r="E143" s="477">
        <v>8</v>
      </c>
      <c r="F143" s="477">
        <v>10</v>
      </c>
      <c r="G143" s="477">
        <v>17</v>
      </c>
      <c r="H143" s="477">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7">
        <v>166</v>
      </c>
    </row>
    <row r="156" spans="2:3">
      <c r="B156" s="50" t="s">
        <v>611</v>
      </c>
      <c r="C156" s="477">
        <v>4</v>
      </c>
    </row>
    <row r="157" spans="2:3">
      <c r="B157" s="50" t="s">
        <v>2324</v>
      </c>
      <c r="C157" s="477">
        <v>17</v>
      </c>
    </row>
    <row r="158" spans="2:3">
      <c r="B158" s="50" t="s">
        <v>615</v>
      </c>
      <c r="C158" s="477">
        <v>10</v>
      </c>
    </row>
    <row r="159" spans="2:3">
      <c r="B159" s="50" t="s">
        <v>1840</v>
      </c>
      <c r="C159" s="477">
        <v>8</v>
      </c>
    </row>
    <row r="160" spans="2:3">
      <c r="B160" s="50" t="s">
        <v>1144</v>
      </c>
      <c r="C160" s="477">
        <v>205</v>
      </c>
    </row>
    <row r="169" spans="2:3">
      <c r="B169" s="49" t="s">
        <v>9</v>
      </c>
      <c r="C169" t="s">
        <v>26</v>
      </c>
    </row>
    <row r="170" spans="2:3">
      <c r="B170" s="49" t="s">
        <v>1935</v>
      </c>
      <c r="C170" t="s">
        <v>2322</v>
      </c>
    </row>
    <row r="172" spans="2:3">
      <c r="B172" s="49" t="s">
        <v>1148</v>
      </c>
      <c r="C172" t="s">
        <v>2371</v>
      </c>
    </row>
    <row r="173" spans="2:3">
      <c r="B173" s="50" t="s">
        <v>612</v>
      </c>
      <c r="C173" s="477">
        <v>48</v>
      </c>
    </row>
    <row r="174" spans="2:3">
      <c r="B174" s="50" t="s">
        <v>1840</v>
      </c>
      <c r="C174" s="477">
        <v>3</v>
      </c>
    </row>
    <row r="175" spans="2:3">
      <c r="B175" s="50" t="s">
        <v>615</v>
      </c>
      <c r="C175" s="477">
        <v>6</v>
      </c>
    </row>
    <row r="176" spans="2:3">
      <c r="B176" s="50" t="s">
        <v>2320</v>
      </c>
      <c r="C176" s="477">
        <v>14</v>
      </c>
    </row>
    <row r="177" spans="2:3">
      <c r="B177" s="50" t="s">
        <v>1144</v>
      </c>
      <c r="C177" s="477">
        <v>71</v>
      </c>
    </row>
    <row r="180" spans="2:3">
      <c r="B180" s="50"/>
    </row>
    <row r="181" spans="2:3">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2371</v>
      </c>
    </row>
    <row r="205" spans="2:3">
      <c r="B205" s="50" t="s">
        <v>611</v>
      </c>
      <c r="C205" s="477">
        <v>4</v>
      </c>
    </row>
    <row r="206" spans="2:3">
      <c r="B206" s="50" t="s">
        <v>612</v>
      </c>
      <c r="C206" s="477">
        <v>118</v>
      </c>
    </row>
    <row r="207" spans="2:3">
      <c r="B207" s="50" t="s">
        <v>1840</v>
      </c>
      <c r="C207" s="477">
        <v>5</v>
      </c>
    </row>
    <row r="208" spans="2:3">
      <c r="B208" s="50" t="s">
        <v>615</v>
      </c>
      <c r="C208" s="477">
        <v>4</v>
      </c>
    </row>
    <row r="209" spans="2:3">
      <c r="B209" s="50" t="s">
        <v>2320</v>
      </c>
      <c r="C209" s="477">
        <v>3</v>
      </c>
    </row>
    <row r="210" spans="2:3">
      <c r="B210" s="50" t="s">
        <v>1144</v>
      </c>
      <c r="C210" s="477">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2414</v>
      </c>
      <c r="J1" t="s">
        <v>2341</v>
      </c>
      <c r="K1" t="s">
        <v>2342</v>
      </c>
      <c r="L1" t="s">
        <v>2363</v>
      </c>
      <c r="M1" t="s">
        <v>2381</v>
      </c>
      <c r="N1" t="s">
        <v>2325</v>
      </c>
      <c r="O1" t="s">
        <v>2374</v>
      </c>
      <c r="P1" t="s">
        <v>1935</v>
      </c>
      <c r="Q1" t="s">
        <v>1158</v>
      </c>
    </row>
    <row r="2" spans="1:17">
      <c r="A2" t="str">
        <f>C2&amp;E2&amp;F2</f>
        <v>Pilar IIIlt003_entityesg_sbsctr</v>
      </c>
      <c r="B2" t="s">
        <v>26</v>
      </c>
      <c r="C2" t="s">
        <v>26</v>
      </c>
      <c r="D2" t="s">
        <v>40</v>
      </c>
      <c r="E2" t="s">
        <v>335</v>
      </c>
      <c r="F2" t="s">
        <v>360</v>
      </c>
      <c r="G2" t="s">
        <v>2320</v>
      </c>
      <c r="H2" t="s">
        <v>613</v>
      </c>
      <c r="J2" t="s">
        <v>2307</v>
      </c>
      <c r="K2" t="s">
        <v>2354</v>
      </c>
      <c r="N2" t="s">
        <v>2421</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2354</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2354</v>
      </c>
      <c r="M4" t="s">
        <v>2314</v>
      </c>
      <c r="N4" t="s">
        <v>2382</v>
      </c>
      <c r="O4" t="s">
        <v>2361</v>
      </c>
      <c r="P4" t="s">
        <v>2322</v>
      </c>
      <c r="Q4" t="s">
        <v>2309</v>
      </c>
    </row>
    <row r="5" spans="1:17">
      <c r="A5" t="str">
        <f t="shared" si="0"/>
        <v>Pilar IIIlt007_instr_activityDT_RFRNC</v>
      </c>
      <c r="B5" t="s">
        <v>26</v>
      </c>
      <c r="C5" t="s">
        <v>26</v>
      </c>
      <c r="D5" t="s">
        <v>40</v>
      </c>
      <c r="E5" t="s">
        <v>1860</v>
      </c>
      <c r="F5" t="s">
        <v>1298</v>
      </c>
      <c r="G5" t="s">
        <v>2320</v>
      </c>
      <c r="H5" t="s">
        <v>2320</v>
      </c>
      <c r="J5" t="s">
        <v>2240</v>
      </c>
      <c r="K5" t="s">
        <v>2354</v>
      </c>
      <c r="M5" t="s">
        <v>2314</v>
      </c>
      <c r="N5" t="s">
        <v>2382</v>
      </c>
      <c r="O5" t="s">
        <v>2361</v>
      </c>
      <c r="P5" t="s">
        <v>2322</v>
      </c>
      <c r="Q5" t="s">
        <v>2309</v>
      </c>
    </row>
    <row r="6" spans="1:17">
      <c r="A6" t="str">
        <f t="shared" si="0"/>
        <v>Pilar IIIlt007_instr_activityINSTRMNT_ID</v>
      </c>
      <c r="B6" t="s">
        <v>26</v>
      </c>
      <c r="C6" t="s">
        <v>26</v>
      </c>
      <c r="D6" t="s">
        <v>40</v>
      </c>
      <c r="E6" t="s">
        <v>1860</v>
      </c>
      <c r="F6" t="s">
        <v>1307</v>
      </c>
      <c r="G6" t="s">
        <v>2320</v>
      </c>
      <c r="H6" t="s">
        <v>28</v>
      </c>
      <c r="J6" t="s">
        <v>2241</v>
      </c>
      <c r="K6" t="s">
        <v>2354</v>
      </c>
      <c r="M6" t="s">
        <v>2314</v>
      </c>
      <c r="N6" t="s">
        <v>2382</v>
      </c>
      <c r="O6" t="s">
        <v>2361</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2354</v>
      </c>
      <c r="M7" t="s">
        <v>2314</v>
      </c>
      <c r="N7" t="s">
        <v>2382</v>
      </c>
      <c r="O7" t="s">
        <v>2361</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2354</v>
      </c>
      <c r="M8" t="s">
        <v>2314</v>
      </c>
      <c r="N8" t="s">
        <v>2383</v>
      </c>
      <c r="O8" t="s">
        <v>2361</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2354</v>
      </c>
      <c r="M9" t="s">
        <v>2314</v>
      </c>
      <c r="N9" t="s">
        <v>2383</v>
      </c>
      <c r="O9" t="s">
        <v>2361</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2354</v>
      </c>
      <c r="M10" t="s">
        <v>2314</v>
      </c>
      <c r="N10" t="s">
        <v>2383</v>
      </c>
      <c r="O10" t="s">
        <v>2361</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2354</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2354</v>
      </c>
      <c r="M12" t="s">
        <v>2314</v>
      </c>
      <c r="N12" t="s">
        <v>2384</v>
      </c>
      <c r="O12" t="s">
        <v>2360</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2354</v>
      </c>
      <c r="M13" t="s">
        <v>2314</v>
      </c>
      <c r="N13" t="s">
        <v>2385</v>
      </c>
      <c r="O13" t="s">
        <v>2360</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2354</v>
      </c>
      <c r="M14" t="s">
        <v>2314</v>
      </c>
      <c r="N14" t="s">
        <v>2386</v>
      </c>
      <c r="O14" t="s">
        <v>2360</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2354</v>
      </c>
      <c r="M15" t="s">
        <v>2314</v>
      </c>
      <c r="N15" t="s">
        <v>2387</v>
      </c>
      <c r="O15" t="s">
        <v>2360</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2354</v>
      </c>
      <c r="M16" t="s">
        <v>2314</v>
      </c>
      <c r="N16" t="s">
        <v>2388</v>
      </c>
      <c r="O16" t="s">
        <v>2360</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2354</v>
      </c>
      <c r="M17" t="s">
        <v>2314</v>
      </c>
      <c r="N17" t="s">
        <v>2389</v>
      </c>
      <c r="O17" t="s">
        <v>2360</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2354</v>
      </c>
      <c r="M18" t="s">
        <v>2314</v>
      </c>
      <c r="N18" t="s">
        <v>2390</v>
      </c>
      <c r="O18" t="s">
        <v>2360</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2354</v>
      </c>
      <c r="M19" t="s">
        <v>2314</v>
      </c>
      <c r="N19" t="s">
        <v>2390</v>
      </c>
      <c r="O19" t="s">
        <v>2360</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2354</v>
      </c>
      <c r="M20" t="s">
        <v>2314</v>
      </c>
      <c r="N20" t="s">
        <v>2384</v>
      </c>
      <c r="O20" t="s">
        <v>2360</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2354</v>
      </c>
      <c r="M21" t="s">
        <v>2314</v>
      </c>
      <c r="N21" t="s">
        <v>2390</v>
      </c>
      <c r="O21" t="s">
        <v>2360</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2354</v>
      </c>
      <c r="M22" t="s">
        <v>2314</v>
      </c>
      <c r="N22" t="s">
        <v>2391</v>
      </c>
      <c r="O22" t="s">
        <v>2360</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2354</v>
      </c>
      <c r="M23" t="s">
        <v>2314</v>
      </c>
      <c r="N23" t="s">
        <v>2391</v>
      </c>
      <c r="O23" t="s">
        <v>2360</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2354</v>
      </c>
      <c r="M24" t="s">
        <v>2314</v>
      </c>
      <c r="N24" t="s">
        <v>2382</v>
      </c>
      <c r="O24" t="s">
        <v>2361</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2354</v>
      </c>
      <c r="M25" t="s">
        <v>2314</v>
      </c>
      <c r="N25" t="s">
        <v>2382</v>
      </c>
      <c r="O25" t="s">
        <v>2361</v>
      </c>
      <c r="P25" t="s">
        <v>2322</v>
      </c>
      <c r="Q25" t="s">
        <v>2309</v>
      </c>
    </row>
    <row r="26" spans="1:17">
      <c r="A26" t="str">
        <f t="shared" si="0"/>
        <v>Pilar IIIlt002_instrumentTYP_OFF_BLNC_PRDCT</v>
      </c>
      <c r="B26" t="s">
        <v>26</v>
      </c>
      <c r="C26" t="s">
        <v>26</v>
      </c>
      <c r="D26" t="s">
        <v>40</v>
      </c>
      <c r="E26" t="s">
        <v>379</v>
      </c>
      <c r="F26" t="s">
        <v>2174</v>
      </c>
      <c r="G26" t="s">
        <v>2320</v>
      </c>
      <c r="H26" t="s">
        <v>28</v>
      </c>
      <c r="J26" t="s">
        <v>2400</v>
      </c>
      <c r="K26" t="s">
        <v>2354</v>
      </c>
      <c r="M26" t="s">
        <v>2314</v>
      </c>
      <c r="N26" t="s">
        <v>2392</v>
      </c>
      <c r="O26" t="s">
        <v>2360</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2354</v>
      </c>
      <c r="M27" t="s">
        <v>2314</v>
      </c>
      <c r="N27" t="s">
        <v>2393</v>
      </c>
      <c r="O27" t="s">
        <v>2361</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2354</v>
      </c>
      <c r="M28" t="s">
        <v>2314</v>
      </c>
      <c r="N28" t="s">
        <v>2386</v>
      </c>
      <c r="O28" t="s">
        <v>2360</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2354</v>
      </c>
      <c r="M29" t="s">
        <v>2314</v>
      </c>
      <c r="N29" t="s">
        <v>2386</v>
      </c>
      <c r="O29" t="s">
        <v>2360</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2354</v>
      </c>
      <c r="M30" t="s">
        <v>2314</v>
      </c>
      <c r="N30" t="s">
        <v>2386</v>
      </c>
      <c r="O30" t="s">
        <v>2360</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2354</v>
      </c>
      <c r="M31" t="s">
        <v>2314</v>
      </c>
      <c r="N31" t="s">
        <v>2394</v>
      </c>
      <c r="O31" t="s">
        <v>2361</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2399</v>
      </c>
      <c r="M32" t="s">
        <v>2314</v>
      </c>
      <c r="N32" t="s">
        <v>2383</v>
      </c>
      <c r="O32" t="s">
        <v>2361</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2399</v>
      </c>
      <c r="M33" t="s">
        <v>2314</v>
      </c>
      <c r="N33" t="s">
        <v>2383</v>
      </c>
      <c r="O33" t="s">
        <v>2361</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2399</v>
      </c>
      <c r="M34" t="s">
        <v>2314</v>
      </c>
      <c r="N34" t="s">
        <v>2383</v>
      </c>
      <c r="O34" t="s">
        <v>2361</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2399</v>
      </c>
      <c r="M35" t="s">
        <v>2314</v>
      </c>
      <c r="N35" t="s">
        <v>2383</v>
      </c>
      <c r="O35" t="s">
        <v>2361</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2399</v>
      </c>
      <c r="M36" t="s">
        <v>2314</v>
      </c>
      <c r="N36" t="s">
        <v>2383</v>
      </c>
      <c r="O36" t="s">
        <v>2361</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2399</v>
      </c>
      <c r="M37" t="s">
        <v>2314</v>
      </c>
      <c r="N37" t="s">
        <v>2383</v>
      </c>
      <c r="O37" t="s">
        <v>2361</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2399</v>
      </c>
      <c r="M38" t="s">
        <v>2314</v>
      </c>
      <c r="N38" t="s">
        <v>2383</v>
      </c>
      <c r="O38" t="s">
        <v>2361</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2399</v>
      </c>
      <c r="M39" t="s">
        <v>2314</v>
      </c>
      <c r="N39" t="s">
        <v>2383</v>
      </c>
      <c r="O39" t="s">
        <v>2361</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2399</v>
      </c>
      <c r="M40" t="s">
        <v>2314</v>
      </c>
      <c r="N40" t="s">
        <v>2383</v>
      </c>
      <c r="O40" t="s">
        <v>2361</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2399</v>
      </c>
      <c r="M41" t="s">
        <v>2314</v>
      </c>
      <c r="N41" t="s">
        <v>2383</v>
      </c>
      <c r="O41" t="s">
        <v>2361</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2399</v>
      </c>
      <c r="M42" t="s">
        <v>2314</v>
      </c>
      <c r="N42" t="s">
        <v>2383</v>
      </c>
      <c r="O42" t="s">
        <v>2361</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2399</v>
      </c>
      <c r="M43" t="s">
        <v>2314</v>
      </c>
      <c r="N43" t="s">
        <v>2383</v>
      </c>
      <c r="O43" t="s">
        <v>2361</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2399</v>
      </c>
      <c r="M44" t="s">
        <v>2314</v>
      </c>
      <c r="N44" t="s">
        <v>2383</v>
      </c>
      <c r="O44" t="s">
        <v>2361</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2399</v>
      </c>
      <c r="M45" t="s">
        <v>2314</v>
      </c>
      <c r="N45" t="s">
        <v>2383</v>
      </c>
      <c r="O45" t="s">
        <v>2361</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2399</v>
      </c>
      <c r="M46" t="s">
        <v>2314</v>
      </c>
      <c r="N46" t="s">
        <v>2383</v>
      </c>
      <c r="O46" t="s">
        <v>2361</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2399</v>
      </c>
      <c r="M47" t="s">
        <v>2314</v>
      </c>
      <c r="N47" t="s">
        <v>2383</v>
      </c>
      <c r="O47" t="s">
        <v>2361</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2399</v>
      </c>
      <c r="M48" t="s">
        <v>2314</v>
      </c>
      <c r="N48" t="s">
        <v>2383</v>
      </c>
      <c r="O48" t="s">
        <v>2361</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2399</v>
      </c>
      <c r="M49" t="s">
        <v>2314</v>
      </c>
      <c r="N49" t="s">
        <v>2383</v>
      </c>
      <c r="O49" t="s">
        <v>2361</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2399</v>
      </c>
      <c r="M50" t="s">
        <v>2314</v>
      </c>
      <c r="N50" t="s">
        <v>2383</v>
      </c>
      <c r="O50" t="s">
        <v>2361</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2399</v>
      </c>
      <c r="M51" t="s">
        <v>2314</v>
      </c>
      <c r="N51" t="s">
        <v>2383</v>
      </c>
      <c r="O51" t="s">
        <v>2361</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2354</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2354</v>
      </c>
      <c r="M53" t="s">
        <v>2314</v>
      </c>
      <c r="N53" t="s">
        <v>2395</v>
      </c>
      <c r="O53" t="s">
        <v>2361</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2354</v>
      </c>
      <c r="M54" t="s">
        <v>2314</v>
      </c>
      <c r="N54" t="s">
        <v>2391</v>
      </c>
      <c r="O54" t="s">
        <v>2360</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2354</v>
      </c>
      <c r="M55" t="s">
        <v>2314</v>
      </c>
      <c r="N55" t="s">
        <v>2391</v>
      </c>
      <c r="O55" t="s">
        <v>2360</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2354</v>
      </c>
      <c r="M56" t="s">
        <v>2314</v>
      </c>
      <c r="N56" t="s">
        <v>2391</v>
      </c>
      <c r="O56" t="s">
        <v>2360</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2354</v>
      </c>
      <c r="M57" t="s">
        <v>2314</v>
      </c>
      <c r="N57" t="s">
        <v>2396</v>
      </c>
      <c r="O57" t="s">
        <v>2361</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2354</v>
      </c>
      <c r="M58" t="s">
        <v>2314</v>
      </c>
      <c r="N58" t="s">
        <v>2396</v>
      </c>
      <c r="O58" t="s">
        <v>2361</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2354</v>
      </c>
      <c r="M59" t="s">
        <v>2314</v>
      </c>
      <c r="N59" t="s">
        <v>2396</v>
      </c>
      <c r="O59" t="s">
        <v>2361</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2354</v>
      </c>
      <c r="M60" t="s">
        <v>2314</v>
      </c>
      <c r="N60" t="s">
        <v>2396</v>
      </c>
      <c r="O60" t="s">
        <v>2361</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2354</v>
      </c>
      <c r="M61" t="s">
        <v>2314</v>
      </c>
      <c r="N61" t="s">
        <v>2396</v>
      </c>
      <c r="O61" t="s">
        <v>2361</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2354</v>
      </c>
      <c r="M62" t="s">
        <v>2314</v>
      </c>
      <c r="N62" t="s">
        <v>2396</v>
      </c>
      <c r="O62" t="s">
        <v>2361</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2354</v>
      </c>
      <c r="M63" t="s">
        <v>2314</v>
      </c>
      <c r="N63" t="s">
        <v>2396</v>
      </c>
      <c r="O63" t="s">
        <v>2361</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2354</v>
      </c>
      <c r="M64" t="s">
        <v>2314</v>
      </c>
      <c r="N64" t="s">
        <v>2396</v>
      </c>
      <c r="O64" t="s">
        <v>2361</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2354</v>
      </c>
      <c r="M65" t="s">
        <v>2314</v>
      </c>
      <c r="N65" t="s">
        <v>2396</v>
      </c>
      <c r="O65" t="s">
        <v>2361</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2354</v>
      </c>
      <c r="M66" t="s">
        <v>2314</v>
      </c>
      <c r="N66" t="s">
        <v>2396</v>
      </c>
      <c r="O66" t="s">
        <v>2361</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2354</v>
      </c>
      <c r="M67" t="s">
        <v>2314</v>
      </c>
      <c r="N67" t="s">
        <v>2396</v>
      </c>
      <c r="O67" t="s">
        <v>2361</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2354</v>
      </c>
      <c r="M68" t="s">
        <v>2314</v>
      </c>
      <c r="N68" t="s">
        <v>2397</v>
      </c>
      <c r="O68" t="s">
        <v>2360</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2354</v>
      </c>
      <c r="M69" t="s">
        <v>2314</v>
      </c>
      <c r="N69" t="s">
        <v>2393</v>
      </c>
      <c r="O69" t="s">
        <v>2361</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2354</v>
      </c>
      <c r="M70" t="s">
        <v>2314</v>
      </c>
      <c r="N70" t="s">
        <v>2393</v>
      </c>
      <c r="O70" t="s">
        <v>2361</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2354</v>
      </c>
      <c r="M71" t="s">
        <v>2314</v>
      </c>
      <c r="N71" t="s">
        <v>2398</v>
      </c>
      <c r="O71" t="s">
        <v>2361</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2354</v>
      </c>
      <c r="M72" t="s">
        <v>2314</v>
      </c>
      <c r="N72" t="s">
        <v>2393</v>
      </c>
      <c r="O72" t="s">
        <v>2361</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2354</v>
      </c>
      <c r="M73" t="s">
        <v>2314</v>
      </c>
      <c r="N73" t="s">
        <v>2393</v>
      </c>
      <c r="O73" t="s">
        <v>2361</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2354</v>
      </c>
      <c r="M74" t="s">
        <v>2314</v>
      </c>
      <c r="N74" t="s">
        <v>2393</v>
      </c>
      <c r="O74" t="s">
        <v>2361</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2354</v>
      </c>
      <c r="M75" t="s">
        <v>2314</v>
      </c>
      <c r="N75" t="s">
        <v>2393</v>
      </c>
      <c r="O75" t="s">
        <v>2361</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2354</v>
      </c>
      <c r="M76" t="s">
        <v>2314</v>
      </c>
      <c r="N76" t="s">
        <v>2393</v>
      </c>
      <c r="O76" t="s">
        <v>2361</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3.83203125" bestFit="1" customWidth="1"/>
    <col min="2" max="2" width="16.332031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2379</v>
      </c>
      <c r="B4" s="477">
        <v>0</v>
      </c>
    </row>
    <row r="5" spans="1:2">
      <c r="A5" t="s">
        <v>2008</v>
      </c>
      <c r="B5" s="477">
        <v>1</v>
      </c>
    </row>
    <row r="6" spans="1:2">
      <c r="A6" t="s">
        <v>2009</v>
      </c>
      <c r="B6" s="477">
        <v>1</v>
      </c>
    </row>
    <row r="7" spans="1:2">
      <c r="A7" t="s">
        <v>2010</v>
      </c>
      <c r="B7" s="477">
        <v>1</v>
      </c>
    </row>
    <row r="8" spans="1:2">
      <c r="A8" t="s">
        <v>2011</v>
      </c>
      <c r="B8" s="477">
        <v>1</v>
      </c>
    </row>
    <row r="9" spans="1:2">
      <c r="A9" t="s">
        <v>2012</v>
      </c>
      <c r="B9" s="477">
        <v>1</v>
      </c>
    </row>
    <row r="10" spans="1:2">
      <c r="A10" t="s">
        <v>2013</v>
      </c>
      <c r="B10" s="477">
        <v>1</v>
      </c>
    </row>
    <row r="11" spans="1:2">
      <c r="A11" t="s">
        <v>2014</v>
      </c>
      <c r="B11" s="477">
        <v>1</v>
      </c>
    </row>
    <row r="12" spans="1:2">
      <c r="A12" t="s">
        <v>2015</v>
      </c>
      <c r="B12" s="477">
        <v>1</v>
      </c>
    </row>
    <row r="13" spans="1:2">
      <c r="A13" t="s">
        <v>2016</v>
      </c>
      <c r="B13" s="477">
        <v>1</v>
      </c>
    </row>
    <row r="14" spans="1:2">
      <c r="A14" t="s">
        <v>2017</v>
      </c>
      <c r="B14" s="477">
        <v>1</v>
      </c>
    </row>
    <row r="15" spans="1:2">
      <c r="A15" t="s">
        <v>2018</v>
      </c>
      <c r="B15" s="477">
        <v>1</v>
      </c>
    </row>
    <row r="16" spans="1:2">
      <c r="A16" t="s">
        <v>2019</v>
      </c>
      <c r="B16" s="477">
        <v>1</v>
      </c>
    </row>
    <row r="17" spans="1:2">
      <c r="A17" t="s">
        <v>2020</v>
      </c>
      <c r="B17" s="477">
        <v>1</v>
      </c>
    </row>
    <row r="18" spans="1:2">
      <c r="A18" t="s">
        <v>2021</v>
      </c>
      <c r="B18" s="477">
        <v>1</v>
      </c>
    </row>
    <row r="19" spans="1:2">
      <c r="A19" t="s">
        <v>2022</v>
      </c>
      <c r="B19" s="477">
        <v>1</v>
      </c>
    </row>
    <row r="20" spans="1:2">
      <c r="A20" t="s">
        <v>2023</v>
      </c>
      <c r="B20" s="477">
        <v>1</v>
      </c>
    </row>
    <row r="21" spans="1:2">
      <c r="A21" t="s">
        <v>2024</v>
      </c>
      <c r="B21" s="477">
        <v>1</v>
      </c>
    </row>
    <row r="22" spans="1:2">
      <c r="A22" t="s">
        <v>2380</v>
      </c>
      <c r="B22" s="477">
        <v>0</v>
      </c>
    </row>
    <row r="23" spans="1:2">
      <c r="A23" t="s">
        <v>2025</v>
      </c>
      <c r="B23" s="477">
        <v>1</v>
      </c>
    </row>
    <row r="24" spans="1:2">
      <c r="A24" t="s">
        <v>2026</v>
      </c>
      <c r="B24" s="477">
        <v>1</v>
      </c>
    </row>
    <row r="25" spans="1:2">
      <c r="A25" t="s">
        <v>2027</v>
      </c>
      <c r="B25" s="477">
        <v>1</v>
      </c>
    </row>
    <row r="26" spans="1:2">
      <c r="A26" t="s">
        <v>2028</v>
      </c>
      <c r="B26" s="477">
        <v>1</v>
      </c>
    </row>
    <row r="27" spans="1:2">
      <c r="A27" t="s">
        <v>2029</v>
      </c>
      <c r="B27" s="477">
        <v>1</v>
      </c>
    </row>
    <row r="28" spans="1:2">
      <c r="A28" t="s">
        <v>2030</v>
      </c>
      <c r="B28" s="477">
        <v>1</v>
      </c>
    </row>
    <row r="29" spans="1:2">
      <c r="A29" t="s">
        <v>2031</v>
      </c>
      <c r="B29" s="477">
        <v>1</v>
      </c>
    </row>
    <row r="30" spans="1:2">
      <c r="A30" t="s">
        <v>2032</v>
      </c>
      <c r="B30" s="477">
        <v>1</v>
      </c>
    </row>
    <row r="31" spans="1:2">
      <c r="A31" t="s">
        <v>654</v>
      </c>
      <c r="B31" s="477">
        <v>1</v>
      </c>
    </row>
    <row r="32" spans="1:2">
      <c r="A32" t="s">
        <v>2033</v>
      </c>
      <c r="B32" s="477">
        <v>1</v>
      </c>
    </row>
    <row r="33" spans="1:2">
      <c r="A33" t="s">
        <v>2034</v>
      </c>
      <c r="B33" s="477">
        <v>1</v>
      </c>
    </row>
    <row r="34" spans="1:2">
      <c r="A34" t="s">
        <v>2035</v>
      </c>
      <c r="B34" s="477">
        <v>1</v>
      </c>
    </row>
    <row r="35" spans="1:2">
      <c r="A35" t="s">
        <v>2036</v>
      </c>
      <c r="B35" s="477">
        <v>1</v>
      </c>
    </row>
    <row r="36" spans="1:2">
      <c r="A36" t="s">
        <v>2037</v>
      </c>
      <c r="B36" s="477">
        <v>1</v>
      </c>
    </row>
    <row r="37" spans="1:2">
      <c r="A37" t="s">
        <v>2038</v>
      </c>
      <c r="B37" s="477">
        <v>1</v>
      </c>
    </row>
    <row r="38" spans="1:2">
      <c r="A38" t="s">
        <v>2039</v>
      </c>
      <c r="B38" s="477">
        <v>1</v>
      </c>
    </row>
    <row r="39" spans="1:2">
      <c r="A39" t="s">
        <v>2040</v>
      </c>
      <c r="B39" s="477">
        <v>1</v>
      </c>
    </row>
    <row r="40" spans="1:2">
      <c r="A40" t="s">
        <v>655</v>
      </c>
      <c r="B40" s="477">
        <v>1</v>
      </c>
    </row>
    <row r="41" spans="1:2">
      <c r="A41" t="s">
        <v>656</v>
      </c>
      <c r="B41" s="477">
        <v>1</v>
      </c>
    </row>
    <row r="42" spans="1:2">
      <c r="A42" t="s">
        <v>657</v>
      </c>
      <c r="B42" s="477">
        <v>1</v>
      </c>
    </row>
    <row r="43" spans="1:2">
      <c r="A43" t="s">
        <v>658</v>
      </c>
      <c r="B43" s="477">
        <v>1</v>
      </c>
    </row>
    <row r="44" spans="1:2">
      <c r="A44" t="s">
        <v>2041</v>
      </c>
      <c r="B44" s="477">
        <v>1</v>
      </c>
    </row>
    <row r="45" spans="1:2">
      <c r="A45" t="s">
        <v>2042</v>
      </c>
      <c r="B45" s="477">
        <v>1</v>
      </c>
    </row>
    <row r="46" spans="1:2">
      <c r="A46" t="s">
        <v>2043</v>
      </c>
      <c r="B46" s="477">
        <v>1</v>
      </c>
    </row>
    <row r="47" spans="1:2">
      <c r="A47" t="s">
        <v>2044</v>
      </c>
      <c r="B47" s="477">
        <v>1</v>
      </c>
    </row>
    <row r="48" spans="1:2">
      <c r="A48" t="s">
        <v>2045</v>
      </c>
      <c r="B48" s="477">
        <v>1</v>
      </c>
    </row>
    <row r="49" spans="1:2">
      <c r="A49" t="s">
        <v>2046</v>
      </c>
      <c r="B49" s="477">
        <v>1</v>
      </c>
    </row>
    <row r="50" spans="1:2">
      <c r="A50" t="s">
        <v>2047</v>
      </c>
      <c r="B50" s="477">
        <v>1</v>
      </c>
    </row>
    <row r="51" spans="1:2">
      <c r="A51" t="s">
        <v>659</v>
      </c>
      <c r="B51" s="477">
        <v>1</v>
      </c>
    </row>
    <row r="52" spans="1:2">
      <c r="A52" t="s">
        <v>660</v>
      </c>
      <c r="B52" s="477">
        <v>1</v>
      </c>
    </row>
    <row r="53" spans="1:2">
      <c r="A53" t="s">
        <v>661</v>
      </c>
      <c r="B53" s="477">
        <v>1</v>
      </c>
    </row>
    <row r="54" spans="1:2">
      <c r="A54" t="s">
        <v>2176</v>
      </c>
      <c r="B54" s="477">
        <v>7</v>
      </c>
    </row>
    <row r="55" spans="1:2">
      <c r="A55" t="s">
        <v>662</v>
      </c>
      <c r="B55" s="477">
        <v>1</v>
      </c>
    </row>
    <row r="56" spans="1:2">
      <c r="A56" t="s">
        <v>663</v>
      </c>
      <c r="B56" s="477">
        <v>1</v>
      </c>
    </row>
    <row r="57" spans="1:2">
      <c r="A57" t="s">
        <v>664</v>
      </c>
      <c r="B57" s="477">
        <v>1</v>
      </c>
    </row>
    <row r="58" spans="1:2">
      <c r="A58" t="s">
        <v>665</v>
      </c>
      <c r="B58" s="477">
        <v>1</v>
      </c>
    </row>
    <row r="59" spans="1:2">
      <c r="A59" t="s">
        <v>2177</v>
      </c>
      <c r="B59" s="477">
        <v>1</v>
      </c>
    </row>
    <row r="60" spans="1:2">
      <c r="A60" t="s">
        <v>666</v>
      </c>
      <c r="B60" s="477">
        <v>1</v>
      </c>
    </row>
    <row r="61" spans="1:2">
      <c r="A61" t="s">
        <v>2178</v>
      </c>
      <c r="B61" s="477">
        <v>1</v>
      </c>
    </row>
    <row r="62" spans="1:2">
      <c r="A62" t="s">
        <v>2179</v>
      </c>
      <c r="B62" s="477">
        <v>1</v>
      </c>
    </row>
    <row r="63" spans="1:2">
      <c r="A63" t="s">
        <v>2180</v>
      </c>
      <c r="B63" s="477">
        <v>1</v>
      </c>
    </row>
    <row r="64" spans="1:2">
      <c r="A64" t="s">
        <v>2181</v>
      </c>
      <c r="B64" s="477">
        <v>1</v>
      </c>
    </row>
    <row r="65" spans="1:2">
      <c r="A65" t="s">
        <v>2182</v>
      </c>
      <c r="B65" s="477">
        <v>1</v>
      </c>
    </row>
    <row r="66" spans="1:2">
      <c r="A66" t="s">
        <v>667</v>
      </c>
      <c r="B66" s="477">
        <v>7</v>
      </c>
    </row>
    <row r="67" spans="1:2">
      <c r="A67" t="s">
        <v>668</v>
      </c>
      <c r="B67" s="477">
        <v>7</v>
      </c>
    </row>
    <row r="68" spans="1:2">
      <c r="A68" t="s">
        <v>669</v>
      </c>
      <c r="B68" s="477">
        <v>1</v>
      </c>
    </row>
    <row r="69" spans="1:2">
      <c r="A69" t="s">
        <v>670</v>
      </c>
      <c r="B69" s="477">
        <v>7</v>
      </c>
    </row>
    <row r="70" spans="1:2">
      <c r="A70" t="s">
        <v>671</v>
      </c>
      <c r="B70" s="477">
        <v>1</v>
      </c>
    </row>
    <row r="71" spans="1:2">
      <c r="A71" t="s">
        <v>672</v>
      </c>
      <c r="B71" s="477">
        <v>1</v>
      </c>
    </row>
    <row r="72" spans="1:2">
      <c r="A72" t="s">
        <v>673</v>
      </c>
      <c r="B72" s="477">
        <v>1</v>
      </c>
    </row>
    <row r="73" spans="1:2">
      <c r="A73" t="s">
        <v>2183</v>
      </c>
      <c r="B73" s="477">
        <v>1</v>
      </c>
    </row>
    <row r="74" spans="1:2">
      <c r="A74" t="s">
        <v>2184</v>
      </c>
      <c r="B74" s="477">
        <v>1</v>
      </c>
    </row>
    <row r="75" spans="1:2">
      <c r="A75" t="s">
        <v>2185</v>
      </c>
      <c r="B75" s="477">
        <v>1</v>
      </c>
    </row>
    <row r="76" spans="1:2">
      <c r="A76" t="s">
        <v>674</v>
      </c>
      <c r="B76" s="477">
        <v>1</v>
      </c>
    </row>
    <row r="77" spans="1:2">
      <c r="A77" t="s">
        <v>675</v>
      </c>
      <c r="B77" s="477">
        <v>1</v>
      </c>
    </row>
    <row r="78" spans="1:2">
      <c r="A78" t="s">
        <v>676</v>
      </c>
      <c r="B78" s="477">
        <v>1</v>
      </c>
    </row>
    <row r="79" spans="1:2">
      <c r="A79" t="s">
        <v>677</v>
      </c>
      <c r="B79" s="477">
        <v>1</v>
      </c>
    </row>
    <row r="80" spans="1:2">
      <c r="A80" t="s">
        <v>2186</v>
      </c>
      <c r="B80" s="477">
        <v>1</v>
      </c>
    </row>
    <row r="81" spans="1:2">
      <c r="A81" t="s">
        <v>2187</v>
      </c>
      <c r="B81" s="477">
        <v>1</v>
      </c>
    </row>
    <row r="82" spans="1:2">
      <c r="A82" t="s">
        <v>678</v>
      </c>
      <c r="B82" s="477">
        <v>2</v>
      </c>
    </row>
    <row r="83" spans="1:2">
      <c r="A83" t="s">
        <v>679</v>
      </c>
      <c r="B83" s="477">
        <v>2</v>
      </c>
    </row>
    <row r="84" spans="1:2">
      <c r="A84" t="s">
        <v>680</v>
      </c>
      <c r="B84" s="477">
        <v>2</v>
      </c>
    </row>
    <row r="85" spans="1:2">
      <c r="A85" t="s">
        <v>2188</v>
      </c>
      <c r="B85" s="477">
        <v>7</v>
      </c>
    </row>
    <row r="86" spans="1:2">
      <c r="A86" t="s">
        <v>2189</v>
      </c>
      <c r="B86" s="477">
        <v>7</v>
      </c>
    </row>
    <row r="87" spans="1:2">
      <c r="A87" t="s">
        <v>681</v>
      </c>
      <c r="B87" s="477">
        <v>1</v>
      </c>
    </row>
    <row r="88" spans="1:2">
      <c r="A88" t="s">
        <v>682</v>
      </c>
      <c r="B88" s="477">
        <v>1</v>
      </c>
    </row>
    <row r="89" spans="1:2">
      <c r="A89" t="s">
        <v>683</v>
      </c>
      <c r="B89" s="477">
        <v>1</v>
      </c>
    </row>
    <row r="90" spans="1:2">
      <c r="A90" t="s">
        <v>684</v>
      </c>
      <c r="B90" s="477">
        <v>6</v>
      </c>
    </row>
    <row r="91" spans="1:2">
      <c r="A91" t="s">
        <v>685</v>
      </c>
      <c r="B91" s="477">
        <v>1</v>
      </c>
    </row>
    <row r="92" spans="1:2">
      <c r="A92" t="s">
        <v>2190</v>
      </c>
      <c r="B92" s="477">
        <v>1</v>
      </c>
    </row>
    <row r="93" spans="1:2">
      <c r="A93" t="s">
        <v>686</v>
      </c>
      <c r="B93" s="477">
        <v>1</v>
      </c>
    </row>
    <row r="94" spans="1:2">
      <c r="A94" t="s">
        <v>687</v>
      </c>
      <c r="B94" s="477">
        <v>1</v>
      </c>
    </row>
    <row r="95" spans="1:2">
      <c r="A95" t="s">
        <v>2191</v>
      </c>
      <c r="B95" s="477">
        <v>7</v>
      </c>
    </row>
    <row r="96" spans="1:2">
      <c r="A96" t="s">
        <v>688</v>
      </c>
      <c r="B96" s="477">
        <v>1</v>
      </c>
    </row>
    <row r="97" spans="1:2">
      <c r="A97" t="s">
        <v>689</v>
      </c>
      <c r="B97" s="477">
        <v>1</v>
      </c>
    </row>
    <row r="98" spans="1:2">
      <c r="A98" t="s">
        <v>690</v>
      </c>
      <c r="B98" s="477">
        <v>1</v>
      </c>
    </row>
    <row r="99" spans="1:2">
      <c r="A99" t="s">
        <v>691</v>
      </c>
      <c r="B99" s="477">
        <v>1</v>
      </c>
    </row>
    <row r="100" spans="1:2">
      <c r="A100" t="s">
        <v>692</v>
      </c>
      <c r="B100" s="477">
        <v>1</v>
      </c>
    </row>
    <row r="101" spans="1:2">
      <c r="A101" t="s">
        <v>693</v>
      </c>
      <c r="B101" s="477">
        <v>1</v>
      </c>
    </row>
    <row r="102" spans="1:2">
      <c r="A102" t="s">
        <v>694</v>
      </c>
      <c r="B102" s="477">
        <v>1</v>
      </c>
    </row>
    <row r="103" spans="1:2">
      <c r="A103" t="s">
        <v>2216</v>
      </c>
      <c r="B103" s="477">
        <v>6</v>
      </c>
    </row>
    <row r="104" spans="1:2">
      <c r="A104" t="s">
        <v>2217</v>
      </c>
      <c r="B104" s="477">
        <v>6</v>
      </c>
    </row>
    <row r="105" spans="1:2">
      <c r="A105" t="s">
        <v>695</v>
      </c>
      <c r="B105" s="477">
        <v>1</v>
      </c>
    </row>
    <row r="106" spans="1:2">
      <c r="A106" t="s">
        <v>696</v>
      </c>
      <c r="B106" s="477">
        <v>1</v>
      </c>
    </row>
    <row r="107" spans="1:2">
      <c r="A107" t="s">
        <v>697</v>
      </c>
      <c r="B107" s="477">
        <v>1</v>
      </c>
    </row>
    <row r="108" spans="1:2">
      <c r="A108" t="s">
        <v>2218</v>
      </c>
      <c r="B108" s="477">
        <v>1</v>
      </c>
    </row>
    <row r="109" spans="1:2">
      <c r="A109" t="s">
        <v>2219</v>
      </c>
      <c r="B109" s="477">
        <v>1</v>
      </c>
    </row>
    <row r="110" spans="1:2">
      <c r="A110" t="s">
        <v>698</v>
      </c>
      <c r="B110" s="477">
        <v>1</v>
      </c>
    </row>
    <row r="111" spans="1:2">
      <c r="A111" t="s">
        <v>699</v>
      </c>
      <c r="B111" s="477">
        <v>1</v>
      </c>
    </row>
    <row r="112" spans="1:2">
      <c r="A112" t="s">
        <v>2220</v>
      </c>
      <c r="B112" s="477">
        <v>1</v>
      </c>
    </row>
    <row r="113" spans="1:2">
      <c r="A113" t="s">
        <v>2221</v>
      </c>
      <c r="B113" s="477">
        <v>1</v>
      </c>
    </row>
    <row r="114" spans="1:2">
      <c r="A114" t="s">
        <v>700</v>
      </c>
      <c r="B114" s="477">
        <v>1</v>
      </c>
    </row>
    <row r="115" spans="1:2">
      <c r="A115" t="s">
        <v>2222</v>
      </c>
      <c r="B115" s="477">
        <v>1</v>
      </c>
    </row>
    <row r="116" spans="1:2">
      <c r="A116" t="s">
        <v>701</v>
      </c>
      <c r="B116" s="477">
        <v>1</v>
      </c>
    </row>
    <row r="117" spans="1:2">
      <c r="A117" t="s">
        <v>702</v>
      </c>
      <c r="B117" s="477">
        <v>1</v>
      </c>
    </row>
    <row r="118" spans="1:2">
      <c r="A118" t="s">
        <v>703</v>
      </c>
      <c r="B118" s="477">
        <v>1</v>
      </c>
    </row>
    <row r="119" spans="1:2">
      <c r="A119" t="s">
        <v>704</v>
      </c>
      <c r="B119" s="477">
        <v>1</v>
      </c>
    </row>
    <row r="120" spans="1:2">
      <c r="A120" t="s">
        <v>705</v>
      </c>
      <c r="B120" s="477">
        <v>1</v>
      </c>
    </row>
    <row r="121" spans="1:2">
      <c r="A121" t="s">
        <v>706</v>
      </c>
      <c r="B121" s="477">
        <v>1</v>
      </c>
    </row>
    <row r="122" spans="1:2">
      <c r="A122" t="s">
        <v>707</v>
      </c>
      <c r="B122" s="477">
        <v>1</v>
      </c>
    </row>
    <row r="123" spans="1:2">
      <c r="A123" t="s">
        <v>708</v>
      </c>
      <c r="B123" s="477">
        <v>1</v>
      </c>
    </row>
    <row r="124" spans="1:2">
      <c r="A124" t="s">
        <v>2223</v>
      </c>
      <c r="B124" s="477">
        <v>6</v>
      </c>
    </row>
    <row r="125" spans="1:2">
      <c r="A125" t="s">
        <v>709</v>
      </c>
      <c r="B125" s="477">
        <v>1</v>
      </c>
    </row>
    <row r="126" spans="1:2">
      <c r="A126" t="s">
        <v>710</v>
      </c>
      <c r="B126" s="477">
        <v>1</v>
      </c>
    </row>
    <row r="127" spans="1:2">
      <c r="A127" t="s">
        <v>711</v>
      </c>
      <c r="B127" s="477">
        <v>1</v>
      </c>
    </row>
    <row r="128" spans="1:2">
      <c r="A128" t="s">
        <v>712</v>
      </c>
      <c r="B128" s="477">
        <v>1</v>
      </c>
    </row>
    <row r="129" spans="1:2">
      <c r="A129" t="s">
        <v>713</v>
      </c>
      <c r="B129" s="477">
        <v>1</v>
      </c>
    </row>
    <row r="130" spans="1:2">
      <c r="A130" t="s">
        <v>714</v>
      </c>
      <c r="B130" s="477">
        <v>1</v>
      </c>
    </row>
    <row r="131" spans="1:2">
      <c r="A131" t="s">
        <v>715</v>
      </c>
      <c r="B131" s="477">
        <v>1</v>
      </c>
    </row>
    <row r="132" spans="1:2">
      <c r="A132" t="s">
        <v>716</v>
      </c>
      <c r="B132" s="477">
        <v>1</v>
      </c>
    </row>
    <row r="133" spans="1:2">
      <c r="A133" t="s">
        <v>717</v>
      </c>
      <c r="B133" s="477">
        <v>1</v>
      </c>
    </row>
    <row r="134" spans="1:2">
      <c r="A134" t="s">
        <v>718</v>
      </c>
      <c r="B134" s="477">
        <v>1</v>
      </c>
    </row>
    <row r="135" spans="1:2">
      <c r="A135" t="s">
        <v>2224</v>
      </c>
      <c r="B135" s="477">
        <v>1</v>
      </c>
    </row>
    <row r="136" spans="1:2">
      <c r="A136" t="s">
        <v>719</v>
      </c>
      <c r="B136" s="477">
        <v>1</v>
      </c>
    </row>
    <row r="137" spans="1:2">
      <c r="A137" t="s">
        <v>720</v>
      </c>
      <c r="B137" s="477">
        <v>1</v>
      </c>
    </row>
    <row r="138" spans="1:2">
      <c r="A138" t="s">
        <v>2225</v>
      </c>
      <c r="B138" s="477">
        <v>1</v>
      </c>
    </row>
    <row r="139" spans="1:2">
      <c r="A139" t="s">
        <v>2226</v>
      </c>
      <c r="B139" s="477">
        <v>1</v>
      </c>
    </row>
    <row r="140" spans="1:2">
      <c r="A140" t="s">
        <v>2227</v>
      </c>
      <c r="B140" s="477">
        <v>1</v>
      </c>
    </row>
    <row r="141" spans="1:2">
      <c r="A141" t="s">
        <v>2228</v>
      </c>
      <c r="B141" s="477">
        <v>1</v>
      </c>
    </row>
    <row r="142" spans="1:2">
      <c r="A142" t="s">
        <v>721</v>
      </c>
      <c r="B142" s="477">
        <v>1</v>
      </c>
    </row>
    <row r="143" spans="1:2">
      <c r="A143" t="s">
        <v>722</v>
      </c>
      <c r="B143" s="477">
        <v>1</v>
      </c>
    </row>
    <row r="144" spans="1:2">
      <c r="A144" t="s">
        <v>2229</v>
      </c>
      <c r="B144" s="477">
        <v>1</v>
      </c>
    </row>
    <row r="145" spans="1:2">
      <c r="A145" t="s">
        <v>2230</v>
      </c>
      <c r="B145" s="477">
        <v>1</v>
      </c>
    </row>
    <row r="146" spans="1:2">
      <c r="A146" t="s">
        <v>2231</v>
      </c>
      <c r="B146" s="477">
        <v>1</v>
      </c>
    </row>
    <row r="147" spans="1:2">
      <c r="A147" t="s">
        <v>723</v>
      </c>
      <c r="B147" s="477">
        <v>1</v>
      </c>
    </row>
    <row r="148" spans="1:2">
      <c r="A148" t="s">
        <v>724</v>
      </c>
      <c r="B148" s="477">
        <v>1</v>
      </c>
    </row>
    <row r="149" spans="1:2">
      <c r="A149" t="s">
        <v>725</v>
      </c>
      <c r="B149" s="477">
        <v>1</v>
      </c>
    </row>
    <row r="150" spans="1:2">
      <c r="A150" t="s">
        <v>726</v>
      </c>
      <c r="B150" s="477">
        <v>1</v>
      </c>
    </row>
    <row r="151" spans="1:2">
      <c r="A151" t="s">
        <v>2232</v>
      </c>
      <c r="B151" s="477">
        <v>1</v>
      </c>
    </row>
    <row r="152" spans="1:2">
      <c r="A152" t="s">
        <v>727</v>
      </c>
      <c r="B152" s="477">
        <v>1</v>
      </c>
    </row>
    <row r="153" spans="1:2">
      <c r="A153" t="s">
        <v>728</v>
      </c>
      <c r="B153" s="477">
        <v>1</v>
      </c>
    </row>
    <row r="154" spans="1:2">
      <c r="A154" t="s">
        <v>2233</v>
      </c>
      <c r="B154" s="477">
        <v>1</v>
      </c>
    </row>
    <row r="155" spans="1:2">
      <c r="A155" t="s">
        <v>2234</v>
      </c>
      <c r="B155" s="477">
        <v>1</v>
      </c>
    </row>
    <row r="156" spans="1:2">
      <c r="A156" t="s">
        <v>2235</v>
      </c>
      <c r="B156" s="477">
        <v>1</v>
      </c>
    </row>
    <row r="157" spans="1:2">
      <c r="A157" t="s">
        <v>2236</v>
      </c>
      <c r="B157" s="477">
        <v>1</v>
      </c>
    </row>
    <row r="158" spans="1:2">
      <c r="A158" t="s">
        <v>729</v>
      </c>
      <c r="B158" s="477">
        <v>1</v>
      </c>
    </row>
    <row r="159" spans="1:2">
      <c r="A159" t="s">
        <v>730</v>
      </c>
      <c r="B159" s="477">
        <v>1</v>
      </c>
    </row>
    <row r="160" spans="1:2">
      <c r="A160" t="s">
        <v>2237</v>
      </c>
      <c r="B160" s="477">
        <v>1</v>
      </c>
    </row>
    <row r="161" spans="1:2">
      <c r="A161" t="s">
        <v>2238</v>
      </c>
      <c r="B161" s="477">
        <v>1</v>
      </c>
    </row>
    <row r="162" spans="1:2">
      <c r="A162" t="s">
        <v>2239</v>
      </c>
      <c r="B162" s="477">
        <v>1</v>
      </c>
    </row>
    <row r="163" spans="1:2">
      <c r="A163" t="s">
        <v>2267</v>
      </c>
      <c r="B163" s="477">
        <v>1</v>
      </c>
    </row>
    <row r="164" spans="1:2">
      <c r="A164" t="s">
        <v>2268</v>
      </c>
      <c r="B164" s="477">
        <v>6</v>
      </c>
    </row>
    <row r="165" spans="1:2">
      <c r="A165" t="s">
        <v>731</v>
      </c>
      <c r="B165" s="477">
        <v>1</v>
      </c>
    </row>
    <row r="166" spans="1:2">
      <c r="A166" t="s">
        <v>2269</v>
      </c>
      <c r="B166" s="477">
        <v>1</v>
      </c>
    </row>
    <row r="167" spans="1:2">
      <c r="A167" t="s">
        <v>732</v>
      </c>
      <c r="B167" s="477">
        <v>1</v>
      </c>
    </row>
    <row r="168" spans="1:2">
      <c r="A168" t="s">
        <v>2270</v>
      </c>
      <c r="B168" s="477">
        <v>1</v>
      </c>
    </row>
    <row r="169" spans="1:2">
      <c r="A169" t="s">
        <v>733</v>
      </c>
      <c r="B169" s="477">
        <v>1</v>
      </c>
    </row>
    <row r="170" spans="1:2">
      <c r="A170" t="s">
        <v>734</v>
      </c>
      <c r="B170" s="477">
        <v>1</v>
      </c>
    </row>
    <row r="171" spans="1:2">
      <c r="A171" t="s">
        <v>735</v>
      </c>
      <c r="B171" s="477">
        <v>1</v>
      </c>
    </row>
    <row r="172" spans="1:2">
      <c r="A172" t="s">
        <v>736</v>
      </c>
      <c r="B172" s="477">
        <v>6</v>
      </c>
    </row>
    <row r="173" spans="1:2">
      <c r="A173" t="s">
        <v>2271</v>
      </c>
      <c r="B173" s="477">
        <v>7</v>
      </c>
    </row>
    <row r="174" spans="1:2">
      <c r="A174" t="s">
        <v>2272</v>
      </c>
      <c r="B174" s="477">
        <v>7</v>
      </c>
    </row>
    <row r="175" spans="1:2">
      <c r="A175" t="s">
        <v>737</v>
      </c>
      <c r="B175" s="477">
        <v>1</v>
      </c>
    </row>
    <row r="176" spans="1:2">
      <c r="A176" t="s">
        <v>738</v>
      </c>
      <c r="B176" s="477">
        <v>1</v>
      </c>
    </row>
    <row r="177" spans="1:2">
      <c r="A177" t="s">
        <v>739</v>
      </c>
      <c r="B177" s="477">
        <v>1</v>
      </c>
    </row>
    <row r="178" spans="1:2">
      <c r="A178" t="s">
        <v>740</v>
      </c>
      <c r="B178" s="477">
        <v>0</v>
      </c>
    </row>
    <row r="179" spans="1:2">
      <c r="A179" t="s">
        <v>741</v>
      </c>
      <c r="B179" s="477">
        <v>0</v>
      </c>
    </row>
    <row r="180" spans="1:2">
      <c r="A180" t="s">
        <v>742</v>
      </c>
      <c r="B180" s="477">
        <v>0</v>
      </c>
    </row>
    <row r="181" spans="1:2">
      <c r="A181" t="s">
        <v>2273</v>
      </c>
      <c r="B181" s="477">
        <v>1</v>
      </c>
    </row>
    <row r="182" spans="1:2">
      <c r="A182" t="s">
        <v>743</v>
      </c>
      <c r="B182" s="477">
        <v>0</v>
      </c>
    </row>
    <row r="183" spans="1:2">
      <c r="A183" t="s">
        <v>2274</v>
      </c>
      <c r="B183" s="477">
        <v>1</v>
      </c>
    </row>
    <row r="184" spans="1:2">
      <c r="A184" t="s">
        <v>744</v>
      </c>
      <c r="B184" s="477">
        <v>1</v>
      </c>
    </row>
    <row r="185" spans="1:2">
      <c r="A185" t="s">
        <v>745</v>
      </c>
      <c r="B185" s="477">
        <v>1</v>
      </c>
    </row>
    <row r="186" spans="1:2">
      <c r="A186" t="s">
        <v>746</v>
      </c>
      <c r="B186" s="477">
        <v>1</v>
      </c>
    </row>
    <row r="187" spans="1:2">
      <c r="A187" t="s">
        <v>747</v>
      </c>
      <c r="B187" s="477">
        <v>1</v>
      </c>
    </row>
    <row r="188" spans="1:2">
      <c r="A188" t="s">
        <v>2275</v>
      </c>
      <c r="B188" s="477">
        <v>1</v>
      </c>
    </row>
    <row r="189" spans="1:2">
      <c r="A189" t="s">
        <v>2276</v>
      </c>
      <c r="B189" s="477">
        <v>7</v>
      </c>
    </row>
    <row r="190" spans="1:2">
      <c r="A190" t="s">
        <v>2277</v>
      </c>
      <c r="B190" s="477">
        <v>7</v>
      </c>
    </row>
    <row r="191" spans="1:2">
      <c r="A191" t="s">
        <v>748</v>
      </c>
      <c r="B191" s="477">
        <v>1</v>
      </c>
    </row>
    <row r="192" spans="1:2">
      <c r="A192" t="s">
        <v>749</v>
      </c>
      <c r="B192" s="477">
        <v>1</v>
      </c>
    </row>
    <row r="193" spans="1:2">
      <c r="A193" t="s">
        <v>2278</v>
      </c>
      <c r="B193" s="477">
        <v>6</v>
      </c>
    </row>
    <row r="194" spans="1:2">
      <c r="A194" t="s">
        <v>750</v>
      </c>
      <c r="B194" s="477">
        <v>1</v>
      </c>
    </row>
    <row r="195" spans="1:2">
      <c r="A195" t="s">
        <v>2279</v>
      </c>
      <c r="B195" s="477">
        <v>1</v>
      </c>
    </row>
    <row r="196" spans="1:2">
      <c r="A196" t="s">
        <v>2280</v>
      </c>
      <c r="B196" s="477">
        <v>7</v>
      </c>
    </row>
    <row r="197" spans="1:2">
      <c r="A197" t="s">
        <v>2281</v>
      </c>
      <c r="B197" s="477">
        <v>1</v>
      </c>
    </row>
    <row r="198" spans="1:2">
      <c r="A198" t="s">
        <v>2282</v>
      </c>
      <c r="B198" s="477">
        <v>1</v>
      </c>
    </row>
    <row r="199" spans="1:2">
      <c r="A199" t="s">
        <v>751</v>
      </c>
      <c r="B199" s="477">
        <v>1</v>
      </c>
    </row>
    <row r="200" spans="1:2">
      <c r="A200" t="s">
        <v>2283</v>
      </c>
      <c r="B200" s="477">
        <v>1</v>
      </c>
    </row>
    <row r="201" spans="1:2">
      <c r="A201" t="s">
        <v>2284</v>
      </c>
      <c r="B201" s="477">
        <v>7</v>
      </c>
    </row>
    <row r="202" spans="1:2">
      <c r="A202" t="s">
        <v>752</v>
      </c>
      <c r="B202" s="477">
        <v>6</v>
      </c>
    </row>
    <row r="203" spans="1:2">
      <c r="A203" t="s">
        <v>753</v>
      </c>
      <c r="B203" s="477">
        <v>1</v>
      </c>
    </row>
    <row r="204" spans="1:2">
      <c r="A204" t="s">
        <v>2285</v>
      </c>
      <c r="B204" s="477">
        <v>1</v>
      </c>
    </row>
    <row r="205" spans="1:2">
      <c r="A205" t="s">
        <v>754</v>
      </c>
      <c r="B205" s="477">
        <v>1</v>
      </c>
    </row>
    <row r="206" spans="1:2">
      <c r="A206" t="s">
        <v>2286</v>
      </c>
      <c r="B206" s="477">
        <v>7</v>
      </c>
    </row>
    <row r="207" spans="1:2">
      <c r="A207" t="s">
        <v>2287</v>
      </c>
      <c r="B207" s="477">
        <v>1</v>
      </c>
    </row>
    <row r="208" spans="1:2">
      <c r="A208" t="s">
        <v>2288</v>
      </c>
      <c r="B208" s="477">
        <v>1</v>
      </c>
    </row>
    <row r="209" spans="1:2">
      <c r="A209" t="s">
        <v>2289</v>
      </c>
      <c r="B209" s="477">
        <v>6</v>
      </c>
    </row>
    <row r="210" spans="1:2">
      <c r="A210" t="s">
        <v>755</v>
      </c>
      <c r="B210" s="477">
        <v>1</v>
      </c>
    </row>
    <row r="211" spans="1:2">
      <c r="A211" t="s">
        <v>756</v>
      </c>
      <c r="B211" s="477">
        <v>1</v>
      </c>
    </row>
    <row r="212" spans="1:2">
      <c r="A212" t="s">
        <v>757</v>
      </c>
      <c r="B212" s="477">
        <v>1</v>
      </c>
    </row>
    <row r="213" spans="1:2">
      <c r="A213" t="s">
        <v>758</v>
      </c>
      <c r="B213" s="477">
        <v>1</v>
      </c>
    </row>
    <row r="214" spans="1:2">
      <c r="A214" t="s">
        <v>759</v>
      </c>
      <c r="B214" s="477">
        <v>1</v>
      </c>
    </row>
    <row r="215" spans="1:2">
      <c r="A215" t="s">
        <v>760</v>
      </c>
      <c r="B215" s="477">
        <v>1</v>
      </c>
    </row>
    <row r="216" spans="1:2">
      <c r="A216" t="s">
        <v>761</v>
      </c>
      <c r="B216" s="477">
        <v>1</v>
      </c>
    </row>
    <row r="217" spans="1:2">
      <c r="A217" t="s">
        <v>762</v>
      </c>
      <c r="B217" s="477">
        <v>1</v>
      </c>
    </row>
    <row r="218" spans="1:2">
      <c r="A218" t="s">
        <v>763</v>
      </c>
      <c r="B218" s="477">
        <v>6</v>
      </c>
    </row>
    <row r="219" spans="1:2">
      <c r="A219" t="s">
        <v>764</v>
      </c>
      <c r="B219" s="477">
        <v>1</v>
      </c>
    </row>
    <row r="220" spans="1:2">
      <c r="A220" t="s">
        <v>2291</v>
      </c>
      <c r="B220" s="477">
        <v>7</v>
      </c>
    </row>
    <row r="221" spans="1:2">
      <c r="A221" t="s">
        <v>2296</v>
      </c>
      <c r="B221" s="477">
        <v>2</v>
      </c>
    </row>
    <row r="222" spans="1:2">
      <c r="A222" t="s">
        <v>2297</v>
      </c>
      <c r="B222" s="477">
        <v>2</v>
      </c>
    </row>
    <row r="223" spans="1:2">
      <c r="A223" t="s">
        <v>2298</v>
      </c>
      <c r="B223" s="477">
        <v>1</v>
      </c>
    </row>
    <row r="224" spans="1:2">
      <c r="A224" t="s">
        <v>1885</v>
      </c>
      <c r="B224" s="477">
        <v>1</v>
      </c>
    </row>
    <row r="225" spans="1:2">
      <c r="A225" t="s">
        <v>2299</v>
      </c>
      <c r="B225" s="477">
        <v>1</v>
      </c>
    </row>
    <row r="226" spans="1:2">
      <c r="A226" t="s">
        <v>2300</v>
      </c>
      <c r="B226" s="477">
        <v>7</v>
      </c>
    </row>
    <row r="227" spans="1:2">
      <c r="A227" t="s">
        <v>2301</v>
      </c>
      <c r="B227" s="477">
        <v>2</v>
      </c>
    </row>
    <row r="228" spans="1:2">
      <c r="A228" t="s">
        <v>2302</v>
      </c>
      <c r="B228" s="477">
        <v>7</v>
      </c>
    </row>
    <row r="229" spans="1:2">
      <c r="A229" t="s">
        <v>1886</v>
      </c>
      <c r="B229" s="477">
        <v>2</v>
      </c>
    </row>
    <row r="230" spans="1:2">
      <c r="A230" t="s">
        <v>1887</v>
      </c>
      <c r="B230" s="477">
        <v>2</v>
      </c>
    </row>
    <row r="231" spans="1:2">
      <c r="A231" t="s">
        <v>1888</v>
      </c>
      <c r="B231" s="477">
        <v>1</v>
      </c>
    </row>
    <row r="232" spans="1:2">
      <c r="A232" t="s">
        <v>765</v>
      </c>
      <c r="B232" s="477">
        <v>1</v>
      </c>
    </row>
    <row r="233" spans="1:2">
      <c r="A233" t="s">
        <v>766</v>
      </c>
      <c r="B233" s="477">
        <v>1</v>
      </c>
    </row>
    <row r="234" spans="1:2">
      <c r="A234" t="s">
        <v>767</v>
      </c>
      <c r="B234" s="477">
        <v>1</v>
      </c>
    </row>
    <row r="235" spans="1:2">
      <c r="A235" t="s">
        <v>768</v>
      </c>
      <c r="B235" s="477">
        <v>1</v>
      </c>
    </row>
    <row r="236" spans="1:2">
      <c r="A236" t="s">
        <v>769</v>
      </c>
      <c r="B236" s="477">
        <v>1</v>
      </c>
    </row>
    <row r="237" spans="1:2">
      <c r="A237" t="s">
        <v>770</v>
      </c>
      <c r="B237" s="477">
        <v>1</v>
      </c>
    </row>
    <row r="238" spans="1:2">
      <c r="A238" t="s">
        <v>771</v>
      </c>
      <c r="B238" s="477">
        <v>1</v>
      </c>
    </row>
    <row r="239" spans="1:2">
      <c r="A239" t="s">
        <v>772</v>
      </c>
      <c r="B239" s="477">
        <v>1</v>
      </c>
    </row>
    <row r="240" spans="1:2">
      <c r="A240" t="s">
        <v>773</v>
      </c>
      <c r="B240" s="477">
        <v>1</v>
      </c>
    </row>
    <row r="241" spans="1:2">
      <c r="A241" t="s">
        <v>1889</v>
      </c>
      <c r="B241" s="477">
        <v>1</v>
      </c>
    </row>
    <row r="242" spans="1:2">
      <c r="A242" t="s">
        <v>1890</v>
      </c>
      <c r="B242" s="477">
        <v>1</v>
      </c>
    </row>
    <row r="243" spans="1:2">
      <c r="A243" t="s">
        <v>1891</v>
      </c>
      <c r="B243" s="477">
        <v>1</v>
      </c>
    </row>
    <row r="244" spans="1:2">
      <c r="A244" t="s">
        <v>1892</v>
      </c>
      <c r="B244" s="477">
        <v>1</v>
      </c>
    </row>
    <row r="245" spans="1:2">
      <c r="A245" t="s">
        <v>1893</v>
      </c>
      <c r="B245" s="477">
        <v>1</v>
      </c>
    </row>
    <row r="246" spans="1:2">
      <c r="A246" t="s">
        <v>1894</v>
      </c>
      <c r="B246" s="477">
        <v>1</v>
      </c>
    </row>
    <row r="247" spans="1:2">
      <c r="A247" t="s">
        <v>1895</v>
      </c>
      <c r="B247" s="477">
        <v>1</v>
      </c>
    </row>
    <row r="248" spans="1:2">
      <c r="A248" t="s">
        <v>1896</v>
      </c>
      <c r="B248" s="477">
        <v>1</v>
      </c>
    </row>
    <row r="249" spans="1:2">
      <c r="A249" t="s">
        <v>1897</v>
      </c>
      <c r="B249" s="477">
        <v>1</v>
      </c>
    </row>
    <row r="250" spans="1:2">
      <c r="A250" t="s">
        <v>1898</v>
      </c>
      <c r="B250" s="477">
        <v>1</v>
      </c>
    </row>
    <row r="251" spans="1:2">
      <c r="A251" t="s">
        <v>1899</v>
      </c>
      <c r="B251" s="477">
        <v>1</v>
      </c>
    </row>
    <row r="252" spans="1:2">
      <c r="A252" t="s">
        <v>1900</v>
      </c>
      <c r="B252" s="477">
        <v>1</v>
      </c>
    </row>
    <row r="253" spans="1:2">
      <c r="A253" t="s">
        <v>1901</v>
      </c>
      <c r="B253" s="477">
        <v>1</v>
      </c>
    </row>
    <row r="254" spans="1:2">
      <c r="A254" t="s">
        <v>1902</v>
      </c>
      <c r="B254" s="477">
        <v>1</v>
      </c>
    </row>
    <row r="255" spans="1:2">
      <c r="A255" t="s">
        <v>1903</v>
      </c>
      <c r="B255" s="477">
        <v>1</v>
      </c>
    </row>
    <row r="256" spans="1:2">
      <c r="A256" t="s">
        <v>774</v>
      </c>
      <c r="B256" s="477">
        <v>1</v>
      </c>
    </row>
    <row r="257" spans="1:2">
      <c r="A257" t="s">
        <v>775</v>
      </c>
      <c r="B257" s="477">
        <v>1</v>
      </c>
    </row>
    <row r="258" spans="1:2">
      <c r="A258" t="s">
        <v>776</v>
      </c>
      <c r="B258" s="477">
        <v>1</v>
      </c>
    </row>
    <row r="259" spans="1:2">
      <c r="A259" t="s">
        <v>777</v>
      </c>
      <c r="B259" s="477">
        <v>1</v>
      </c>
    </row>
    <row r="260" spans="1:2">
      <c r="A260" t="s">
        <v>778</v>
      </c>
      <c r="B260" s="477">
        <v>1</v>
      </c>
    </row>
    <row r="261" spans="1:2">
      <c r="A261" t="s">
        <v>779</v>
      </c>
      <c r="B261" s="477">
        <v>1</v>
      </c>
    </row>
    <row r="262" spans="1:2">
      <c r="A262" t="s">
        <v>780</v>
      </c>
      <c r="B262" s="477">
        <v>1</v>
      </c>
    </row>
    <row r="263" spans="1:2">
      <c r="A263" t="s">
        <v>781</v>
      </c>
      <c r="B263" s="477">
        <v>1</v>
      </c>
    </row>
    <row r="264" spans="1:2">
      <c r="A264" t="s">
        <v>782</v>
      </c>
      <c r="B264" s="477">
        <v>1</v>
      </c>
    </row>
    <row r="265" spans="1:2">
      <c r="A265" t="s">
        <v>783</v>
      </c>
      <c r="B265" s="477">
        <v>1</v>
      </c>
    </row>
    <row r="266" spans="1:2">
      <c r="A266" t="s">
        <v>784</v>
      </c>
      <c r="B266" s="477">
        <v>1</v>
      </c>
    </row>
    <row r="267" spans="1:2">
      <c r="A267" t="s">
        <v>785</v>
      </c>
      <c r="B267" s="477">
        <v>0</v>
      </c>
    </row>
    <row r="268" spans="1:2">
      <c r="A268" t="s">
        <v>786</v>
      </c>
      <c r="B268" s="477">
        <v>1</v>
      </c>
    </row>
    <row r="269" spans="1:2">
      <c r="A269" t="s">
        <v>787</v>
      </c>
      <c r="B269" s="477">
        <v>1</v>
      </c>
    </row>
    <row r="270" spans="1:2">
      <c r="A270" t="s">
        <v>788</v>
      </c>
      <c r="B270" s="477">
        <v>1</v>
      </c>
    </row>
    <row r="271" spans="1:2">
      <c r="A271" t="s">
        <v>789</v>
      </c>
      <c r="B271" s="477">
        <v>1</v>
      </c>
    </row>
    <row r="272" spans="1:2">
      <c r="A272" t="s">
        <v>790</v>
      </c>
      <c r="B272" s="477">
        <v>1</v>
      </c>
    </row>
    <row r="273" spans="1:2">
      <c r="A273" t="s">
        <v>791</v>
      </c>
      <c r="B273" s="477">
        <v>1</v>
      </c>
    </row>
    <row r="274" spans="1:2">
      <c r="A274" t="s">
        <v>792</v>
      </c>
      <c r="B274" s="477">
        <v>1</v>
      </c>
    </row>
    <row r="275" spans="1:2">
      <c r="A275" t="s">
        <v>793</v>
      </c>
      <c r="B275" s="477">
        <v>1</v>
      </c>
    </row>
    <row r="276" spans="1:2">
      <c r="A276" t="s">
        <v>794</v>
      </c>
      <c r="B276" s="477">
        <v>1</v>
      </c>
    </row>
    <row r="277" spans="1:2">
      <c r="A277" t="s">
        <v>795</v>
      </c>
      <c r="B277" s="477">
        <v>1</v>
      </c>
    </row>
    <row r="278" spans="1:2">
      <c r="A278" t="s">
        <v>796</v>
      </c>
      <c r="B278" s="477">
        <v>1</v>
      </c>
    </row>
    <row r="279" spans="1:2">
      <c r="A279" t="s">
        <v>797</v>
      </c>
      <c r="B279" s="477">
        <v>1</v>
      </c>
    </row>
    <row r="280" spans="1:2">
      <c r="A280" t="s">
        <v>798</v>
      </c>
      <c r="B280" s="477">
        <v>1</v>
      </c>
    </row>
    <row r="281" spans="1:2">
      <c r="A281" t="s">
        <v>799</v>
      </c>
      <c r="B281" s="477">
        <v>1</v>
      </c>
    </row>
    <row r="282" spans="1:2">
      <c r="A282" t="s">
        <v>800</v>
      </c>
      <c r="B282" s="477">
        <v>1</v>
      </c>
    </row>
    <row r="283" spans="1:2">
      <c r="A283" t="s">
        <v>801</v>
      </c>
      <c r="B283" s="477">
        <v>1</v>
      </c>
    </row>
    <row r="284" spans="1:2">
      <c r="A284" t="s">
        <v>802</v>
      </c>
      <c r="B284" s="477">
        <v>0</v>
      </c>
    </row>
    <row r="285" spans="1:2">
      <c r="A285" t="s">
        <v>803</v>
      </c>
      <c r="B285" s="477">
        <v>1</v>
      </c>
    </row>
    <row r="286" spans="1:2">
      <c r="A286" t="s">
        <v>804</v>
      </c>
      <c r="B286" s="477">
        <v>1</v>
      </c>
    </row>
    <row r="287" spans="1:2">
      <c r="A287" t="s">
        <v>805</v>
      </c>
      <c r="B287" s="477">
        <v>1</v>
      </c>
    </row>
    <row r="288" spans="1:2">
      <c r="A288" t="s">
        <v>806</v>
      </c>
      <c r="B288" s="477">
        <v>0</v>
      </c>
    </row>
    <row r="289" spans="1:2">
      <c r="A289" t="s">
        <v>807</v>
      </c>
      <c r="B289" s="477">
        <v>1</v>
      </c>
    </row>
    <row r="290" spans="1:2">
      <c r="A290" t="s">
        <v>808</v>
      </c>
      <c r="B290" s="477">
        <v>1</v>
      </c>
    </row>
    <row r="291" spans="1:2">
      <c r="A291" t="s">
        <v>809</v>
      </c>
      <c r="B291" s="477">
        <v>1</v>
      </c>
    </row>
    <row r="292" spans="1:2">
      <c r="A292" t="s">
        <v>810</v>
      </c>
      <c r="B292" s="477">
        <v>0</v>
      </c>
    </row>
    <row r="293" spans="1:2">
      <c r="A293" t="s">
        <v>811</v>
      </c>
      <c r="B293" s="477">
        <v>1</v>
      </c>
    </row>
    <row r="294" spans="1:2">
      <c r="A294" t="s">
        <v>812</v>
      </c>
      <c r="B294" s="477">
        <v>1</v>
      </c>
    </row>
    <row r="295" spans="1:2">
      <c r="A295" t="s">
        <v>813</v>
      </c>
      <c r="B295" s="477">
        <v>1</v>
      </c>
    </row>
    <row r="296" spans="1:2">
      <c r="A296" t="s">
        <v>814</v>
      </c>
      <c r="B296" s="477">
        <v>1</v>
      </c>
    </row>
    <row r="297" spans="1:2">
      <c r="A297" t="s">
        <v>815</v>
      </c>
      <c r="B297" s="477">
        <v>1</v>
      </c>
    </row>
    <row r="298" spans="1:2">
      <c r="A298" t="s">
        <v>816</v>
      </c>
      <c r="B298" s="477">
        <v>1</v>
      </c>
    </row>
    <row r="299" spans="1:2">
      <c r="A299" t="s">
        <v>817</v>
      </c>
      <c r="B299" s="477">
        <v>0</v>
      </c>
    </row>
    <row r="300" spans="1:2">
      <c r="A300" t="s">
        <v>818</v>
      </c>
      <c r="B300" s="477">
        <v>0</v>
      </c>
    </row>
    <row r="301" spans="1:2">
      <c r="A301" t="s">
        <v>819</v>
      </c>
      <c r="B301" s="477">
        <v>0</v>
      </c>
    </row>
    <row r="302" spans="1:2">
      <c r="A302" t="s">
        <v>820</v>
      </c>
      <c r="B302" s="477">
        <v>1</v>
      </c>
    </row>
    <row r="303" spans="1:2">
      <c r="A303" t="s">
        <v>821</v>
      </c>
      <c r="B303" s="477">
        <v>1</v>
      </c>
    </row>
    <row r="304" spans="1:2">
      <c r="A304" t="s">
        <v>822</v>
      </c>
      <c r="B304" s="477">
        <v>0</v>
      </c>
    </row>
    <row r="305" spans="1:2">
      <c r="A305" t="s">
        <v>823</v>
      </c>
      <c r="B305" s="477">
        <v>1</v>
      </c>
    </row>
    <row r="306" spans="1:2">
      <c r="A306" t="s">
        <v>824</v>
      </c>
      <c r="B306" s="477">
        <v>1</v>
      </c>
    </row>
    <row r="307" spans="1:2">
      <c r="A307" t="s">
        <v>825</v>
      </c>
      <c r="B307" s="477">
        <v>1</v>
      </c>
    </row>
    <row r="308" spans="1:2">
      <c r="A308" t="s">
        <v>826</v>
      </c>
      <c r="B308" s="477">
        <v>1</v>
      </c>
    </row>
    <row r="309" spans="1:2">
      <c r="A309" t="s">
        <v>827</v>
      </c>
      <c r="B309" s="477">
        <v>1</v>
      </c>
    </row>
    <row r="310" spans="1:2">
      <c r="A310" t="s">
        <v>828</v>
      </c>
      <c r="B310" s="477">
        <v>1</v>
      </c>
    </row>
    <row r="311" spans="1:2">
      <c r="A311" t="s">
        <v>829</v>
      </c>
      <c r="B311" s="477">
        <v>1</v>
      </c>
    </row>
    <row r="312" spans="1:2">
      <c r="A312" t="s">
        <v>830</v>
      </c>
      <c r="B312" s="477">
        <v>1</v>
      </c>
    </row>
    <row r="313" spans="1:2">
      <c r="A313" t="s">
        <v>831</v>
      </c>
      <c r="B313" s="477">
        <v>1</v>
      </c>
    </row>
    <row r="314" spans="1:2">
      <c r="A314" t="s">
        <v>832</v>
      </c>
      <c r="B314" s="477">
        <v>1</v>
      </c>
    </row>
    <row r="315" spans="1:2">
      <c r="A315" t="s">
        <v>833</v>
      </c>
      <c r="B315" s="477">
        <v>1</v>
      </c>
    </row>
    <row r="316" spans="1:2">
      <c r="A316" t="s">
        <v>834</v>
      </c>
      <c r="B316" s="477">
        <v>1</v>
      </c>
    </row>
    <row r="317" spans="1:2">
      <c r="A317" t="s">
        <v>835</v>
      </c>
      <c r="B317" s="477">
        <v>1</v>
      </c>
    </row>
    <row r="318" spans="1:2">
      <c r="A318" t="s">
        <v>836</v>
      </c>
      <c r="B318" s="477">
        <v>1</v>
      </c>
    </row>
    <row r="319" spans="1:2">
      <c r="A319" t="s">
        <v>837</v>
      </c>
      <c r="B319" s="477">
        <v>1</v>
      </c>
    </row>
    <row r="320" spans="1:2">
      <c r="A320" t="s">
        <v>838</v>
      </c>
      <c r="B320" s="477">
        <v>1</v>
      </c>
    </row>
    <row r="321" spans="1:2">
      <c r="A321" t="s">
        <v>839</v>
      </c>
      <c r="B321" s="477">
        <v>1</v>
      </c>
    </row>
    <row r="322" spans="1:2">
      <c r="A322" t="s">
        <v>840</v>
      </c>
      <c r="B322" s="477">
        <v>1</v>
      </c>
    </row>
    <row r="323" spans="1:2">
      <c r="A323" t="s">
        <v>841</v>
      </c>
      <c r="B323" s="477">
        <v>1</v>
      </c>
    </row>
    <row r="324" spans="1:2">
      <c r="A324" t="s">
        <v>842</v>
      </c>
      <c r="B324" s="477">
        <v>1</v>
      </c>
    </row>
    <row r="325" spans="1:2">
      <c r="A325" t="s">
        <v>843</v>
      </c>
      <c r="B325" s="477">
        <v>1</v>
      </c>
    </row>
    <row r="326" spans="1:2">
      <c r="A326" t="s">
        <v>844</v>
      </c>
      <c r="B326" s="477">
        <v>1</v>
      </c>
    </row>
    <row r="327" spans="1:2">
      <c r="A327" t="s">
        <v>845</v>
      </c>
      <c r="B327" s="477">
        <v>1</v>
      </c>
    </row>
    <row r="328" spans="1:2">
      <c r="A328" t="s">
        <v>846</v>
      </c>
      <c r="B328" s="477">
        <v>1</v>
      </c>
    </row>
    <row r="329" spans="1:2">
      <c r="A329" t="s">
        <v>847</v>
      </c>
      <c r="B329" s="477">
        <v>1</v>
      </c>
    </row>
    <row r="330" spans="1:2">
      <c r="A330" t="s">
        <v>848</v>
      </c>
      <c r="B330" s="477">
        <v>1</v>
      </c>
    </row>
    <row r="331" spans="1:2">
      <c r="A331" t="s">
        <v>849</v>
      </c>
      <c r="B331" s="477">
        <v>1</v>
      </c>
    </row>
    <row r="332" spans="1:2">
      <c r="A332" t="s">
        <v>850</v>
      </c>
      <c r="B332" s="477">
        <v>1</v>
      </c>
    </row>
    <row r="333" spans="1:2">
      <c r="A333" t="s">
        <v>851</v>
      </c>
      <c r="B333" s="477">
        <v>1</v>
      </c>
    </row>
    <row r="334" spans="1:2">
      <c r="A334" t="s">
        <v>852</v>
      </c>
      <c r="B334" s="477">
        <v>1</v>
      </c>
    </row>
    <row r="335" spans="1:2">
      <c r="A335" t="s">
        <v>853</v>
      </c>
      <c r="B335" s="477">
        <v>1</v>
      </c>
    </row>
    <row r="336" spans="1:2">
      <c r="A336" t="s">
        <v>854</v>
      </c>
      <c r="B336" s="477">
        <v>1</v>
      </c>
    </row>
    <row r="337" spans="1:2">
      <c r="A337" t="s">
        <v>855</v>
      </c>
      <c r="B337" s="477">
        <v>1</v>
      </c>
    </row>
    <row r="338" spans="1:2">
      <c r="A338" t="s">
        <v>856</v>
      </c>
      <c r="B338" s="477">
        <v>1</v>
      </c>
    </row>
    <row r="339" spans="1:2">
      <c r="A339" t="s">
        <v>857</v>
      </c>
      <c r="B339" s="477">
        <v>1</v>
      </c>
    </row>
    <row r="340" spans="1:2">
      <c r="A340" t="s">
        <v>858</v>
      </c>
      <c r="B340" s="477">
        <v>1</v>
      </c>
    </row>
    <row r="341" spans="1:2">
      <c r="A341" t="s">
        <v>859</v>
      </c>
      <c r="B341" s="477">
        <v>1</v>
      </c>
    </row>
    <row r="342" spans="1:2">
      <c r="A342" t="s">
        <v>860</v>
      </c>
      <c r="B342" s="477">
        <v>0</v>
      </c>
    </row>
    <row r="343" spans="1:2">
      <c r="A343" t="s">
        <v>861</v>
      </c>
      <c r="B343" s="477">
        <v>0</v>
      </c>
    </row>
    <row r="344" spans="1:2">
      <c r="A344" t="s">
        <v>862</v>
      </c>
      <c r="B344" s="477">
        <v>0</v>
      </c>
    </row>
    <row r="345" spans="1:2">
      <c r="A345" t="s">
        <v>863</v>
      </c>
      <c r="B345" s="477">
        <v>1</v>
      </c>
    </row>
    <row r="346" spans="1:2">
      <c r="A346" t="s">
        <v>864</v>
      </c>
      <c r="B346" s="477">
        <v>1</v>
      </c>
    </row>
    <row r="347" spans="1:2">
      <c r="A347" t="s">
        <v>865</v>
      </c>
      <c r="B347" s="477">
        <v>1</v>
      </c>
    </row>
    <row r="348" spans="1:2">
      <c r="A348" t="s">
        <v>866</v>
      </c>
      <c r="B348" s="477">
        <v>1</v>
      </c>
    </row>
    <row r="349" spans="1:2">
      <c r="A349" t="s">
        <v>867</v>
      </c>
      <c r="B349" s="477">
        <v>1</v>
      </c>
    </row>
    <row r="350" spans="1:2">
      <c r="A350" t="s">
        <v>868</v>
      </c>
      <c r="B350" s="477">
        <v>1</v>
      </c>
    </row>
    <row r="351" spans="1:2">
      <c r="A351" t="s">
        <v>869</v>
      </c>
      <c r="B351" s="477">
        <v>1</v>
      </c>
    </row>
    <row r="352" spans="1:2">
      <c r="A352" t="s">
        <v>870</v>
      </c>
      <c r="B352" s="477">
        <v>1</v>
      </c>
    </row>
    <row r="353" spans="1:2">
      <c r="A353" t="s">
        <v>871</v>
      </c>
      <c r="B353" s="477">
        <v>1</v>
      </c>
    </row>
    <row r="354" spans="1:2">
      <c r="A354" t="s">
        <v>872</v>
      </c>
      <c r="B354" s="477">
        <v>1</v>
      </c>
    </row>
    <row r="355" spans="1:2">
      <c r="A355" t="s">
        <v>873</v>
      </c>
      <c r="B355" s="477">
        <v>1</v>
      </c>
    </row>
    <row r="356" spans="1:2">
      <c r="A356" t="s">
        <v>874</v>
      </c>
      <c r="B356" s="477">
        <v>1</v>
      </c>
    </row>
    <row r="357" spans="1:2">
      <c r="A357" t="s">
        <v>875</v>
      </c>
      <c r="B357" s="477">
        <v>1</v>
      </c>
    </row>
    <row r="358" spans="1:2">
      <c r="A358" t="s">
        <v>876</v>
      </c>
      <c r="B358" s="477">
        <v>1</v>
      </c>
    </row>
    <row r="359" spans="1:2">
      <c r="A359" t="s">
        <v>877</v>
      </c>
      <c r="B359" s="477">
        <v>1</v>
      </c>
    </row>
    <row r="360" spans="1:2">
      <c r="A360" t="s">
        <v>878</v>
      </c>
      <c r="B360" s="477">
        <v>1</v>
      </c>
    </row>
    <row r="361" spans="1:2">
      <c r="A361" t="s">
        <v>879</v>
      </c>
      <c r="B361" s="477">
        <v>1</v>
      </c>
    </row>
    <row r="362" spans="1:2">
      <c r="A362" t="s">
        <v>880</v>
      </c>
      <c r="B362" s="477">
        <v>1</v>
      </c>
    </row>
    <row r="363" spans="1:2">
      <c r="A363" t="s">
        <v>881</v>
      </c>
      <c r="B363" s="477">
        <v>1</v>
      </c>
    </row>
    <row r="364" spans="1:2">
      <c r="A364" t="s">
        <v>882</v>
      </c>
      <c r="B364" s="477">
        <v>1</v>
      </c>
    </row>
    <row r="365" spans="1:2">
      <c r="A365" t="s">
        <v>883</v>
      </c>
      <c r="B365" s="477">
        <v>1</v>
      </c>
    </row>
    <row r="366" spans="1:2">
      <c r="A366" t="s">
        <v>884</v>
      </c>
      <c r="B366" s="477">
        <v>1</v>
      </c>
    </row>
    <row r="367" spans="1:2">
      <c r="A367" t="s">
        <v>885</v>
      </c>
      <c r="B367" s="477">
        <v>1</v>
      </c>
    </row>
    <row r="368" spans="1:2">
      <c r="A368" t="s">
        <v>886</v>
      </c>
      <c r="B368" s="477">
        <v>1</v>
      </c>
    </row>
    <row r="369" spans="1:2">
      <c r="A369" t="s">
        <v>887</v>
      </c>
      <c r="B369" s="477">
        <v>1</v>
      </c>
    </row>
    <row r="370" spans="1:2">
      <c r="A370" t="s">
        <v>888</v>
      </c>
      <c r="B370" s="477">
        <v>1</v>
      </c>
    </row>
    <row r="371" spans="1:2">
      <c r="A371" t="s">
        <v>889</v>
      </c>
      <c r="B371" s="477">
        <v>1</v>
      </c>
    </row>
    <row r="372" spans="1:2">
      <c r="A372" t="s">
        <v>890</v>
      </c>
      <c r="B372" s="477">
        <v>1</v>
      </c>
    </row>
    <row r="373" spans="1:2">
      <c r="A373" t="s">
        <v>891</v>
      </c>
      <c r="B373" s="477">
        <v>1</v>
      </c>
    </row>
    <row r="374" spans="1:2">
      <c r="A374" t="s">
        <v>892</v>
      </c>
      <c r="B374" s="477">
        <v>1</v>
      </c>
    </row>
    <row r="375" spans="1:2">
      <c r="A375" t="s">
        <v>893</v>
      </c>
      <c r="B375" s="477">
        <v>1</v>
      </c>
    </row>
    <row r="376" spans="1:2">
      <c r="A376" t="s">
        <v>894</v>
      </c>
      <c r="B376" s="477">
        <v>1</v>
      </c>
    </row>
    <row r="377" spans="1:2">
      <c r="A377" t="s">
        <v>895</v>
      </c>
      <c r="B377" s="477">
        <v>1</v>
      </c>
    </row>
    <row r="378" spans="1:2">
      <c r="A378" t="s">
        <v>896</v>
      </c>
      <c r="B378" s="477">
        <v>1</v>
      </c>
    </row>
    <row r="379" spans="1:2">
      <c r="A379" t="s">
        <v>897</v>
      </c>
      <c r="B379" s="477">
        <v>1</v>
      </c>
    </row>
    <row r="380" spans="1:2">
      <c r="A380" t="s">
        <v>898</v>
      </c>
      <c r="B380" s="477">
        <v>1</v>
      </c>
    </row>
    <row r="381" spans="1:2">
      <c r="A381" t="s">
        <v>899</v>
      </c>
      <c r="B381" s="477">
        <v>1</v>
      </c>
    </row>
    <row r="382" spans="1:2">
      <c r="A382" t="s">
        <v>900</v>
      </c>
      <c r="B382" s="477">
        <v>1</v>
      </c>
    </row>
    <row r="383" spans="1:2">
      <c r="A383" t="s">
        <v>901</v>
      </c>
      <c r="B383" s="477">
        <v>1</v>
      </c>
    </row>
    <row r="384" spans="1:2">
      <c r="A384" t="s">
        <v>902</v>
      </c>
      <c r="B384" s="477">
        <v>1</v>
      </c>
    </row>
    <row r="385" spans="1:2">
      <c r="A385" t="s">
        <v>903</v>
      </c>
      <c r="B385" s="477">
        <v>1</v>
      </c>
    </row>
    <row r="386" spans="1:2">
      <c r="A386" t="s">
        <v>904</v>
      </c>
      <c r="B386" s="477">
        <v>1</v>
      </c>
    </row>
    <row r="387" spans="1:2">
      <c r="A387" t="s">
        <v>905</v>
      </c>
      <c r="B387" s="477">
        <v>1</v>
      </c>
    </row>
    <row r="388" spans="1:2">
      <c r="A388" t="s">
        <v>906</v>
      </c>
      <c r="B388" s="477">
        <v>1</v>
      </c>
    </row>
    <row r="389" spans="1:2">
      <c r="A389" t="s">
        <v>907</v>
      </c>
      <c r="B389" s="477">
        <v>1</v>
      </c>
    </row>
    <row r="390" spans="1:2">
      <c r="A390" t="s">
        <v>908</v>
      </c>
      <c r="B390" s="477">
        <v>1</v>
      </c>
    </row>
    <row r="391" spans="1:2">
      <c r="A391" t="s">
        <v>909</v>
      </c>
      <c r="B391" s="477">
        <v>1</v>
      </c>
    </row>
    <row r="392" spans="1:2">
      <c r="A392" t="s">
        <v>910</v>
      </c>
      <c r="B392" s="477">
        <v>1</v>
      </c>
    </row>
    <row r="393" spans="1:2">
      <c r="A393" t="s">
        <v>2071</v>
      </c>
      <c r="B393" s="477">
        <v>1</v>
      </c>
    </row>
    <row r="394" spans="1:2">
      <c r="A394" t="s">
        <v>2072</v>
      </c>
      <c r="B394" s="477">
        <v>1</v>
      </c>
    </row>
    <row r="395" spans="1:2">
      <c r="A395" t="s">
        <v>2073</v>
      </c>
      <c r="B395" s="477">
        <v>1</v>
      </c>
    </row>
    <row r="396" spans="1:2">
      <c r="A396" t="s">
        <v>2074</v>
      </c>
      <c r="B396" s="477">
        <v>1</v>
      </c>
    </row>
    <row r="397" spans="1:2">
      <c r="A397" t="s">
        <v>2075</v>
      </c>
      <c r="B397" s="477">
        <v>1</v>
      </c>
    </row>
    <row r="398" spans="1:2">
      <c r="A398" t="s">
        <v>2079</v>
      </c>
      <c r="B398" s="477">
        <v>1</v>
      </c>
    </row>
    <row r="399" spans="1:2">
      <c r="A399" t="s">
        <v>2076</v>
      </c>
      <c r="B399" s="477">
        <v>1</v>
      </c>
    </row>
    <row r="400" spans="1:2">
      <c r="A400" t="s">
        <v>2077</v>
      </c>
      <c r="B400" s="477">
        <v>1</v>
      </c>
    </row>
    <row r="401" spans="1:2">
      <c r="A401" t="s">
        <v>2078</v>
      </c>
      <c r="B401" s="477">
        <v>1</v>
      </c>
    </row>
    <row r="402" spans="1:2">
      <c r="A402" t="s">
        <v>2157</v>
      </c>
      <c r="B402" s="477">
        <v>1</v>
      </c>
    </row>
    <row r="403" spans="1:2">
      <c r="A403" t="s">
        <v>2158</v>
      </c>
      <c r="B403" s="477">
        <v>1</v>
      </c>
    </row>
    <row r="404" spans="1:2">
      <c r="A404" t="s">
        <v>2159</v>
      </c>
      <c r="B404" s="477">
        <v>1</v>
      </c>
    </row>
    <row r="405" spans="1:2">
      <c r="A405" t="s">
        <v>2160</v>
      </c>
      <c r="B405" s="477">
        <v>1</v>
      </c>
    </row>
    <row r="406" spans="1:2">
      <c r="A406" t="s">
        <v>2161</v>
      </c>
      <c r="B406" s="477">
        <v>1</v>
      </c>
    </row>
    <row r="407" spans="1:2">
      <c r="A407" t="s">
        <v>911</v>
      </c>
      <c r="B407" s="477">
        <v>1</v>
      </c>
    </row>
    <row r="408" spans="1:2">
      <c r="A408" t="s">
        <v>912</v>
      </c>
      <c r="B408" s="477">
        <v>1</v>
      </c>
    </row>
    <row r="409" spans="1:2">
      <c r="A409" t="s">
        <v>913</v>
      </c>
      <c r="B409" s="477">
        <v>1</v>
      </c>
    </row>
    <row r="410" spans="1:2">
      <c r="A410" t="s">
        <v>914</v>
      </c>
      <c r="B410" s="477">
        <v>1</v>
      </c>
    </row>
    <row r="411" spans="1:2">
      <c r="A411" t="s">
        <v>915</v>
      </c>
      <c r="B411" s="477">
        <v>1</v>
      </c>
    </row>
    <row r="412" spans="1:2">
      <c r="A412" t="s">
        <v>916</v>
      </c>
      <c r="B412" s="477">
        <v>1</v>
      </c>
    </row>
    <row r="413" spans="1:2">
      <c r="A413" t="s">
        <v>917</v>
      </c>
      <c r="B413" s="477">
        <v>1</v>
      </c>
    </row>
    <row r="414" spans="1:2">
      <c r="A414" t="s">
        <v>918</v>
      </c>
      <c r="B414" s="477">
        <v>1</v>
      </c>
    </row>
    <row r="415" spans="1:2">
      <c r="A415" t="s">
        <v>919</v>
      </c>
      <c r="B415" s="477">
        <v>1</v>
      </c>
    </row>
    <row r="416" spans="1:2">
      <c r="A416" t="s">
        <v>920</v>
      </c>
      <c r="B416" s="477">
        <v>1</v>
      </c>
    </row>
    <row r="417" spans="1:2">
      <c r="A417" t="s">
        <v>921</v>
      </c>
      <c r="B417" s="477">
        <v>1</v>
      </c>
    </row>
    <row r="418" spans="1:2">
      <c r="A418" t="s">
        <v>922</v>
      </c>
      <c r="B418" s="477">
        <v>1</v>
      </c>
    </row>
    <row r="419" spans="1:2">
      <c r="A419" t="s">
        <v>923</v>
      </c>
      <c r="B419" s="477">
        <v>1</v>
      </c>
    </row>
    <row r="420" spans="1:2">
      <c r="A420" t="s">
        <v>924</v>
      </c>
      <c r="B420" s="477">
        <v>1</v>
      </c>
    </row>
    <row r="421" spans="1:2">
      <c r="A421" t="s">
        <v>925</v>
      </c>
      <c r="B421" s="477">
        <v>1</v>
      </c>
    </row>
    <row r="422" spans="1:2">
      <c r="A422" t="s">
        <v>926</v>
      </c>
      <c r="B422" s="477">
        <v>1</v>
      </c>
    </row>
    <row r="423" spans="1:2">
      <c r="A423" t="s">
        <v>927</v>
      </c>
      <c r="B423" s="477">
        <v>1</v>
      </c>
    </row>
    <row r="424" spans="1:2">
      <c r="A424" t="s">
        <v>928</v>
      </c>
      <c r="B424" s="477">
        <v>1</v>
      </c>
    </row>
    <row r="425" spans="1:2">
      <c r="A425" t="s">
        <v>929</v>
      </c>
      <c r="B425" s="477">
        <v>1</v>
      </c>
    </row>
    <row r="426" spans="1:2">
      <c r="A426" t="s">
        <v>930</v>
      </c>
      <c r="B426" s="477">
        <v>1</v>
      </c>
    </row>
    <row r="427" spans="1:2">
      <c r="A427" t="s">
        <v>931</v>
      </c>
      <c r="B427" s="477">
        <v>1</v>
      </c>
    </row>
    <row r="428" spans="1:2">
      <c r="A428" t="s">
        <v>932</v>
      </c>
      <c r="B428" s="477">
        <v>1</v>
      </c>
    </row>
    <row r="429" spans="1:2">
      <c r="A429" t="s">
        <v>933</v>
      </c>
      <c r="B429" s="477">
        <v>1</v>
      </c>
    </row>
    <row r="430" spans="1:2">
      <c r="A430" t="s">
        <v>934</v>
      </c>
      <c r="B430" s="477">
        <v>1</v>
      </c>
    </row>
    <row r="431" spans="1:2">
      <c r="A431" t="s">
        <v>935</v>
      </c>
      <c r="B431" s="477">
        <v>1</v>
      </c>
    </row>
    <row r="432" spans="1:2">
      <c r="A432" t="s">
        <v>936</v>
      </c>
      <c r="B432" s="477">
        <v>1</v>
      </c>
    </row>
    <row r="433" spans="1:2">
      <c r="A433" t="s">
        <v>2135</v>
      </c>
      <c r="B433" s="477">
        <v>1</v>
      </c>
    </row>
    <row r="434" spans="1:2">
      <c r="A434" t="s">
        <v>2136</v>
      </c>
      <c r="B434" s="477">
        <v>1</v>
      </c>
    </row>
    <row r="435" spans="1:2">
      <c r="A435" t="s">
        <v>2137</v>
      </c>
      <c r="B435" s="477">
        <v>1</v>
      </c>
    </row>
    <row r="436" spans="1:2">
      <c r="A436" t="s">
        <v>2138</v>
      </c>
      <c r="B436" s="477">
        <v>1</v>
      </c>
    </row>
    <row r="437" spans="1:2">
      <c r="A437" t="s">
        <v>2434</v>
      </c>
      <c r="B437" s="477">
        <v>1</v>
      </c>
    </row>
    <row r="438" spans="1:2">
      <c r="A438" t="s">
        <v>937</v>
      </c>
      <c r="B438" s="477">
        <v>1</v>
      </c>
    </row>
    <row r="439" spans="1:2">
      <c r="A439" t="s">
        <v>938</v>
      </c>
      <c r="B439" s="477">
        <v>1</v>
      </c>
    </row>
    <row r="440" spans="1:2">
      <c r="A440" t="s">
        <v>939</v>
      </c>
      <c r="B440" s="477">
        <v>1</v>
      </c>
    </row>
    <row r="441" spans="1:2">
      <c r="A441" t="s">
        <v>940</v>
      </c>
      <c r="B441" s="477">
        <v>1</v>
      </c>
    </row>
    <row r="442" spans="1:2">
      <c r="A442" t="s">
        <v>941</v>
      </c>
      <c r="B442" s="477">
        <v>1</v>
      </c>
    </row>
    <row r="443" spans="1:2">
      <c r="A443" t="s">
        <v>942</v>
      </c>
      <c r="B443" s="477">
        <v>1</v>
      </c>
    </row>
    <row r="444" spans="1:2">
      <c r="A444" t="s">
        <v>943</v>
      </c>
      <c r="B444" s="477">
        <v>1</v>
      </c>
    </row>
    <row r="445" spans="1:2">
      <c r="A445" t="s">
        <v>944</v>
      </c>
      <c r="B445" s="477">
        <v>1</v>
      </c>
    </row>
    <row r="446" spans="1:2">
      <c r="A446" t="s">
        <v>945</v>
      </c>
      <c r="B446" s="477">
        <v>1</v>
      </c>
    </row>
    <row r="447" spans="1:2">
      <c r="A447" t="s">
        <v>946</v>
      </c>
      <c r="B447" s="477">
        <v>1</v>
      </c>
    </row>
    <row r="448" spans="1:2">
      <c r="A448" t="s">
        <v>947</v>
      </c>
      <c r="B448" s="477">
        <v>1</v>
      </c>
    </row>
    <row r="449" spans="1:2">
      <c r="A449" t="s">
        <v>948</v>
      </c>
      <c r="B449" s="477">
        <v>1</v>
      </c>
    </row>
    <row r="450" spans="1:2">
      <c r="A450" t="s">
        <v>949</v>
      </c>
      <c r="B450" s="477">
        <v>1</v>
      </c>
    </row>
    <row r="451" spans="1:2">
      <c r="A451" t="s">
        <v>950</v>
      </c>
      <c r="B451" s="477">
        <v>1</v>
      </c>
    </row>
    <row r="452" spans="1:2">
      <c r="A452" t="s">
        <v>2139</v>
      </c>
      <c r="B452" s="477">
        <v>1</v>
      </c>
    </row>
    <row r="453" spans="1:2">
      <c r="A453" t="s">
        <v>2140</v>
      </c>
      <c r="B453" s="477">
        <v>1</v>
      </c>
    </row>
    <row r="454" spans="1:2">
      <c r="A454" t="s">
        <v>2141</v>
      </c>
      <c r="B454" s="477">
        <v>1</v>
      </c>
    </row>
    <row r="455" spans="1:2">
      <c r="A455" t="s">
        <v>2142</v>
      </c>
      <c r="B455" s="477">
        <v>1</v>
      </c>
    </row>
    <row r="456" spans="1:2">
      <c r="A456" t="s">
        <v>2143</v>
      </c>
      <c r="B456" s="477">
        <v>1</v>
      </c>
    </row>
    <row r="457" spans="1:2">
      <c r="A457" t="s">
        <v>2144</v>
      </c>
      <c r="B457" s="477">
        <v>1</v>
      </c>
    </row>
    <row r="458" spans="1:2">
      <c r="A458" t="s">
        <v>951</v>
      </c>
      <c r="B458" s="477">
        <v>1</v>
      </c>
    </row>
    <row r="459" spans="1:2">
      <c r="A459" t="s">
        <v>2435</v>
      </c>
      <c r="B459" s="477">
        <v>1</v>
      </c>
    </row>
    <row r="460" spans="1:2">
      <c r="A460" t="s">
        <v>952</v>
      </c>
      <c r="B460" s="477">
        <v>1</v>
      </c>
    </row>
    <row r="461" spans="1:2">
      <c r="A461" t="s">
        <v>953</v>
      </c>
      <c r="B461" s="477">
        <v>1</v>
      </c>
    </row>
    <row r="462" spans="1:2">
      <c r="A462" t="s">
        <v>954</v>
      </c>
      <c r="B462" s="477">
        <v>1</v>
      </c>
    </row>
    <row r="463" spans="1:2">
      <c r="A463" t="s">
        <v>955</v>
      </c>
      <c r="B463" s="477">
        <v>1</v>
      </c>
    </row>
    <row r="464" spans="1:2">
      <c r="A464" t="s">
        <v>956</v>
      </c>
      <c r="B464" s="477">
        <v>1</v>
      </c>
    </row>
    <row r="465" spans="1:2">
      <c r="A465" t="s">
        <v>957</v>
      </c>
      <c r="B465" s="477">
        <v>1</v>
      </c>
    </row>
    <row r="466" spans="1:2">
      <c r="A466" t="s">
        <v>958</v>
      </c>
      <c r="B466" s="477">
        <v>1</v>
      </c>
    </row>
    <row r="467" spans="1:2">
      <c r="A467" t="s">
        <v>959</v>
      </c>
      <c r="B467" s="477">
        <v>1</v>
      </c>
    </row>
    <row r="468" spans="1:2">
      <c r="A468" t="s">
        <v>960</v>
      </c>
      <c r="B468" s="477">
        <v>1</v>
      </c>
    </row>
    <row r="469" spans="1:2">
      <c r="A469" t="s">
        <v>961</v>
      </c>
      <c r="B469" s="477">
        <v>1</v>
      </c>
    </row>
    <row r="470" spans="1:2">
      <c r="A470" t="s">
        <v>962</v>
      </c>
      <c r="B470" s="477">
        <v>1</v>
      </c>
    </row>
    <row r="471" spans="1:2">
      <c r="A471" t="s">
        <v>963</v>
      </c>
      <c r="B471" s="477">
        <v>1</v>
      </c>
    </row>
    <row r="472" spans="1:2">
      <c r="A472" t="s">
        <v>964</v>
      </c>
      <c r="B472" s="477">
        <v>1</v>
      </c>
    </row>
    <row r="473" spans="1:2">
      <c r="A473" t="s">
        <v>2145</v>
      </c>
      <c r="B473" s="477">
        <v>1</v>
      </c>
    </row>
    <row r="474" spans="1:2">
      <c r="A474" t="s">
        <v>2146</v>
      </c>
      <c r="B474" s="477">
        <v>1</v>
      </c>
    </row>
    <row r="475" spans="1:2">
      <c r="A475" t="s">
        <v>2147</v>
      </c>
      <c r="B475" s="477">
        <v>1</v>
      </c>
    </row>
    <row r="476" spans="1:2">
      <c r="A476" t="s">
        <v>2148</v>
      </c>
      <c r="B476" s="477">
        <v>1</v>
      </c>
    </row>
    <row r="477" spans="1:2">
      <c r="A477" t="s">
        <v>965</v>
      </c>
      <c r="B477" s="477">
        <v>1</v>
      </c>
    </row>
    <row r="478" spans="1:2">
      <c r="A478" t="s">
        <v>966</v>
      </c>
      <c r="B478" s="477">
        <v>1</v>
      </c>
    </row>
    <row r="479" spans="1:2">
      <c r="A479" t="s">
        <v>967</v>
      </c>
      <c r="B479" s="477">
        <v>1</v>
      </c>
    </row>
    <row r="480" spans="1:2">
      <c r="A480" t="s">
        <v>968</v>
      </c>
      <c r="B480" s="477">
        <v>1</v>
      </c>
    </row>
    <row r="481" spans="1:2">
      <c r="A481" t="s">
        <v>2149</v>
      </c>
      <c r="B481" s="477">
        <v>1</v>
      </c>
    </row>
    <row r="482" spans="1:2">
      <c r="A482" t="s">
        <v>2150</v>
      </c>
      <c r="B482" s="477">
        <v>1</v>
      </c>
    </row>
    <row r="483" spans="1:2">
      <c r="A483" t="s">
        <v>2151</v>
      </c>
      <c r="B483" s="477">
        <v>1</v>
      </c>
    </row>
    <row r="484" spans="1:2">
      <c r="A484" t="s">
        <v>2152</v>
      </c>
      <c r="B484" s="477">
        <v>1</v>
      </c>
    </row>
    <row r="485" spans="1:2">
      <c r="A485" t="s">
        <v>2153</v>
      </c>
      <c r="B485" s="477">
        <v>1</v>
      </c>
    </row>
    <row r="486" spans="1:2">
      <c r="A486" t="s">
        <v>2154</v>
      </c>
      <c r="B486" s="477">
        <v>1</v>
      </c>
    </row>
    <row r="487" spans="1:2">
      <c r="A487" t="s">
        <v>969</v>
      </c>
      <c r="B487" s="477">
        <v>1</v>
      </c>
    </row>
    <row r="488" spans="1:2">
      <c r="A488" t="s">
        <v>970</v>
      </c>
      <c r="B488" s="477">
        <v>1</v>
      </c>
    </row>
    <row r="489" spans="1:2">
      <c r="A489" t="s">
        <v>971</v>
      </c>
      <c r="B489" s="477">
        <v>1</v>
      </c>
    </row>
    <row r="490" spans="1:2">
      <c r="A490" t="s">
        <v>972</v>
      </c>
      <c r="B490" s="477">
        <v>1</v>
      </c>
    </row>
    <row r="491" spans="1:2">
      <c r="A491" t="s">
        <v>973</v>
      </c>
      <c r="B491" s="477">
        <v>1</v>
      </c>
    </row>
    <row r="492" spans="1:2">
      <c r="A492" t="s">
        <v>974</v>
      </c>
      <c r="B492" s="477">
        <v>1</v>
      </c>
    </row>
    <row r="493" spans="1:2">
      <c r="A493" t="s">
        <v>975</v>
      </c>
      <c r="B493" s="477">
        <v>1</v>
      </c>
    </row>
    <row r="494" spans="1:2">
      <c r="A494" t="s">
        <v>976</v>
      </c>
      <c r="B494" s="477">
        <v>1</v>
      </c>
    </row>
    <row r="495" spans="1:2">
      <c r="A495" t="s">
        <v>977</v>
      </c>
      <c r="B495" s="477">
        <v>1</v>
      </c>
    </row>
    <row r="496" spans="1:2">
      <c r="A496" t="s">
        <v>978</v>
      </c>
      <c r="B496" s="477">
        <v>1</v>
      </c>
    </row>
    <row r="497" spans="1:2">
      <c r="A497" t="s">
        <v>979</v>
      </c>
      <c r="B497" s="477">
        <v>1</v>
      </c>
    </row>
    <row r="498" spans="1:2">
      <c r="A498" t="s">
        <v>980</v>
      </c>
      <c r="B498" s="477">
        <v>1</v>
      </c>
    </row>
    <row r="499" spans="1:2">
      <c r="A499" t="s">
        <v>981</v>
      </c>
      <c r="B499" s="477">
        <v>1</v>
      </c>
    </row>
    <row r="500" spans="1:2">
      <c r="A500" t="s">
        <v>982</v>
      </c>
      <c r="B500" s="477">
        <v>1</v>
      </c>
    </row>
    <row r="501" spans="1:2">
      <c r="A501" t="s">
        <v>983</v>
      </c>
      <c r="B501" s="477">
        <v>1</v>
      </c>
    </row>
    <row r="502" spans="1:2">
      <c r="A502" t="s">
        <v>984</v>
      </c>
      <c r="B502" s="477">
        <v>1</v>
      </c>
    </row>
    <row r="503" spans="1:2">
      <c r="A503" t="s">
        <v>985</v>
      </c>
      <c r="B503" s="477">
        <v>1</v>
      </c>
    </row>
    <row r="504" spans="1:2">
      <c r="A504" t="s">
        <v>2081</v>
      </c>
      <c r="B504" s="477">
        <v>2</v>
      </c>
    </row>
    <row r="505" spans="1:2">
      <c r="A505" t="s">
        <v>2082</v>
      </c>
      <c r="B505" s="477">
        <v>2</v>
      </c>
    </row>
    <row r="506" spans="1:2">
      <c r="A506" t="s">
        <v>2083</v>
      </c>
      <c r="B506" s="477">
        <v>2</v>
      </c>
    </row>
    <row r="507" spans="1:2">
      <c r="A507" t="s">
        <v>2084</v>
      </c>
      <c r="B507" s="477">
        <v>0</v>
      </c>
    </row>
    <row r="508" spans="1:2">
      <c r="A508" t="s">
        <v>2085</v>
      </c>
      <c r="B508" s="477">
        <v>2</v>
      </c>
    </row>
    <row r="509" spans="1:2">
      <c r="A509" t="s">
        <v>2086</v>
      </c>
      <c r="B509" s="477">
        <v>2</v>
      </c>
    </row>
    <row r="510" spans="1:2">
      <c r="A510" t="s">
        <v>2422</v>
      </c>
      <c r="B510" s="477">
        <v>0</v>
      </c>
    </row>
    <row r="511" spans="1:2">
      <c r="A511" t="s">
        <v>2087</v>
      </c>
      <c r="B511" s="477">
        <v>2</v>
      </c>
    </row>
    <row r="512" spans="1:2">
      <c r="A512" t="s">
        <v>2088</v>
      </c>
      <c r="B512" s="477">
        <v>2</v>
      </c>
    </row>
    <row r="513" spans="1:2">
      <c r="A513" t="s">
        <v>2089</v>
      </c>
      <c r="B513" s="477">
        <v>2</v>
      </c>
    </row>
    <row r="514" spans="1:2">
      <c r="A514" t="s">
        <v>2090</v>
      </c>
      <c r="B514" s="477">
        <v>2</v>
      </c>
    </row>
    <row r="515" spans="1:2">
      <c r="A515" t="s">
        <v>2091</v>
      </c>
      <c r="B515" s="477">
        <v>2</v>
      </c>
    </row>
    <row r="516" spans="1:2">
      <c r="A516" t="s">
        <v>2092</v>
      </c>
      <c r="B516" s="477">
        <v>2</v>
      </c>
    </row>
    <row r="517" spans="1:2">
      <c r="A517" t="s">
        <v>2093</v>
      </c>
      <c r="B517" s="477">
        <v>0</v>
      </c>
    </row>
    <row r="518" spans="1:2">
      <c r="A518" t="s">
        <v>2094</v>
      </c>
      <c r="B518" s="477">
        <v>0</v>
      </c>
    </row>
    <row r="519" spans="1:2">
      <c r="A519" t="s">
        <v>2095</v>
      </c>
      <c r="B519" s="477">
        <v>2</v>
      </c>
    </row>
    <row r="520" spans="1:2">
      <c r="A520" t="s">
        <v>2420</v>
      </c>
      <c r="B520" s="477">
        <v>2</v>
      </c>
    </row>
    <row r="521" spans="1:2">
      <c r="A521" t="s">
        <v>2096</v>
      </c>
      <c r="B521" s="477">
        <v>2</v>
      </c>
    </row>
    <row r="522" spans="1:2">
      <c r="A522" t="s">
        <v>2404</v>
      </c>
      <c r="B522" s="477">
        <v>1</v>
      </c>
    </row>
    <row r="523" spans="1:2">
      <c r="A523" t="s">
        <v>2405</v>
      </c>
      <c r="B523" s="477">
        <v>1</v>
      </c>
    </row>
    <row r="524" spans="1:2">
      <c r="A524" t="s">
        <v>2098</v>
      </c>
      <c r="B524" s="477">
        <v>1</v>
      </c>
    </row>
    <row r="525" spans="1:2">
      <c r="A525" t="s">
        <v>2099</v>
      </c>
      <c r="B525" s="477">
        <v>1</v>
      </c>
    </row>
    <row r="526" spans="1:2">
      <c r="A526" t="s">
        <v>2411</v>
      </c>
      <c r="B526" s="477">
        <v>1</v>
      </c>
    </row>
    <row r="527" spans="1:2">
      <c r="A527" t="s">
        <v>2406</v>
      </c>
      <c r="B527" s="477">
        <v>1</v>
      </c>
    </row>
    <row r="528" spans="1:2">
      <c r="A528" t="s">
        <v>2100</v>
      </c>
      <c r="B528" s="477">
        <v>1</v>
      </c>
    </row>
    <row r="529" spans="1:2">
      <c r="A529" t="s">
        <v>2407</v>
      </c>
      <c r="B529" s="477">
        <v>1</v>
      </c>
    </row>
    <row r="530" spans="1:2">
      <c r="A530" t="s">
        <v>2101</v>
      </c>
      <c r="B530" s="477">
        <v>1</v>
      </c>
    </row>
    <row r="531" spans="1:2">
      <c r="A531" t="s">
        <v>2102</v>
      </c>
      <c r="B531" s="477">
        <v>1</v>
      </c>
    </row>
    <row r="532" spans="1:2">
      <c r="A532" t="s">
        <v>2103</v>
      </c>
      <c r="B532" s="477">
        <v>1</v>
      </c>
    </row>
    <row r="533" spans="1:2">
      <c r="A533" t="s">
        <v>2104</v>
      </c>
      <c r="B533" s="477">
        <v>1</v>
      </c>
    </row>
    <row r="534" spans="1:2">
      <c r="A534" t="s">
        <v>2105</v>
      </c>
      <c r="B534" s="477">
        <v>1</v>
      </c>
    </row>
    <row r="535" spans="1:2">
      <c r="A535" t="s">
        <v>2106</v>
      </c>
      <c r="B535" s="477">
        <v>1</v>
      </c>
    </row>
    <row r="536" spans="1:2">
      <c r="A536" t="s">
        <v>2107</v>
      </c>
      <c r="B536" s="477">
        <v>1</v>
      </c>
    </row>
    <row r="537" spans="1:2">
      <c r="A537" t="s">
        <v>2108</v>
      </c>
      <c r="B537" s="477">
        <v>1</v>
      </c>
    </row>
    <row r="538" spans="1:2">
      <c r="A538" t="s">
        <v>2109</v>
      </c>
      <c r="B538" s="477">
        <v>1</v>
      </c>
    </row>
    <row r="539" spans="1:2">
      <c r="A539" t="s">
        <v>2110</v>
      </c>
      <c r="B539" s="477">
        <v>1</v>
      </c>
    </row>
    <row r="540" spans="1:2">
      <c r="A540" t="s">
        <v>2111</v>
      </c>
      <c r="B540" s="477">
        <v>1</v>
      </c>
    </row>
    <row r="541" spans="1:2">
      <c r="A541" t="s">
        <v>2112</v>
      </c>
      <c r="B541" s="477">
        <v>1</v>
      </c>
    </row>
    <row r="542" spans="1:2">
      <c r="A542" t="s">
        <v>2113</v>
      </c>
      <c r="B542" s="477">
        <v>1</v>
      </c>
    </row>
    <row r="543" spans="1:2">
      <c r="A543" t="s">
        <v>2375</v>
      </c>
      <c r="B543" s="477">
        <v>0</v>
      </c>
    </row>
    <row r="544" spans="1:2">
      <c r="A544" t="s">
        <v>2114</v>
      </c>
      <c r="B544" s="477">
        <v>1</v>
      </c>
    </row>
    <row r="545" spans="1:2">
      <c r="A545" t="s">
        <v>2115</v>
      </c>
      <c r="B545" s="477">
        <v>1</v>
      </c>
    </row>
    <row r="546" spans="1:2">
      <c r="A546" t="s">
        <v>2116</v>
      </c>
      <c r="B546" s="477">
        <v>1</v>
      </c>
    </row>
    <row r="547" spans="1:2">
      <c r="A547" t="s">
        <v>2117</v>
      </c>
      <c r="B547" s="477">
        <v>1</v>
      </c>
    </row>
    <row r="548" spans="1:2">
      <c r="A548" t="s">
        <v>2118</v>
      </c>
      <c r="B548" s="477">
        <v>1</v>
      </c>
    </row>
    <row r="549" spans="1:2">
      <c r="A549" t="s">
        <v>2119</v>
      </c>
      <c r="B549" s="477">
        <v>1</v>
      </c>
    </row>
    <row r="550" spans="1:2">
      <c r="A550" t="s">
        <v>2418</v>
      </c>
      <c r="B550" s="477">
        <v>0</v>
      </c>
    </row>
    <row r="551" spans="1:2">
      <c r="A551" t="s">
        <v>2120</v>
      </c>
      <c r="B551" s="477">
        <v>1</v>
      </c>
    </row>
    <row r="552" spans="1:2">
      <c r="A552" t="s">
        <v>2121</v>
      </c>
      <c r="B552" s="477">
        <v>1</v>
      </c>
    </row>
    <row r="553" spans="1:2">
      <c r="A553" t="s">
        <v>2402</v>
      </c>
      <c r="B553" s="477">
        <v>1</v>
      </c>
    </row>
    <row r="554" spans="1:2">
      <c r="A554" t="s">
        <v>2409</v>
      </c>
      <c r="B554" s="477">
        <v>0</v>
      </c>
    </row>
    <row r="555" spans="1:2">
      <c r="A555" t="s">
        <v>2122</v>
      </c>
      <c r="B555" s="477">
        <v>1</v>
      </c>
    </row>
    <row r="556" spans="1:2">
      <c r="A556" t="s">
        <v>2123</v>
      </c>
      <c r="B556" s="477">
        <v>1</v>
      </c>
    </row>
    <row r="557" spans="1:2">
      <c r="A557" t="s">
        <v>2376</v>
      </c>
      <c r="B557" s="477">
        <v>0</v>
      </c>
    </row>
    <row r="558" spans="1:2">
      <c r="A558" t="s">
        <v>2124</v>
      </c>
      <c r="B558" s="477">
        <v>1</v>
      </c>
    </row>
    <row r="559" spans="1:2">
      <c r="A559" t="s">
        <v>2125</v>
      </c>
      <c r="B559" s="477">
        <v>1</v>
      </c>
    </row>
    <row r="560" spans="1:2">
      <c r="A560" t="s">
        <v>2126</v>
      </c>
      <c r="B560" s="477">
        <v>1</v>
      </c>
    </row>
    <row r="561" spans="1:2">
      <c r="A561" t="s">
        <v>2127</v>
      </c>
      <c r="B561" s="477">
        <v>1</v>
      </c>
    </row>
    <row r="562" spans="1:2">
      <c r="A562" t="s">
        <v>2377</v>
      </c>
      <c r="B562" s="477">
        <v>1</v>
      </c>
    </row>
    <row r="563" spans="1:2">
      <c r="A563" t="s">
        <v>2128</v>
      </c>
      <c r="B563" s="477">
        <v>1</v>
      </c>
    </row>
    <row r="564" spans="1:2">
      <c r="A564" t="s">
        <v>2413</v>
      </c>
      <c r="B564" s="477">
        <v>1</v>
      </c>
    </row>
    <row r="565" spans="1:2">
      <c r="A565" t="s">
        <v>2129</v>
      </c>
      <c r="B565" s="477">
        <v>1</v>
      </c>
    </row>
    <row r="566" spans="1:2">
      <c r="A566" t="s">
        <v>2130</v>
      </c>
      <c r="B566" s="477">
        <v>1</v>
      </c>
    </row>
    <row r="567" spans="1:2">
      <c r="A567" t="s">
        <v>2131</v>
      </c>
      <c r="B567" s="477">
        <v>1</v>
      </c>
    </row>
    <row r="568" spans="1:2">
      <c r="A568" t="s">
        <v>2419</v>
      </c>
      <c r="B568" s="477">
        <v>1</v>
      </c>
    </row>
    <row r="569" spans="1:2">
      <c r="A569" t="s">
        <v>2132</v>
      </c>
      <c r="B569" s="477">
        <v>1</v>
      </c>
    </row>
    <row r="570" spans="1:2">
      <c r="A570" t="s">
        <v>2133</v>
      </c>
      <c r="B570" s="477">
        <v>1</v>
      </c>
    </row>
    <row r="571" spans="1:2">
      <c r="A571" t="s">
        <v>2134</v>
      </c>
      <c r="B571" s="477">
        <v>1</v>
      </c>
    </row>
    <row r="572" spans="1:2">
      <c r="A572" t="s">
        <v>986</v>
      </c>
      <c r="B572" s="477">
        <v>1</v>
      </c>
    </row>
    <row r="573" spans="1:2">
      <c r="A573" t="s">
        <v>987</v>
      </c>
      <c r="B573" s="477">
        <v>0</v>
      </c>
    </row>
    <row r="574" spans="1:2">
      <c r="A574" t="s">
        <v>988</v>
      </c>
      <c r="B574" s="477">
        <v>1</v>
      </c>
    </row>
    <row r="575" spans="1:2">
      <c r="A575" t="s">
        <v>989</v>
      </c>
      <c r="B575" s="477">
        <v>1</v>
      </c>
    </row>
    <row r="576" spans="1:2">
      <c r="A576" t="s">
        <v>990</v>
      </c>
      <c r="B576" s="477">
        <v>1</v>
      </c>
    </row>
    <row r="577" spans="1:2">
      <c r="A577" t="s">
        <v>991</v>
      </c>
      <c r="B577" s="477">
        <v>1</v>
      </c>
    </row>
    <row r="578" spans="1:2">
      <c r="A578" t="s">
        <v>992</v>
      </c>
      <c r="B578" s="477">
        <v>1</v>
      </c>
    </row>
    <row r="579" spans="1:2">
      <c r="A579" t="s">
        <v>993</v>
      </c>
      <c r="B579" s="477">
        <v>1</v>
      </c>
    </row>
    <row r="580" spans="1:2">
      <c r="A580" t="s">
        <v>994</v>
      </c>
      <c r="B580" s="477">
        <v>1</v>
      </c>
    </row>
    <row r="581" spans="1:2">
      <c r="A581" t="s">
        <v>995</v>
      </c>
      <c r="B581" s="477">
        <v>1</v>
      </c>
    </row>
    <row r="582" spans="1:2">
      <c r="A582" t="s">
        <v>996</v>
      </c>
      <c r="B582" s="477">
        <v>1</v>
      </c>
    </row>
    <row r="583" spans="1:2">
      <c r="A583" t="s">
        <v>997</v>
      </c>
      <c r="B583" s="477">
        <v>1</v>
      </c>
    </row>
    <row r="584" spans="1:2">
      <c r="A584" t="s">
        <v>998</v>
      </c>
      <c r="B584" s="477">
        <v>1</v>
      </c>
    </row>
    <row r="585" spans="1:2">
      <c r="A585" t="s">
        <v>999</v>
      </c>
      <c r="B585" s="477">
        <v>1</v>
      </c>
    </row>
    <row r="586" spans="1:2">
      <c r="A586" t="s">
        <v>1000</v>
      </c>
      <c r="B586" s="477">
        <v>1</v>
      </c>
    </row>
    <row r="587" spans="1:2">
      <c r="A587" t="s">
        <v>1001</v>
      </c>
      <c r="B587" s="477">
        <v>1</v>
      </c>
    </row>
    <row r="588" spans="1:2">
      <c r="A588" t="s">
        <v>1002</v>
      </c>
      <c r="B588" s="477">
        <v>0</v>
      </c>
    </row>
    <row r="589" spans="1:2">
      <c r="A589" t="s">
        <v>1003</v>
      </c>
      <c r="B589" s="477">
        <v>1</v>
      </c>
    </row>
    <row r="590" spans="1:2">
      <c r="A590" t="s">
        <v>1004</v>
      </c>
      <c r="B590" s="477">
        <v>1</v>
      </c>
    </row>
    <row r="591" spans="1:2">
      <c r="A591" t="s">
        <v>1005</v>
      </c>
      <c r="B591" s="477">
        <v>1</v>
      </c>
    </row>
    <row r="592" spans="1:2">
      <c r="A592" t="s">
        <v>1006</v>
      </c>
      <c r="B592" s="477">
        <v>1</v>
      </c>
    </row>
    <row r="593" spans="1:2">
      <c r="A593" t="s">
        <v>1007</v>
      </c>
      <c r="B593" s="477">
        <v>0</v>
      </c>
    </row>
    <row r="594" spans="1:2">
      <c r="A594" t="s">
        <v>1008</v>
      </c>
      <c r="B594" s="477">
        <v>0</v>
      </c>
    </row>
    <row r="595" spans="1:2">
      <c r="A595" t="s">
        <v>1009</v>
      </c>
      <c r="B595" s="477">
        <v>1</v>
      </c>
    </row>
    <row r="596" spans="1:2">
      <c r="A596" t="s">
        <v>1010</v>
      </c>
      <c r="B596" s="477">
        <v>0</v>
      </c>
    </row>
    <row r="597" spans="1:2">
      <c r="A597" t="s">
        <v>1011</v>
      </c>
      <c r="B597" s="477">
        <v>1</v>
      </c>
    </row>
    <row r="598" spans="1:2">
      <c r="A598" t="s">
        <v>1012</v>
      </c>
      <c r="B598" s="477">
        <v>1</v>
      </c>
    </row>
    <row r="599" spans="1:2">
      <c r="A599" t="s">
        <v>1013</v>
      </c>
      <c r="B599" s="477">
        <v>1</v>
      </c>
    </row>
    <row r="600" spans="1:2">
      <c r="A600" t="s">
        <v>1014</v>
      </c>
      <c r="B600" s="477">
        <v>1</v>
      </c>
    </row>
    <row r="601" spans="1:2">
      <c r="A601" t="s">
        <v>1015</v>
      </c>
      <c r="B601" s="477">
        <v>1</v>
      </c>
    </row>
    <row r="602" spans="1:2">
      <c r="A602" t="s">
        <v>1016</v>
      </c>
      <c r="B602" s="477">
        <v>1</v>
      </c>
    </row>
    <row r="603" spans="1:2">
      <c r="A603" t="s">
        <v>1017</v>
      </c>
      <c r="B603" s="477">
        <v>1</v>
      </c>
    </row>
    <row r="604" spans="1:2">
      <c r="A604" t="s">
        <v>1018</v>
      </c>
      <c r="B604" s="477">
        <v>1</v>
      </c>
    </row>
    <row r="605" spans="1:2">
      <c r="A605" t="s">
        <v>1019</v>
      </c>
      <c r="B605" s="477">
        <v>1</v>
      </c>
    </row>
    <row r="606" spans="1:2">
      <c r="A606" t="s">
        <v>2428</v>
      </c>
      <c r="B606" s="477">
        <v>1</v>
      </c>
    </row>
    <row r="607" spans="1:2">
      <c r="A607" t="s">
        <v>1020</v>
      </c>
      <c r="B607" s="477">
        <v>1</v>
      </c>
    </row>
    <row r="608" spans="1:2">
      <c r="A608" t="s">
        <v>1021</v>
      </c>
      <c r="B608" s="477">
        <v>1</v>
      </c>
    </row>
    <row r="609" spans="1:2">
      <c r="A609" t="s">
        <v>1022</v>
      </c>
      <c r="B609" s="477">
        <v>1</v>
      </c>
    </row>
    <row r="610" spans="1:2">
      <c r="A610" t="s">
        <v>1023</v>
      </c>
      <c r="B610" s="477">
        <v>1</v>
      </c>
    </row>
    <row r="611" spans="1:2">
      <c r="A611" t="s">
        <v>1024</v>
      </c>
      <c r="B611" s="477">
        <v>1</v>
      </c>
    </row>
    <row r="612" spans="1:2">
      <c r="A612" t="s">
        <v>1025</v>
      </c>
      <c r="B612" s="477">
        <v>1</v>
      </c>
    </row>
    <row r="613" spans="1:2">
      <c r="A613" t="s">
        <v>1026</v>
      </c>
      <c r="B613" s="477">
        <v>1</v>
      </c>
    </row>
    <row r="614" spans="1:2">
      <c r="A614" t="s">
        <v>1027</v>
      </c>
      <c r="B614" s="477">
        <v>1</v>
      </c>
    </row>
    <row r="615" spans="1:2">
      <c r="A615" t="s">
        <v>1028</v>
      </c>
      <c r="B615" s="477">
        <v>1</v>
      </c>
    </row>
    <row r="616" spans="1:2">
      <c r="A616" t="s">
        <v>1029</v>
      </c>
      <c r="B616" s="477">
        <v>1</v>
      </c>
    </row>
    <row r="617" spans="1:2">
      <c r="A617" t="s">
        <v>1959</v>
      </c>
      <c r="B617" s="477">
        <v>1</v>
      </c>
    </row>
    <row r="618" spans="1:2">
      <c r="A618" t="s">
        <v>1030</v>
      </c>
      <c r="B618" s="477">
        <v>1</v>
      </c>
    </row>
    <row r="619" spans="1:2">
      <c r="A619" t="s">
        <v>1031</v>
      </c>
      <c r="B619" s="477">
        <v>1</v>
      </c>
    </row>
    <row r="620" spans="1:2">
      <c r="A620" t="s">
        <v>1032</v>
      </c>
      <c r="B620" s="477">
        <v>1</v>
      </c>
    </row>
    <row r="621" spans="1:2">
      <c r="A621" t="s">
        <v>1033</v>
      </c>
      <c r="B621" s="477">
        <v>1</v>
      </c>
    </row>
    <row r="622" spans="1:2">
      <c r="A622" t="s">
        <v>1034</v>
      </c>
      <c r="B622" s="477">
        <v>1</v>
      </c>
    </row>
    <row r="623" spans="1:2">
      <c r="A623" t="s">
        <v>1035</v>
      </c>
      <c r="B623" s="477">
        <v>1</v>
      </c>
    </row>
    <row r="624" spans="1:2">
      <c r="A624" t="s">
        <v>1036</v>
      </c>
      <c r="B624" s="477">
        <v>1</v>
      </c>
    </row>
    <row r="625" spans="1:2">
      <c r="A625" t="s">
        <v>1037</v>
      </c>
      <c r="B625" s="477">
        <v>1</v>
      </c>
    </row>
    <row r="626" spans="1:2">
      <c r="A626" t="s">
        <v>1038</v>
      </c>
      <c r="B626" s="477">
        <v>1</v>
      </c>
    </row>
    <row r="627" spans="1:2">
      <c r="A627" t="s">
        <v>1039</v>
      </c>
      <c r="B627" s="477">
        <v>1</v>
      </c>
    </row>
    <row r="628" spans="1:2">
      <c r="A628" t="s">
        <v>1040</v>
      </c>
      <c r="B628" s="477">
        <v>1</v>
      </c>
    </row>
    <row r="629" spans="1:2">
      <c r="A629" t="s">
        <v>1041</v>
      </c>
      <c r="B629" s="477">
        <v>5</v>
      </c>
    </row>
    <row r="630" spans="1:2">
      <c r="A630" t="s">
        <v>1042</v>
      </c>
      <c r="B630" s="477">
        <v>1</v>
      </c>
    </row>
    <row r="631" spans="1:2">
      <c r="A631" t="s">
        <v>1043</v>
      </c>
      <c r="B631" s="477">
        <v>1</v>
      </c>
    </row>
    <row r="632" spans="1:2">
      <c r="A632" t="s">
        <v>1044</v>
      </c>
      <c r="B632" s="477">
        <v>1</v>
      </c>
    </row>
    <row r="633" spans="1:2">
      <c r="A633" t="s">
        <v>1045</v>
      </c>
      <c r="B633" s="477">
        <v>1</v>
      </c>
    </row>
    <row r="634" spans="1:2">
      <c r="A634" t="s">
        <v>2431</v>
      </c>
      <c r="B634" s="477">
        <v>1</v>
      </c>
    </row>
    <row r="635" spans="1:2">
      <c r="A635" t="s">
        <v>2432</v>
      </c>
      <c r="B635" s="477">
        <v>1</v>
      </c>
    </row>
    <row r="636" spans="1:2">
      <c r="A636" t="s">
        <v>1046</v>
      </c>
      <c r="B636" s="477">
        <v>1</v>
      </c>
    </row>
    <row r="637" spans="1:2">
      <c r="A637" t="s">
        <v>1047</v>
      </c>
      <c r="B637" s="477">
        <v>1</v>
      </c>
    </row>
    <row r="638" spans="1:2">
      <c r="A638" t="s">
        <v>1048</v>
      </c>
      <c r="B638" s="477">
        <v>1</v>
      </c>
    </row>
    <row r="639" spans="1:2">
      <c r="A639" t="s">
        <v>1049</v>
      </c>
      <c r="B639" s="477">
        <v>1</v>
      </c>
    </row>
    <row r="640" spans="1:2">
      <c r="A640" t="s">
        <v>1050</v>
      </c>
      <c r="B640" s="477">
        <v>1</v>
      </c>
    </row>
    <row r="641" spans="1:2">
      <c r="A641" t="s">
        <v>1051</v>
      </c>
      <c r="B641" s="477">
        <v>1</v>
      </c>
    </row>
    <row r="642" spans="1:2">
      <c r="A642" t="s">
        <v>1052</v>
      </c>
      <c r="B642" s="477">
        <v>1</v>
      </c>
    </row>
    <row r="643" spans="1:2">
      <c r="A643" t="s">
        <v>1053</v>
      </c>
      <c r="B643" s="477">
        <v>1</v>
      </c>
    </row>
    <row r="644" spans="1:2">
      <c r="A644" t="s">
        <v>1054</v>
      </c>
      <c r="B644" s="477">
        <v>1</v>
      </c>
    </row>
    <row r="645" spans="1:2">
      <c r="A645" t="s">
        <v>1055</v>
      </c>
      <c r="B645" s="477">
        <v>1</v>
      </c>
    </row>
    <row r="646" spans="1:2">
      <c r="A646" t="s">
        <v>1056</v>
      </c>
      <c r="B646" s="477">
        <v>1</v>
      </c>
    </row>
    <row r="647" spans="1:2">
      <c r="A647" t="s">
        <v>1057</v>
      </c>
      <c r="B647" s="477">
        <v>1</v>
      </c>
    </row>
    <row r="648" spans="1:2">
      <c r="A648" t="s">
        <v>1058</v>
      </c>
      <c r="B648" s="477">
        <v>1</v>
      </c>
    </row>
    <row r="649" spans="1:2">
      <c r="A649" t="s">
        <v>1059</v>
      </c>
      <c r="B649" s="477">
        <v>1</v>
      </c>
    </row>
    <row r="650" spans="1:2">
      <c r="A650" t="s">
        <v>1060</v>
      </c>
      <c r="B650" s="477">
        <v>1</v>
      </c>
    </row>
    <row r="651" spans="1:2">
      <c r="A651" t="s">
        <v>1061</v>
      </c>
      <c r="B651" s="477">
        <v>1</v>
      </c>
    </row>
    <row r="652" spans="1:2">
      <c r="A652" t="s">
        <v>1062</v>
      </c>
      <c r="B652" s="477">
        <v>1</v>
      </c>
    </row>
    <row r="653" spans="1:2">
      <c r="A653" t="s">
        <v>1063</v>
      </c>
      <c r="B653" s="477">
        <v>1</v>
      </c>
    </row>
    <row r="654" spans="1:2">
      <c r="A654" t="s">
        <v>2424</v>
      </c>
      <c r="B654" s="477">
        <v>1</v>
      </c>
    </row>
    <row r="655" spans="1:2">
      <c r="A655" t="s">
        <v>1064</v>
      </c>
      <c r="B655" s="477">
        <v>1</v>
      </c>
    </row>
    <row r="656" spans="1:2">
      <c r="A656" t="s">
        <v>1065</v>
      </c>
      <c r="B656" s="477">
        <v>1</v>
      </c>
    </row>
    <row r="657" spans="1:2">
      <c r="A657" t="s">
        <v>1066</v>
      </c>
      <c r="B657" s="477">
        <v>1</v>
      </c>
    </row>
    <row r="658" spans="1:2">
      <c r="A658" t="s">
        <v>1067</v>
      </c>
      <c r="B658" s="477">
        <v>1</v>
      </c>
    </row>
    <row r="659" spans="1:2">
      <c r="A659" t="s">
        <v>1068</v>
      </c>
      <c r="B659" s="477">
        <v>1</v>
      </c>
    </row>
    <row r="660" spans="1:2">
      <c r="A660" t="s">
        <v>1069</v>
      </c>
      <c r="B660" s="477">
        <v>1</v>
      </c>
    </row>
    <row r="661" spans="1:2">
      <c r="A661" t="s">
        <v>2433</v>
      </c>
      <c r="B661" s="477">
        <v>1</v>
      </c>
    </row>
    <row r="662" spans="1:2">
      <c r="A662" t="s">
        <v>1070</v>
      </c>
      <c r="B662" s="477">
        <v>1</v>
      </c>
    </row>
    <row r="663" spans="1:2">
      <c r="A663" t="s">
        <v>1071</v>
      </c>
      <c r="B663" s="477">
        <v>1</v>
      </c>
    </row>
    <row r="664" spans="1:2">
      <c r="A664" t="s">
        <v>1072</v>
      </c>
      <c r="B664" s="477">
        <v>1</v>
      </c>
    </row>
    <row r="665" spans="1:2">
      <c r="A665" t="s">
        <v>1073</v>
      </c>
      <c r="B665" s="477">
        <v>1</v>
      </c>
    </row>
    <row r="666" spans="1:2">
      <c r="A666" t="s">
        <v>1074</v>
      </c>
      <c r="B666" s="477">
        <v>1</v>
      </c>
    </row>
    <row r="667" spans="1:2">
      <c r="A667" t="s">
        <v>1075</v>
      </c>
      <c r="B667" s="477">
        <v>1</v>
      </c>
    </row>
    <row r="668" spans="1:2">
      <c r="A668" t="s">
        <v>1076</v>
      </c>
      <c r="B668" s="477">
        <v>1</v>
      </c>
    </row>
    <row r="669" spans="1:2">
      <c r="A669" t="s">
        <v>1077</v>
      </c>
      <c r="B669" s="477">
        <v>1</v>
      </c>
    </row>
    <row r="670" spans="1:2">
      <c r="A670" t="s">
        <v>1078</v>
      </c>
      <c r="B670" s="477">
        <v>1</v>
      </c>
    </row>
    <row r="671" spans="1:2">
      <c r="A671" t="s">
        <v>1079</v>
      </c>
      <c r="B671" s="477">
        <v>1</v>
      </c>
    </row>
    <row r="672" spans="1:2">
      <c r="A672" t="s">
        <v>1080</v>
      </c>
      <c r="B672" s="477">
        <v>1</v>
      </c>
    </row>
    <row r="673" spans="1:2">
      <c r="A673" t="s">
        <v>1081</v>
      </c>
      <c r="B673" s="477">
        <v>1</v>
      </c>
    </row>
    <row r="674" spans="1:2">
      <c r="A674" t="s">
        <v>1082</v>
      </c>
      <c r="B674" s="477">
        <v>1</v>
      </c>
    </row>
    <row r="675" spans="1:2">
      <c r="A675" t="s">
        <v>1083</v>
      </c>
      <c r="B675" s="477">
        <v>1</v>
      </c>
    </row>
    <row r="676" spans="1:2">
      <c r="A676" t="s">
        <v>1084</v>
      </c>
      <c r="B676" s="477">
        <v>1</v>
      </c>
    </row>
    <row r="677" spans="1:2">
      <c r="A677" t="s">
        <v>1085</v>
      </c>
      <c r="B677" s="477">
        <v>1</v>
      </c>
    </row>
    <row r="678" spans="1:2">
      <c r="A678" t="s">
        <v>1086</v>
      </c>
      <c r="B678" s="477">
        <v>1</v>
      </c>
    </row>
    <row r="679" spans="1:2">
      <c r="A679" t="s">
        <v>1087</v>
      </c>
      <c r="B679" s="477">
        <v>1</v>
      </c>
    </row>
    <row r="680" spans="1:2">
      <c r="A680" t="s">
        <v>1088</v>
      </c>
      <c r="B680" s="477">
        <v>1</v>
      </c>
    </row>
    <row r="681" spans="1:2">
      <c r="A681" t="s">
        <v>1089</v>
      </c>
      <c r="B681" s="477">
        <v>1</v>
      </c>
    </row>
    <row r="682" spans="1:2">
      <c r="A682" t="s">
        <v>1090</v>
      </c>
      <c r="B682" s="477">
        <v>1</v>
      </c>
    </row>
    <row r="683" spans="1:2">
      <c r="A683" t="s">
        <v>1091</v>
      </c>
      <c r="B683" s="477">
        <v>1</v>
      </c>
    </row>
    <row r="684" spans="1:2">
      <c r="A684" t="s">
        <v>1092</v>
      </c>
      <c r="B684" s="477">
        <v>1</v>
      </c>
    </row>
    <row r="685" spans="1:2">
      <c r="A685" t="s">
        <v>1093</v>
      </c>
      <c r="B685" s="477">
        <v>1</v>
      </c>
    </row>
    <row r="686" spans="1:2">
      <c r="A686" t="s">
        <v>1094</v>
      </c>
      <c r="B686" s="477">
        <v>1</v>
      </c>
    </row>
    <row r="687" spans="1:2">
      <c r="A687" t="s">
        <v>1095</v>
      </c>
      <c r="B687" s="477">
        <v>1</v>
      </c>
    </row>
    <row r="688" spans="1:2">
      <c r="A688" t="s">
        <v>1096</v>
      </c>
      <c r="B688" s="477">
        <v>0</v>
      </c>
    </row>
    <row r="689" spans="1:2">
      <c r="A689" t="s">
        <v>1097</v>
      </c>
      <c r="B689" s="477">
        <v>1</v>
      </c>
    </row>
    <row r="690" spans="1:2">
      <c r="A690" t="s">
        <v>1098</v>
      </c>
      <c r="B690" s="477">
        <v>1</v>
      </c>
    </row>
    <row r="691" spans="1:2">
      <c r="A691" t="s">
        <v>1099</v>
      </c>
      <c r="B691" s="477">
        <v>1</v>
      </c>
    </row>
    <row r="692" spans="1:2">
      <c r="A692" t="s">
        <v>1100</v>
      </c>
      <c r="B692" s="477">
        <v>1</v>
      </c>
    </row>
    <row r="693" spans="1:2">
      <c r="A693" t="s">
        <v>1101</v>
      </c>
      <c r="B693" s="477">
        <v>1</v>
      </c>
    </row>
    <row r="694" spans="1:2">
      <c r="A694" t="s">
        <v>1102</v>
      </c>
      <c r="B694" s="477">
        <v>1</v>
      </c>
    </row>
    <row r="695" spans="1:2">
      <c r="A695" t="s">
        <v>1103</v>
      </c>
      <c r="B695" s="477">
        <v>1</v>
      </c>
    </row>
    <row r="696" spans="1:2">
      <c r="A696" t="s">
        <v>1104</v>
      </c>
      <c r="B696" s="477">
        <v>1</v>
      </c>
    </row>
    <row r="697" spans="1:2">
      <c r="A697" t="s">
        <v>1105</v>
      </c>
      <c r="B697" s="477">
        <v>1</v>
      </c>
    </row>
    <row r="698" spans="1:2">
      <c r="A698" t="s">
        <v>1106</v>
      </c>
      <c r="B698" s="477">
        <v>1</v>
      </c>
    </row>
    <row r="699" spans="1:2">
      <c r="A699" t="s">
        <v>1107</v>
      </c>
      <c r="B699" s="477">
        <v>1</v>
      </c>
    </row>
    <row r="700" spans="1:2">
      <c r="A700" t="s">
        <v>1108</v>
      </c>
      <c r="B700" s="477">
        <v>1</v>
      </c>
    </row>
    <row r="701" spans="1:2">
      <c r="A701" t="s">
        <v>1109</v>
      </c>
      <c r="B701" s="477">
        <v>1</v>
      </c>
    </row>
    <row r="702" spans="1:2">
      <c r="A702" t="s">
        <v>1110</v>
      </c>
      <c r="B702" s="477">
        <v>1</v>
      </c>
    </row>
    <row r="703" spans="1:2">
      <c r="A703" t="s">
        <v>1111</v>
      </c>
      <c r="B703" s="477">
        <v>1</v>
      </c>
    </row>
    <row r="704" spans="1:2">
      <c r="A704" t="s">
        <v>1112</v>
      </c>
      <c r="B704" s="477">
        <v>0</v>
      </c>
    </row>
    <row r="705" spans="1:2">
      <c r="A705" t="s">
        <v>1113</v>
      </c>
      <c r="B705" s="477">
        <v>1</v>
      </c>
    </row>
    <row r="706" spans="1:2">
      <c r="A706" t="s">
        <v>1114</v>
      </c>
      <c r="B706" s="477">
        <v>1</v>
      </c>
    </row>
    <row r="707" spans="1:2">
      <c r="A707" t="s">
        <v>1115</v>
      </c>
      <c r="B707" s="477">
        <v>1</v>
      </c>
    </row>
    <row r="708" spans="1:2">
      <c r="A708" t="s">
        <v>2163</v>
      </c>
      <c r="B708" s="477">
        <v>1</v>
      </c>
    </row>
    <row r="709" spans="1:2">
      <c r="A709" t="s">
        <v>1116</v>
      </c>
      <c r="B709" s="477">
        <v>1</v>
      </c>
    </row>
    <row r="710" spans="1:2">
      <c r="A710" t="s">
        <v>1117</v>
      </c>
      <c r="B710" s="477">
        <v>1</v>
      </c>
    </row>
    <row r="711" spans="1:2">
      <c r="A711" t="s">
        <v>1118</v>
      </c>
      <c r="B711" s="477">
        <v>1</v>
      </c>
    </row>
    <row r="712" spans="1:2">
      <c r="A712" t="s">
        <v>1119</v>
      </c>
      <c r="B712" s="477">
        <v>1</v>
      </c>
    </row>
    <row r="713" spans="1:2">
      <c r="A713" t="s">
        <v>1120</v>
      </c>
      <c r="B713" s="477">
        <v>1</v>
      </c>
    </row>
    <row r="714" spans="1:2">
      <c r="A714" t="s">
        <v>1121</v>
      </c>
      <c r="B714" s="477">
        <v>1</v>
      </c>
    </row>
    <row r="715" spans="1:2">
      <c r="A715" t="s">
        <v>1122</v>
      </c>
      <c r="B715" s="477">
        <v>1</v>
      </c>
    </row>
    <row r="716" spans="1:2">
      <c r="A716" t="s">
        <v>1123</v>
      </c>
      <c r="B716" s="477">
        <v>1</v>
      </c>
    </row>
    <row r="717" spans="1:2">
      <c r="A717" t="s">
        <v>1124</v>
      </c>
      <c r="B717" s="477">
        <v>1</v>
      </c>
    </row>
    <row r="718" spans="1:2">
      <c r="A718" t="s">
        <v>1125</v>
      </c>
      <c r="B718" s="477">
        <v>1</v>
      </c>
    </row>
    <row r="719" spans="1:2">
      <c r="A719" t="s">
        <v>1126</v>
      </c>
      <c r="B719" s="477">
        <v>1</v>
      </c>
    </row>
    <row r="720" spans="1:2">
      <c r="A720" t="s">
        <v>1127</v>
      </c>
      <c r="B720" s="477">
        <v>0</v>
      </c>
    </row>
    <row r="721" spans="1:2">
      <c r="A721" t="s">
        <v>1128</v>
      </c>
      <c r="B721" s="477">
        <v>1</v>
      </c>
    </row>
    <row r="722" spans="1:2">
      <c r="A722" t="s">
        <v>1129</v>
      </c>
      <c r="B722" s="477">
        <v>1</v>
      </c>
    </row>
    <row r="723" spans="1:2">
      <c r="A723" t="s">
        <v>1130</v>
      </c>
      <c r="B723" s="477">
        <v>1</v>
      </c>
    </row>
    <row r="724" spans="1:2">
      <c r="A724" t="s">
        <v>2439</v>
      </c>
      <c r="B724" s="477">
        <v>1</v>
      </c>
    </row>
    <row r="725" spans="1:2">
      <c r="A725" t="s">
        <v>1131</v>
      </c>
      <c r="B725" s="477">
        <v>0</v>
      </c>
    </row>
    <row r="726" spans="1:2">
      <c r="A726" t="s">
        <v>1132</v>
      </c>
      <c r="B726" s="477">
        <v>1</v>
      </c>
    </row>
    <row r="727" spans="1:2">
      <c r="A727" t="s">
        <v>1133</v>
      </c>
      <c r="B727" s="477">
        <v>1</v>
      </c>
    </row>
    <row r="728" spans="1:2">
      <c r="A728" t="s">
        <v>1134</v>
      </c>
      <c r="B728" s="477">
        <v>0</v>
      </c>
    </row>
    <row r="729" spans="1:2">
      <c r="A729" t="s">
        <v>1135</v>
      </c>
      <c r="B729" s="477">
        <v>1</v>
      </c>
    </row>
    <row r="730" spans="1:2">
      <c r="A730" t="s">
        <v>1136</v>
      </c>
      <c r="B730" s="477">
        <v>1</v>
      </c>
    </row>
    <row r="731" spans="1:2">
      <c r="A731" t="s">
        <v>1137</v>
      </c>
      <c r="B731" s="477">
        <v>1</v>
      </c>
    </row>
    <row r="732" spans="1:2">
      <c r="A732" t="s">
        <v>1138</v>
      </c>
      <c r="B732" s="477">
        <v>1</v>
      </c>
    </row>
    <row r="733" spans="1:2">
      <c r="A733" t="s">
        <v>1139</v>
      </c>
      <c r="B733" s="477">
        <v>1</v>
      </c>
    </row>
    <row r="734" spans="1:2">
      <c r="A734" t="s">
        <v>1140</v>
      </c>
      <c r="B734" s="477">
        <v>1</v>
      </c>
    </row>
    <row r="735" spans="1:2">
      <c r="A735" t="s">
        <v>1141</v>
      </c>
      <c r="B735" s="477">
        <v>1</v>
      </c>
    </row>
    <row r="736" spans="1:2">
      <c r="A736" t="s">
        <v>2440</v>
      </c>
      <c r="B736" s="477">
        <v>1</v>
      </c>
    </row>
    <row r="737" spans="1:2">
      <c r="A737" t="s">
        <v>1142</v>
      </c>
      <c r="B737" s="477">
        <v>1</v>
      </c>
    </row>
    <row r="738" spans="1:2">
      <c r="A738" t="s">
        <v>1143</v>
      </c>
      <c r="B738" s="477">
        <v>1</v>
      </c>
    </row>
    <row r="739" spans="1:2">
      <c r="A739" t="s">
        <v>1144</v>
      </c>
      <c r="B739" s="477">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5. Em Correção</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0.75</v>
      </c>
      <c r="P161" s="308">
        <f ca="1">SUMPRODUCT(P162:P164,U162:U164)/SUM(U162:U164)</f>
        <v>1</v>
      </c>
      <c r="Q161" s="235">
        <f t="shared" ca="1" si="33"/>
        <v>-0.25</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2.1 Em Teste</v>
      </c>
      <c r="I164" s="272">
        <v>45593</v>
      </c>
      <c r="J164" s="310">
        <v>45624</v>
      </c>
      <c r="K164" s="314">
        <v>45624</v>
      </c>
      <c r="L164" s="277">
        <f t="array" ref="L164">MIN(IF(W164:CI164&gt;0,$W$16:$CI$16))</f>
        <v>45644</v>
      </c>
      <c r="M164" s="278">
        <f t="array" ref="M164">MAX(IF(W164:CI164&gt;0,$W$16:$CI$16))</f>
        <v>45644</v>
      </c>
      <c r="N164" s="278"/>
      <c r="O164" s="236">
        <f>VLOOKUP(H164,Auxiliar!$B$16:$E$24,4,0)</f>
        <v>0.25</v>
      </c>
      <c r="P164" s="236">
        <f ca="1">IF(TODAY()&lt;=L164,0,MIN((TODAY()-L164)/(M164-L164+1),100%))</f>
        <v>1</v>
      </c>
      <c r="Q164" s="235">
        <f t="shared" ca="1" si="33"/>
        <v>-0.75</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2437</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2438</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6"/>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7"/>
        <v>0.51249999999999996</v>
      </c>
      <c r="K182" s="180">
        <f>SUMIFS(Table1[Horas efetivas],Table1[Tabela],Plano_V3!E182,Table1[Campo],Plano_V3!F182)</f>
        <v>1.0249999999999999</v>
      </c>
      <c r="L182" s="180">
        <f t="shared" si="28"/>
        <v>0.12812499999999999</v>
      </c>
      <c r="M182" s="174"/>
      <c r="N182" s="174">
        <f t="shared" si="29"/>
        <v>0.25</v>
      </c>
      <c r="O182" s="174">
        <f t="shared" si="24"/>
        <v>0.25</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2"/>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2"/>
        <v>PROPERTY_ENERGY_CERTIFICATEGPS_LATITUDE</v>
      </c>
      <c r="B240" s="67"/>
      <c r="C240" s="68"/>
      <c r="D240" s="64" t="s">
        <v>40</v>
      </c>
      <c r="E240" s="66" t="s">
        <v>123</v>
      </c>
      <c r="F240" s="66" t="s">
        <v>2429</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2"/>
        <v>PROPERTY_ENERGY_CERTIFICATEGPS_LONGITUDE</v>
      </c>
      <c r="B241" s="67"/>
      <c r="C241" s="68"/>
      <c r="D241" s="64" t="s">
        <v>40</v>
      </c>
      <c r="E241" s="66" t="s">
        <v>123</v>
      </c>
      <c r="F241" s="66" t="s">
        <v>2430</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5"/>
        <v>0.98754699248120303</v>
      </c>
      <c r="O242" s="174">
        <f t="shared" si="30"/>
        <v>0.98754699248120303</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1845</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0"/>
        <v>modesg_param_sfics_taxon_europeian.a.</v>
      </c>
      <c r="B244" s="67" t="s">
        <v>26</v>
      </c>
      <c r="C244" s="68" t="s">
        <v>181</v>
      </c>
      <c r="D244" s="64" t="s">
        <v>36</v>
      </c>
      <c r="E244" s="66" t="s">
        <v>2097</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0"/>
        <v>modesg_param_sfics_taxon_europeiacod_regra</v>
      </c>
      <c r="B245" s="67" t="s">
        <v>26</v>
      </c>
      <c r="C245" s="68" t="s">
        <v>181</v>
      </c>
      <c r="D245" s="64" t="s">
        <v>40</v>
      </c>
      <c r="E245" s="66" t="s">
        <v>2097</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0"/>
        <v>modesg_param_sfics_taxon_europeianivel</v>
      </c>
      <c r="B246" s="67" t="s">
        <v>26</v>
      </c>
      <c r="C246" s="68" t="s">
        <v>181</v>
      </c>
      <c r="D246" s="64" t="s">
        <v>40</v>
      </c>
      <c r="E246" s="66" t="s">
        <v>2097</v>
      </c>
      <c r="F246" s="64" t="s">
        <v>2408</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0"/>
        <v>modesg_param_sfics_taxon_europeiagrupo_regra</v>
      </c>
      <c r="B247" s="67" t="s">
        <v>26</v>
      </c>
      <c r="C247" s="68" t="s">
        <v>181</v>
      </c>
      <c r="D247" s="64" t="s">
        <v>40</v>
      </c>
      <c r="E247" s="66" t="s">
        <v>2097</v>
      </c>
      <c r="F247" s="64" t="s">
        <v>2416</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c r="A248" s="29" t="str">
        <f t="shared" si="40"/>
        <v>modesg_param_sfics_taxon_europeiadscrc</v>
      </c>
      <c r="B248" s="67" t="s">
        <v>26</v>
      </c>
      <c r="C248" s="68" t="s">
        <v>181</v>
      </c>
      <c r="D248" s="64" t="s">
        <v>40</v>
      </c>
      <c r="E248" s="66" t="s">
        <v>2097</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0"/>
        <v>modesg_param_sfics_taxon_europeiacomite</v>
      </c>
      <c r="B249" s="67" t="s">
        <v>26</v>
      </c>
      <c r="C249" s="68" t="s">
        <v>181</v>
      </c>
      <c r="D249" s="64" t="s">
        <v>40</v>
      </c>
      <c r="E249" s="66" t="s">
        <v>2097</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0"/>
        <v>modesg_param_sfics_taxon_europeiadata_aprvc</v>
      </c>
      <c r="B250" s="67" t="s">
        <v>26</v>
      </c>
      <c r="C250" s="68" t="s">
        <v>181</v>
      </c>
      <c r="D250" s="64" t="s">
        <v>40</v>
      </c>
      <c r="E250" s="66" t="s">
        <v>2097</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0"/>
        <v>modesg_param_sfics_taxon_europeiadata_inicial</v>
      </c>
      <c r="B251" s="67" t="s">
        <v>26</v>
      </c>
      <c r="C251" s="68" t="s">
        <v>181</v>
      </c>
      <c r="D251" s="64" t="s">
        <v>40</v>
      </c>
      <c r="E251" s="66" t="s">
        <v>2097</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0"/>
        <v>modesg_param_sfics_taxon_europeiadata_final</v>
      </c>
      <c r="B252" s="67" t="s">
        <v>26</v>
      </c>
      <c r="C252" s="68" t="s">
        <v>181</v>
      </c>
      <c r="D252" s="64" t="s">
        <v>40</v>
      </c>
      <c r="E252" s="66" t="s">
        <v>2097</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0"/>
        <v>modesg_param_sfics_taxon_europeiazcliente</v>
      </c>
      <c r="B253" s="67" t="s">
        <v>26</v>
      </c>
      <c r="C253" s="68" t="s">
        <v>181</v>
      </c>
      <c r="D253" s="64" t="s">
        <v>40</v>
      </c>
      <c r="E253" s="66" t="s">
        <v>2097</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0"/>
        <v>modesg_param_sfics_taxon_europeiacempcta</v>
      </c>
      <c r="B254" s="67" t="s">
        <v>26</v>
      </c>
      <c r="C254" s="68" t="s">
        <v>181</v>
      </c>
      <c r="D254" s="64" t="s">
        <v>40</v>
      </c>
      <c r="E254" s="66" t="s">
        <v>2097</v>
      </c>
      <c r="F254" s="64" t="s">
        <v>2403</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0"/>
        <v>modesg_param_sfics_taxon_europeiackbalcao</v>
      </c>
      <c r="B255" s="67" t="s">
        <v>26</v>
      </c>
      <c r="C255" s="68" t="s">
        <v>181</v>
      </c>
      <c r="D255" s="64" t="s">
        <v>40</v>
      </c>
      <c r="E255" s="66" t="s">
        <v>2097</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0"/>
        <v>modesg_param_sfics_taxon_europeiacknumcta</v>
      </c>
      <c r="B256" s="67" t="s">
        <v>26</v>
      </c>
      <c r="C256" s="68" t="s">
        <v>181</v>
      </c>
      <c r="D256" s="64" t="s">
        <v>40</v>
      </c>
      <c r="E256" s="66" t="s">
        <v>2097</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modesg_param_sfics_taxon_europeiazdeposit</v>
      </c>
      <c r="B257" s="67" t="s">
        <v>26</v>
      </c>
      <c r="C257" s="68" t="s">
        <v>181</v>
      </c>
      <c r="D257" s="64" t="s">
        <v>40</v>
      </c>
      <c r="E257" s="66" t="s">
        <v>2097</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modesg_param_sfics_taxon_europeiackmetamis</v>
      </c>
      <c r="B258" s="67" t="s">
        <v>26</v>
      </c>
      <c r="C258" s="68" t="s">
        <v>181</v>
      </c>
      <c r="D258" s="64" t="s">
        <v>40</v>
      </c>
      <c r="E258" s="66" t="s">
        <v>2097</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modesg_param_sfics_taxon_europeiackprodmi</v>
      </c>
      <c r="B259" s="67" t="s">
        <v>26</v>
      </c>
      <c r="C259" s="68" t="s">
        <v>181</v>
      </c>
      <c r="D259" s="64" t="s">
        <v>40</v>
      </c>
      <c r="E259" s="66" t="s">
        <v>2097</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modesg_param_sfics_taxon_europeiacmetanseg</v>
      </c>
      <c r="B260" s="67" t="s">
        <v>26</v>
      </c>
      <c r="C260" s="68" t="s">
        <v>181</v>
      </c>
      <c r="D260" s="64" t="s">
        <v>40</v>
      </c>
      <c r="E260" s="66" t="s">
        <v>2097</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modesg_param_sfics_taxon_europeiaepc</v>
      </c>
      <c r="B261" s="67" t="s">
        <v>26</v>
      </c>
      <c r="C261" s="68" t="s">
        <v>181</v>
      </c>
      <c r="D261" s="64" t="s">
        <v>40</v>
      </c>
      <c r="E261" s="66" t="s">
        <v>2097</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modesg_param_sfics_taxon_europeiaambito</v>
      </c>
      <c r="B262" s="67" t="s">
        <v>26</v>
      </c>
      <c r="C262" s="68" t="s">
        <v>181</v>
      </c>
      <c r="D262" s="64" t="s">
        <v>40</v>
      </c>
      <c r="E262" s="66" t="s">
        <v>2097</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modesg_param_sfics_taxon_europeianome_ctgr_sfics</v>
      </c>
      <c r="B263" s="67" t="s">
        <v>26</v>
      </c>
      <c r="C263" s="68" t="s">
        <v>181</v>
      </c>
      <c r="D263" s="64" t="s">
        <v>40</v>
      </c>
      <c r="E263" s="66" t="s">
        <v>2097</v>
      </c>
      <c r="F263" s="64" t="s">
        <v>2048</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modesg_param_sfics_taxon_europeiamontante_pndrc</v>
      </c>
      <c r="B264" s="67" t="s">
        <v>26</v>
      </c>
      <c r="C264" s="68" t="s">
        <v>181</v>
      </c>
      <c r="D264" s="64" t="s">
        <v>40</v>
      </c>
      <c r="E264" s="66" t="s">
        <v>2097</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modesg_param_sfics_taxon_europeiacontraparte</v>
      </c>
      <c r="B265" s="67" t="s">
        <v>26</v>
      </c>
      <c r="C265" s="68" t="s">
        <v>181</v>
      </c>
      <c r="D265" s="64" t="s">
        <v>40</v>
      </c>
      <c r="E265" s="66" t="s">
        <v>2097</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modesg_param_sfics_taxon_europeiaflag_project_finance</v>
      </c>
      <c r="B266" s="67" t="s">
        <v>26</v>
      </c>
      <c r="C266" s="68" t="s">
        <v>181</v>
      </c>
      <c r="D266" s="64" t="s">
        <v>40</v>
      </c>
      <c r="E266" s="66" t="s">
        <v>2097</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modesg_param_sfics_taxon_europeiaprdt_sprdt</v>
      </c>
      <c r="B267" s="67" t="s">
        <v>26</v>
      </c>
      <c r="C267" s="68" t="s">
        <v>181</v>
      </c>
      <c r="D267" s="64" t="s">
        <v>40</v>
      </c>
      <c r="E267" s="66" t="s">
        <v>2097</v>
      </c>
      <c r="F267" s="64" t="s">
        <v>2049</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0"/>
        <v>modesg_param_sfics_taxon_europeiaflg_csrd</v>
      </c>
      <c r="B268" s="67" t="s">
        <v>26</v>
      </c>
      <c r="C268" s="68" t="s">
        <v>181</v>
      </c>
      <c r="D268" s="64" t="s">
        <v>40</v>
      </c>
      <c r="E268" s="66" t="s">
        <v>2097</v>
      </c>
      <c r="F268" s="64" t="s">
        <v>2050</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0"/>
        <v>modesg_param_sfics_taxon_europeiacombustivel</v>
      </c>
      <c r="B269" s="67" t="s">
        <v>26</v>
      </c>
      <c r="C269" s="68" t="s">
        <v>181</v>
      </c>
      <c r="D269" s="64" t="s">
        <v>40</v>
      </c>
      <c r="E269" s="66" t="s">
        <v>2097</v>
      </c>
      <c r="F269" s="64" t="s">
        <v>2051</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0"/>
        <v>modesg_param_sfics_taxon_europeiaco2</v>
      </c>
      <c r="B270" s="67" t="s">
        <v>26</v>
      </c>
      <c r="C270" s="68" t="s">
        <v>181</v>
      </c>
      <c r="D270" s="64" t="s">
        <v>40</v>
      </c>
      <c r="E270" s="66" t="s">
        <v>2097</v>
      </c>
      <c r="F270" s="64" t="s">
        <v>2052</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0"/>
        <v>modesg_param_sfics_taxon_europeiacfamilia</v>
      </c>
      <c r="B271" s="67" t="s">
        <v>26</v>
      </c>
      <c r="C271" s="68" t="s">
        <v>181</v>
      </c>
      <c r="D271" s="64" t="s">
        <v>40</v>
      </c>
      <c r="E271" s="66" t="s">
        <v>2097</v>
      </c>
      <c r="F271" s="64" t="s">
        <v>2053</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0"/>
        <v>modesg_param_sfics_taxon_europeiaflg_rsc_fsc_crnc</v>
      </c>
      <c r="B272" s="67" t="s">
        <v>26</v>
      </c>
      <c r="C272" s="68" t="s">
        <v>181</v>
      </c>
      <c r="D272" s="64" t="s">
        <v>40</v>
      </c>
      <c r="E272" s="66" t="s">
        <v>2097</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0"/>
        <v>modesg_param_sfics_taxon_europeiaflg_rsc_fsc_agd</v>
      </c>
      <c r="B273" s="67" t="s">
        <v>26</v>
      </c>
      <c r="C273" s="68" t="s">
        <v>181</v>
      </c>
      <c r="D273" s="64" t="s">
        <v>40</v>
      </c>
      <c r="E273" s="66" t="s">
        <v>2097</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0"/>
        <v>modesg_param_sfics_taxon_europeiaproperty_purpose_code</v>
      </c>
      <c r="B274" s="67" t="s">
        <v>26</v>
      </c>
      <c r="C274" s="68" t="s">
        <v>181</v>
      </c>
      <c r="D274" s="64" t="s">
        <v>40</v>
      </c>
      <c r="E274" s="66" t="s">
        <v>2097</v>
      </c>
      <c r="F274" s="64" t="s">
        <v>2054</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2">E275&amp;F275</f>
        <v>modesg_param_sfics_taxon_europeiadabertur</v>
      </c>
      <c r="B275" s="67" t="s">
        <v>26</v>
      </c>
      <c r="C275" s="68" t="s">
        <v>181</v>
      </c>
      <c r="D275" s="64" t="s">
        <v>40</v>
      </c>
      <c r="E275" s="66" t="s">
        <v>2097</v>
      </c>
      <c r="F275" s="64" t="s">
        <v>2055</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2"/>
        <v>modesg_param_sfics_taxon_europeiatipo_eqp</v>
      </c>
      <c r="B276" s="67" t="s">
        <v>26</v>
      </c>
      <c r="C276" s="68" t="s">
        <v>181</v>
      </c>
      <c r="D276" s="64" t="s">
        <v>40</v>
      </c>
      <c r="E276" s="66" t="s">
        <v>2097</v>
      </c>
      <c r="F276" s="64" t="s">
        <v>2056</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2"/>
        <v>modesg_param_sfics_taxon_europeiaconstruction_year</v>
      </c>
      <c r="B277" s="67" t="s">
        <v>26</v>
      </c>
      <c r="C277" s="68" t="s">
        <v>181</v>
      </c>
      <c r="D277" s="64" t="s">
        <v>40</v>
      </c>
      <c r="E277" s="66" t="s">
        <v>2097</v>
      </c>
      <c r="F277" s="64" t="s">
        <v>2057</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2"/>
        <v>modesg_param_sfics_taxon_europeiaref_date</v>
      </c>
      <c r="B278" s="67" t="s">
        <v>26</v>
      </c>
      <c r="C278" s="68" t="s">
        <v>181</v>
      </c>
      <c r="D278" s="64" t="s">
        <v>40</v>
      </c>
      <c r="E278" s="66" t="s">
        <v>2097</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2"/>
        <v>modesg_param_sfics_taxon_europeiaquality_score</v>
      </c>
      <c r="B279" s="67" t="s">
        <v>26</v>
      </c>
      <c r="C279" s="68" t="s">
        <v>181</v>
      </c>
      <c r="D279" s="64" t="s">
        <v>40</v>
      </c>
      <c r="E279" s="66" t="s">
        <v>2097</v>
      </c>
      <c r="F279" s="64" t="s">
        <v>2058</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2"/>
        <v>modesg_param_sfics_taxon_europeiaprimary_energy_req_value</v>
      </c>
      <c r="B280" s="67" t="s">
        <v>26</v>
      </c>
      <c r="C280" s="68" t="s">
        <v>181</v>
      </c>
      <c r="D280" s="64" t="s">
        <v>40</v>
      </c>
      <c r="E280" s="66" t="s">
        <v>2097</v>
      </c>
      <c r="F280" s="64" t="s">
        <v>2412</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2"/>
        <v>modesg_param_sfics_taxon_europeianet_floor_area</v>
      </c>
      <c r="B281" s="67" t="s">
        <v>26</v>
      </c>
      <c r="C281" s="68" t="s">
        <v>181</v>
      </c>
      <c r="D281" s="64" t="s">
        <v>40</v>
      </c>
      <c r="E281" s="66" t="s">
        <v>2097</v>
      </c>
      <c r="F281" s="64" t="s">
        <v>2401</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2"/>
        <v>modesg_param_sfics_taxon_europeianome_purpose_esg_nalinh_tax</v>
      </c>
      <c r="B282" s="67" t="s">
        <v>26</v>
      </c>
      <c r="C282" s="68" t="s">
        <v>181</v>
      </c>
      <c r="D282" s="64" t="s">
        <v>40</v>
      </c>
      <c r="E282" s="66" t="s">
        <v>2097</v>
      </c>
      <c r="F282" s="64" t="s">
        <v>2060</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2"/>
        <v>modesg_param_sfics_taxon_europeianome_purpose_esg_alinh_tax</v>
      </c>
      <c r="B283" s="67" t="s">
        <v>26</v>
      </c>
      <c r="C283" s="68" t="s">
        <v>181</v>
      </c>
      <c r="D283" s="64" t="s">
        <v>40</v>
      </c>
      <c r="E283" s="66" t="s">
        <v>2097</v>
      </c>
      <c r="F283" s="64" t="s">
        <v>2059</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2"/>
        <v>modesg_param_sfics_taxon_europeianome_general_specific_purpose</v>
      </c>
      <c r="B284" s="67" t="s">
        <v>26</v>
      </c>
      <c r="C284" s="68" t="s">
        <v>181</v>
      </c>
      <c r="D284" s="64" t="s">
        <v>40</v>
      </c>
      <c r="E284" s="66" t="s">
        <v>2097</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2"/>
        <v>modesg_param_sfics_taxon_europeianome_specific_eligible</v>
      </c>
      <c r="B285" s="67" t="s">
        <v>26</v>
      </c>
      <c r="C285" s="68" t="s">
        <v>181</v>
      </c>
      <c r="D285" s="64" t="s">
        <v>40</v>
      </c>
      <c r="E285" s="66" t="s">
        <v>2097</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2"/>
        <v>modesg_param_sfics_taxon_europeiasst_indctr_aux</v>
      </c>
      <c r="B286" s="67" t="s">
        <v>26</v>
      </c>
      <c r="C286" s="68" t="s">
        <v>181</v>
      </c>
      <c r="D286" s="64" t="s">
        <v>40</v>
      </c>
      <c r="E286" s="66" t="s">
        <v>2097</v>
      </c>
      <c r="F286" s="64" t="s">
        <v>2417</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2"/>
        <v>modesg_param_sfics_taxon_europeianome_specific_sustainable</v>
      </c>
      <c r="B287" s="67" t="s">
        <v>26</v>
      </c>
      <c r="C287" s="68" t="s">
        <v>181</v>
      </c>
      <c r="D287" s="64" t="s">
        <v>40</v>
      </c>
      <c r="E287" s="66" t="s">
        <v>2097</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2410</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7"/>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7"/>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7"/>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7"/>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7"/>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7"/>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7"/>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7"/>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7"/>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1842</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2080</v>
      </c>
      <c r="F543" s="64" t="s">
        <v>38</v>
      </c>
      <c r="G543" s="64" t="str">
        <f>INDEX(Auxiliar!$B$16:$B$24,MATCH(Plano_V3!H543,Auxiliar!$C$16:$C$24,0),1)</f>
        <v>2.1 Em Teste</v>
      </c>
      <c r="H543" s="64">
        <f>VLOOKUP(A543,'Aux - pivots1'!$A:$B,2,0)</f>
        <v>2</v>
      </c>
      <c r="I543" s="180">
        <f>SUMIFS(Table1[Estimação (horas)],Table1[Tabela],Plano_V3!E543,Table1[Campo],Plano_V3!F543)</f>
        <v>8</v>
      </c>
      <c r="J543" s="180">
        <f t="shared" si="341"/>
        <v>1</v>
      </c>
      <c r="K543" s="180">
        <f>SUMIFS(Table1[Horas efetivas],Table1[Tabela],Plano_V3!E543,Table1[Campo],Plano_V3!F543)</f>
        <v>4</v>
      </c>
      <c r="L543" s="180">
        <f t="shared" si="342"/>
        <v>0.5</v>
      </c>
      <c r="M543" s="174"/>
      <c r="N543" s="174">
        <f t="shared" si="343"/>
        <v>0.5</v>
      </c>
      <c r="O543" s="174">
        <f t="shared" si="338"/>
        <v>0.5</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2080</v>
      </c>
      <c r="F544" s="64" t="s">
        <v>183</v>
      </c>
      <c r="G544" s="64" t="str">
        <f>INDEX(Auxiliar!$B$16:$B$24,MATCH(Plano_V3!H544,Auxiliar!$C$16:$C$24,0),1)</f>
        <v>2.1 Em Teste</v>
      </c>
      <c r="H544" s="64">
        <f>VLOOKUP(A544,'Aux - pivots1'!$A:$B,2,0)</f>
        <v>2</v>
      </c>
      <c r="I544" s="180">
        <f>SUMIFS(Table1[Estimação (horas)],Table1[Tabela],Plano_V3!E544,Table1[Campo],Plano_V3!F544)</f>
        <v>4.0999999999999996</v>
      </c>
      <c r="J544" s="180">
        <f t="shared" si="341"/>
        <v>0.51249999999999996</v>
      </c>
      <c r="K544" s="180">
        <f>SUMIFS(Table1[Horas efetivas],Table1[Tabela],Plano_V3!E544,Table1[Campo],Plano_V3!F544)</f>
        <v>2.0499999999999998</v>
      </c>
      <c r="L544" s="180">
        <f t="shared" si="342"/>
        <v>0.25624999999999998</v>
      </c>
      <c r="M544" s="174"/>
      <c r="N544" s="174">
        <f t="shared" si="343"/>
        <v>0.5</v>
      </c>
      <c r="O544" s="174">
        <f t="shared" si="338"/>
        <v>0.5</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2080</v>
      </c>
      <c r="F545" s="64" t="s">
        <v>184</v>
      </c>
      <c r="G545" s="64" t="str">
        <f>INDEX(Auxiliar!$B$16:$B$24,MATCH(Plano_V3!H545,Auxiliar!$C$16:$C$24,0),1)</f>
        <v>2.1 Em Teste</v>
      </c>
      <c r="H545" s="64">
        <f>VLOOKUP(A545,'Aux - pivots1'!$A:$B,2,0)</f>
        <v>2</v>
      </c>
      <c r="I545" s="180">
        <f>SUMIFS(Table1[Estimação (horas)],Table1[Tabela],Plano_V3!E545,Table1[Campo],Plano_V3!F545)</f>
        <v>4.0999999999999996</v>
      </c>
      <c r="J545" s="180">
        <f t="shared" si="341"/>
        <v>0.51249999999999996</v>
      </c>
      <c r="K545" s="180">
        <f>SUMIFS(Table1[Horas efetivas],Table1[Tabela],Plano_V3!E545,Table1[Campo],Plano_V3!F545)</f>
        <v>2.0499999999999998</v>
      </c>
      <c r="L545" s="180">
        <f t="shared" si="342"/>
        <v>0.25624999999999998</v>
      </c>
      <c r="M545" s="174"/>
      <c r="N545" s="174">
        <f t="shared" si="343"/>
        <v>0.5</v>
      </c>
      <c r="O545" s="174">
        <f t="shared" si="338"/>
        <v>0.5</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2080</v>
      </c>
      <c r="F546" s="64" t="s">
        <v>189</v>
      </c>
      <c r="G546" s="64" t="str">
        <f>INDEX(Auxiliar!$B$16:$B$24,MATCH(Plano_V3!H546,Auxiliar!$C$16:$C$24,0),1)</f>
        <v>2.1 Em Teste</v>
      </c>
      <c r="H546" s="64">
        <f>VLOOKUP(A546,'Aux - pivots1'!$A:$B,2,0)</f>
        <v>2</v>
      </c>
      <c r="I546" s="180">
        <f>SUMIFS(Table1[Estimação (horas)],Table1[Tabela],Plano_V3!E546,Table1[Campo],Plano_V3!F546)</f>
        <v>4.0999999999999996</v>
      </c>
      <c r="J546" s="180">
        <f t="shared" si="341"/>
        <v>0.51249999999999996</v>
      </c>
      <c r="K546" s="180">
        <f>SUMIFS(Table1[Horas efetivas],Table1[Tabela],Plano_V3!E546,Table1[Campo],Plano_V3!F546)</f>
        <v>2.0499999999999998</v>
      </c>
      <c r="L546" s="180">
        <f t="shared" si="342"/>
        <v>0.25624999999999998</v>
      </c>
      <c r="M546" s="174"/>
      <c r="N546" s="174">
        <f t="shared" si="343"/>
        <v>0.5</v>
      </c>
      <c r="O546" s="174">
        <f t="shared" si="338"/>
        <v>0.5</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2080</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2080</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2408</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2080</v>
      </c>
      <c r="F550" s="64" t="s">
        <v>202</v>
      </c>
      <c r="G550" s="64" t="str">
        <f>INDEX(Auxiliar!$B$16:$B$24,MATCH(Plano_V3!H550,Auxiliar!$C$16:$C$24,0),1)</f>
        <v>2.1 Em Teste</v>
      </c>
      <c r="H550" s="64">
        <f>VLOOKUP(A550,'Aux - pivots1'!$A:$B,2,0)</f>
        <v>2</v>
      </c>
      <c r="I550" s="180">
        <f>SUMIFS(Table1[Estimação (horas)],Table1[Tabela],Plano_V3!E550,Table1[Campo],Plano_V3!F550)</f>
        <v>16.100000000000001</v>
      </c>
      <c r="J550" s="180">
        <f t="shared" si="341"/>
        <v>2.0125000000000002</v>
      </c>
      <c r="K550" s="180">
        <f>SUMIFS(Table1[Horas efetivas],Table1[Tabela],Plano_V3!E550,Table1[Campo],Plano_V3!F550)</f>
        <v>8.0500000000000007</v>
      </c>
      <c r="L550" s="180">
        <f t="shared" si="342"/>
        <v>1.0062500000000001</v>
      </c>
      <c r="M550" s="174"/>
      <c r="N550" s="174">
        <f t="shared" si="343"/>
        <v>0.5</v>
      </c>
      <c r="O550" s="174">
        <f t="shared" si="338"/>
        <v>0.5</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2080</v>
      </c>
      <c r="F551" s="64" t="s">
        <v>2048</v>
      </c>
      <c r="G551" s="64" t="str">
        <f>INDEX(Auxiliar!$B$16:$B$24,MATCH(Plano_V3!H551,Auxiliar!$C$16:$C$24,0),1)</f>
        <v>2.1 Em Teste</v>
      </c>
      <c r="H551" s="64">
        <f>VLOOKUP(A551,'Aux - pivots1'!$A:$B,2,0)</f>
        <v>2</v>
      </c>
      <c r="I551" s="180">
        <f>SUMIFS(Table1[Estimação (horas)],Table1[Tabela],Plano_V3!E551,Table1[Campo],Plano_V3!F551)</f>
        <v>16.100000000000001</v>
      </c>
      <c r="J551" s="180">
        <f t="shared" si="341"/>
        <v>2.0125000000000002</v>
      </c>
      <c r="K551" s="180">
        <f>SUMIFS(Table1[Horas efetivas],Table1[Tabela],Plano_V3!E551,Table1[Campo],Plano_V3!F551)</f>
        <v>8.0500000000000007</v>
      </c>
      <c r="L551" s="180">
        <f t="shared" si="342"/>
        <v>1.0062500000000001</v>
      </c>
      <c r="M551" s="174"/>
      <c r="N551" s="174">
        <f t="shared" si="343"/>
        <v>0.5</v>
      </c>
      <c r="O551" s="174">
        <f t="shared" si="338"/>
        <v>0.5</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2080</v>
      </c>
      <c r="F552" s="64" t="s">
        <v>204</v>
      </c>
      <c r="G552" s="64" t="str">
        <f>INDEX(Auxiliar!$B$16:$B$24,MATCH(Plano_V3!H552,Auxiliar!$C$16:$C$24,0),1)</f>
        <v>2.1 Em Teste</v>
      </c>
      <c r="H552" s="64">
        <f>VLOOKUP(A552,'Aux - pivots1'!$A:$B,2,0)</f>
        <v>2</v>
      </c>
      <c r="I552" s="180">
        <f>SUMIFS(Table1[Estimação (horas)],Table1[Tabela],Plano_V3!E552,Table1[Campo],Plano_V3!F552)</f>
        <v>8.1</v>
      </c>
      <c r="J552" s="180">
        <f t="shared" si="341"/>
        <v>1.0125</v>
      </c>
      <c r="K552" s="180">
        <f>SUMIFS(Table1[Horas efetivas],Table1[Tabela],Plano_V3!E552,Table1[Campo],Plano_V3!F552)</f>
        <v>4.05</v>
      </c>
      <c r="L552" s="180">
        <f t="shared" si="342"/>
        <v>0.50624999999999998</v>
      </c>
      <c r="M552" s="174"/>
      <c r="N552" s="174">
        <f t="shared" si="343"/>
        <v>0.5</v>
      </c>
      <c r="O552" s="174">
        <f t="shared" si="338"/>
        <v>0.5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2080</v>
      </c>
      <c r="F553" s="64" t="s">
        <v>2059</v>
      </c>
      <c r="G553" s="64" t="str">
        <f>INDEX(Auxiliar!$B$16:$B$24,MATCH(Plano_V3!H553,Auxiliar!$C$16:$C$24,0),1)</f>
        <v>2.1 Em Teste</v>
      </c>
      <c r="H553" s="64">
        <f>VLOOKUP(A553,'Aux - pivots1'!$A:$B,2,0)</f>
        <v>2</v>
      </c>
      <c r="I553" s="180">
        <f>SUMIFS(Table1[Estimação (horas)],Table1[Tabela],Plano_V3!E553,Table1[Campo],Plano_V3!F553)</f>
        <v>8.1</v>
      </c>
      <c r="J553" s="180">
        <f>I553/8</f>
        <v>1.0125</v>
      </c>
      <c r="K553" s="180">
        <f>SUMIFS(Table1[Horas efetivas],Table1[Tabela],Plano_V3!E553,Table1[Campo],Plano_V3!F553)</f>
        <v>4.05</v>
      </c>
      <c r="L553" s="180">
        <f>K553/8</f>
        <v>0.50624999999999998</v>
      </c>
      <c r="M553" s="174"/>
      <c r="N553" s="174">
        <f>L553/J553</f>
        <v>0.5</v>
      </c>
      <c r="O553" s="174">
        <f>N553-M553</f>
        <v>0.5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2080</v>
      </c>
      <c r="F554" s="64" t="s">
        <v>2060</v>
      </c>
      <c r="G554" s="64" t="str">
        <f>INDEX(Auxiliar!$B$16:$B$24,MATCH(Plano_V3!H554,Auxiliar!$C$16:$C$24,0),1)</f>
        <v>2.1 Em Teste</v>
      </c>
      <c r="H554" s="64">
        <f>VLOOKUP(A554,'Aux - pivots1'!$A:$B,2,0)</f>
        <v>2</v>
      </c>
      <c r="I554" s="180">
        <f>SUMIFS(Table1[Estimação (horas)],Table1[Tabela],Plano_V3!E554,Table1[Campo],Plano_V3!F554)</f>
        <v>8.1</v>
      </c>
      <c r="J554" s="180">
        <f t="shared" si="341"/>
        <v>1.0125</v>
      </c>
      <c r="K554" s="180">
        <f>SUMIFS(Table1[Horas efetivas],Table1[Tabela],Plano_V3!E554,Table1[Campo],Plano_V3!F554)</f>
        <v>4.05</v>
      </c>
      <c r="L554" s="180">
        <f t="shared" si="342"/>
        <v>0.50624999999999998</v>
      </c>
      <c r="M554" s="174"/>
      <c r="N554" s="174">
        <f t="shared" si="343"/>
        <v>0.5</v>
      </c>
      <c r="O554" s="174">
        <f t="shared" si="338"/>
        <v>0.5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2080</v>
      </c>
      <c r="F555" s="64" t="s">
        <v>206</v>
      </c>
      <c r="G555" s="64" t="str">
        <f>INDEX(Auxiliar!$B$16:$B$24,MATCH(Plano_V3!H555,Auxiliar!$C$16:$C$24,0),1)</f>
        <v>2.1 Em Teste</v>
      </c>
      <c r="H555" s="64">
        <f>VLOOKUP(A555,'Aux - pivots1'!$A:$B,2,0)</f>
        <v>2</v>
      </c>
      <c r="I555" s="180">
        <f>SUMIFS(Table1[Estimação (horas)],Table1[Tabela],Plano_V3!E555,Table1[Campo],Plano_V3!F555)</f>
        <v>8.1</v>
      </c>
      <c r="J555" s="180">
        <f t="shared" si="341"/>
        <v>1.0125</v>
      </c>
      <c r="K555" s="180">
        <f>SUMIFS(Table1[Horas efetivas],Table1[Tabela],Plano_V3!E555,Table1[Campo],Plano_V3!F555)</f>
        <v>4.05</v>
      </c>
      <c r="L555" s="180">
        <f t="shared" si="342"/>
        <v>0.50624999999999998</v>
      </c>
      <c r="M555" s="174"/>
      <c r="N555" s="174">
        <f t="shared" si="343"/>
        <v>0.5</v>
      </c>
      <c r="O555" s="174">
        <f t="shared" si="338"/>
        <v>0.5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2080</v>
      </c>
      <c r="F556" s="64" t="s">
        <v>207</v>
      </c>
      <c r="G556" s="64" t="str">
        <f>INDEX(Auxiliar!$B$16:$B$24,MATCH(Plano_V3!H556,Auxiliar!$C$16:$C$24,0),1)</f>
        <v>2.1 Em Teste</v>
      </c>
      <c r="H556" s="64">
        <f>VLOOKUP(A556,'Aux - pivots1'!$A:$B,2,0)</f>
        <v>2</v>
      </c>
      <c r="I556" s="180">
        <f>SUMIFS(Table1[Estimação (horas)],Table1[Tabela],Plano_V3!E556,Table1[Campo],Plano_V3!F556)</f>
        <v>8.1</v>
      </c>
      <c r="J556" s="180">
        <f t="shared" si="341"/>
        <v>1.0125</v>
      </c>
      <c r="K556" s="180">
        <f>SUMIFS(Table1[Horas efetivas],Table1[Tabela],Plano_V3!E556,Table1[Campo],Plano_V3!F556)</f>
        <v>4.05</v>
      </c>
      <c r="L556" s="180">
        <f t="shared" si="342"/>
        <v>0.50624999999999998</v>
      </c>
      <c r="M556" s="174"/>
      <c r="N556" s="174">
        <f t="shared" si="343"/>
        <v>0.5</v>
      </c>
      <c r="O556" s="174">
        <f t="shared" si="338"/>
        <v>0.5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2080</v>
      </c>
      <c r="F557" s="64" t="s">
        <v>418</v>
      </c>
      <c r="G557" s="64" t="str">
        <f>INDEX(Auxiliar!$B$16:$B$24,MATCH(Plano_V3!H557,Auxiliar!$C$16:$C$24,0),1)</f>
        <v>2.1 Em Teste</v>
      </c>
      <c r="H557" s="64">
        <f>VLOOKUP(A557,'Aux - pivots1'!$A:$B,2,0)</f>
        <v>2</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2080</v>
      </c>
      <c r="F559" s="64" t="s">
        <v>208</v>
      </c>
      <c r="G559" s="64" t="str">
        <f>INDEX(Auxiliar!$B$16:$B$24,MATCH(Plano_V3!H559,Auxiliar!$C$16:$C$24,0),1)</f>
        <v>2.1 Em Teste</v>
      </c>
      <c r="H559" s="64">
        <f>VLOOKUP(A559,'Aux - pivots1'!$A:$B,2,0)</f>
        <v>2</v>
      </c>
      <c r="I559" s="180">
        <f>SUMIFS(Table1[Estimação (horas)],Table1[Tabela],Plano_V3!E559,Table1[Campo],Plano_V3!F559)</f>
        <v>4.0999999999999996</v>
      </c>
      <c r="J559" s="180">
        <f t="shared" si="341"/>
        <v>0.51249999999999996</v>
      </c>
      <c r="K559" s="180">
        <f>SUMIFS(Table1[Horas efetivas],Table1[Tabela],Plano_V3!E559,Table1[Campo],Plano_V3!F559)</f>
        <v>2.0499999999999998</v>
      </c>
      <c r="L559" s="180">
        <f t="shared" si="342"/>
        <v>0.25624999999999998</v>
      </c>
      <c r="M559" s="174"/>
      <c r="N559" s="174">
        <f t="shared" si="343"/>
        <v>0.5</v>
      </c>
      <c r="O559" s="174">
        <f t="shared" si="338"/>
        <v>0.5</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2080</v>
      </c>
      <c r="F560" s="64" t="s">
        <v>210</v>
      </c>
      <c r="G560" s="64" t="str">
        <f>INDEX(Auxiliar!$B$16:$B$24,MATCH(Plano_V3!H560,Auxiliar!$C$16:$C$24,0),1)</f>
        <v>2.1 Em Teste</v>
      </c>
      <c r="H560" s="64">
        <f>VLOOKUP(A560,'Aux - pivots1'!$A:$B,2,0)</f>
        <v>2</v>
      </c>
      <c r="I560" s="180">
        <f>SUMIFS(Table1[Estimação (horas)],Table1[Tabela],Plano_V3!E560,Table1[Campo],Plano_V3!F560)</f>
        <v>8.1</v>
      </c>
      <c r="J560" s="180">
        <f t="shared" si="341"/>
        <v>1.0125</v>
      </c>
      <c r="K560" s="180">
        <f>SUMIFS(Table1[Horas efetivas],Table1[Tabela],Plano_V3!E560,Table1[Campo],Plano_V3!F560)</f>
        <v>4.05</v>
      </c>
      <c r="L560" s="180">
        <f t="shared" si="342"/>
        <v>0.50624999999999998</v>
      </c>
      <c r="M560" s="174"/>
      <c r="N560" s="174">
        <f t="shared" si="343"/>
        <v>0.5</v>
      </c>
      <c r="O560" s="174">
        <f t="shared" si="338"/>
        <v>0.5</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1846</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4" t="s">
        <v>2193</v>
      </c>
      <c r="G596" s="64" t="str">
        <f>INDEX(Auxiliar!$B$16:$B$24,MATCH(Plano_V3!H596,Auxiliar!$C$16:$C$24,0),1)</f>
        <v>5. Em Correção</v>
      </c>
      <c r="H596" s="64">
        <f>VLOOKUP(A596,'Aux - pivots1'!$A:$B,2,0)</f>
        <v>6</v>
      </c>
      <c r="I596" s="172">
        <f>SUMIFS(Table1[Estimação (horas)],Table1[Tabela],Plano_V3!E596,Table1[Campo],Plano_V3!F596)</f>
        <v>1</v>
      </c>
      <c r="J596" s="172">
        <f t="shared" si="349"/>
        <v>0.125</v>
      </c>
      <c r="K596" s="172">
        <f>SUMIFS(Table1[Horas efetivas],Table1[Tabela],Plano_V3!E596,Table1[Campo],Plano_V3!F596)</f>
        <v>0.25</v>
      </c>
      <c r="L596" s="172">
        <f t="shared" si="350"/>
        <v>3.125E-2</v>
      </c>
      <c r="M596" s="174"/>
      <c r="N596" s="174">
        <f t="shared" si="351"/>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4" t="s">
        <v>2194</v>
      </c>
      <c r="G597" s="64" t="str">
        <f>INDEX(Auxiliar!$B$16:$B$24,MATCH(Plano_V3!H597,Auxiliar!$C$16:$C$24,0),1)</f>
        <v>5. Em Correção</v>
      </c>
      <c r="H597" s="64">
        <f>VLOOKUP(A597,'Aux - pivots1'!$A:$B,2,0)</f>
        <v>6</v>
      </c>
      <c r="I597" s="172">
        <f>SUMIFS(Table1[Estimação (horas)],Table1[Tabela],Plano_V3!E597,Table1[Campo],Plano_V3!F597)</f>
        <v>1</v>
      </c>
      <c r="J597" s="172">
        <f t="shared" si="349"/>
        <v>0.125</v>
      </c>
      <c r="K597" s="172">
        <f>SUMIFS(Table1[Horas efetivas],Table1[Tabela],Plano_V3!E597,Table1[Campo],Plano_V3!F597)</f>
        <v>0.25</v>
      </c>
      <c r="L597" s="172">
        <f t="shared" si="350"/>
        <v>3.125E-2</v>
      </c>
      <c r="M597" s="174"/>
      <c r="N597" s="174">
        <f t="shared" si="351"/>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4" t="s">
        <v>2195</v>
      </c>
      <c r="G598" s="64" t="str">
        <f>INDEX(Auxiliar!$B$16:$B$24,MATCH(Plano_V3!H598,Auxiliar!$C$16:$C$24,0),1)</f>
        <v>5. Em Correção</v>
      </c>
      <c r="H598" s="64">
        <f>VLOOKUP(A598,'Aux - pivots1'!$A:$B,2,0)</f>
        <v>6</v>
      </c>
      <c r="I598" s="172">
        <f>SUMIFS(Table1[Estimação (horas)],Table1[Tabela],Plano_V3!E598,Table1[Campo],Plano_V3!F598)</f>
        <v>1</v>
      </c>
      <c r="J598" s="172">
        <f t="shared" si="349"/>
        <v>0.125</v>
      </c>
      <c r="K598" s="172">
        <f>SUMIFS(Table1[Horas efetivas],Table1[Tabela],Plano_V3!E598,Table1[Campo],Plano_V3!F598)</f>
        <v>0.25</v>
      </c>
      <c r="L598" s="172">
        <f t="shared" si="350"/>
        <v>3.125E-2</v>
      </c>
      <c r="M598" s="174"/>
      <c r="N598" s="174">
        <f t="shared" si="351"/>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2">I619/8</f>
        <v>0.51249999999999996</v>
      </c>
      <c r="K619" s="172">
        <f>SUMIFS(Table1[Horas efetivas],Table1[Tabela],Plano_V3!E619,Table1[Campo],Plano_V3!F619)</f>
        <v>1.0249999999999999</v>
      </c>
      <c r="L619" s="172">
        <f t="shared" ref="L619:L630" si="353">K619/8</f>
        <v>0.12812499999999999</v>
      </c>
      <c r="M619" s="174"/>
      <c r="N619" s="174">
        <f t="shared" ref="N619:N630" si="354">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2"/>
        <v>0.51249999999999996</v>
      </c>
      <c r="K620" s="172">
        <f>SUMIFS(Table1[Horas efetivas],Table1[Tabela],Plano_V3!E620,Table1[Campo],Plano_V3!F620)</f>
        <v>1.0249999999999999</v>
      </c>
      <c r="L620" s="172">
        <f t="shared" si="353"/>
        <v>0.12812499999999999</v>
      </c>
      <c r="M620" s="174"/>
      <c r="N620" s="174">
        <f t="shared" si="354"/>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4" t="s">
        <v>2244</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4" t="s">
        <v>2245</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4" t="s">
        <v>2246</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4" t="s">
        <v>2258</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4" t="s">
        <v>2259</v>
      </c>
      <c r="G646" s="64" t="str">
        <f>INDEX(Auxiliar!$B$16:$B$24,MATCH(Plano_V3!H646,Auxiliar!$C$16:$C$24,0),1)</f>
        <v>5. Em Correção</v>
      </c>
      <c r="H646" s="64">
        <f>VLOOKUP(A646,'Aux - pivots1'!$A:$B,2,0)</f>
        <v>6</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4" t="s">
        <v>2260</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4" t="s">
        <v>2262</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59"/>
        <v>0.51249999999999996</v>
      </c>
      <c r="K659" s="172">
        <f>SUMIFS(Table1[Horas efetivas],Table1[Tabela],Plano_V3!E659,Table1[Campo],Plano_V3!F659)</f>
        <v>2.0499999999999998</v>
      </c>
      <c r="L659" s="172">
        <f t="shared" si="360"/>
        <v>0.25624999999999998</v>
      </c>
      <c r="M659" s="174"/>
      <c r="N659" s="174">
        <f t="shared" si="361"/>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59"/>
        <v>0.51249999999999996</v>
      </c>
      <c r="K660" s="172">
        <f>SUMIFS(Table1[Horas efetivas],Table1[Tabela],Plano_V3!E660,Table1[Campo],Plano_V3!F660)</f>
        <v>2.0499999999999998</v>
      </c>
      <c r="L660" s="172">
        <f t="shared" si="360"/>
        <v>0.25624999999999998</v>
      </c>
      <c r="M660" s="174"/>
      <c r="N660" s="174">
        <f t="shared" si="361"/>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59"/>
        <v>0.51249999999999996</v>
      </c>
      <c r="K661" s="172">
        <f>SUMIFS(Table1[Horas efetivas],Table1[Tabela],Plano_V3!E661,Table1[Campo],Plano_V3!F661)</f>
        <v>2.0499999999999998</v>
      </c>
      <c r="L661" s="172">
        <f t="shared" si="360"/>
        <v>0.25624999999999998</v>
      </c>
      <c r="M661" s="174"/>
      <c r="N661" s="174">
        <f t="shared" si="361"/>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2">E662&amp;F662</f>
        <v>lt002_instrumentFRBRNC_STTS_INSTRMNT</v>
      </c>
      <c r="B662" s="67" t="s">
        <v>26</v>
      </c>
      <c r="C662" s="68" t="s">
        <v>26</v>
      </c>
      <c r="D662" s="64" t="s">
        <v>40</v>
      </c>
      <c r="E662" s="70" t="s">
        <v>379</v>
      </c>
      <c r="F662" s="71" t="s">
        <v>2164</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lt002_instrumentDT_ORGNL_MTRTY</v>
      </c>
      <c r="B664" s="67" t="s">
        <v>26</v>
      </c>
      <c r="C664" s="68" t="s">
        <v>26</v>
      </c>
      <c r="D664" s="64" t="s">
        <v>40</v>
      </c>
      <c r="E664" s="70" t="s">
        <v>379</v>
      </c>
      <c r="F664" s="71" t="s">
        <v>2166</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3"/>
        <v>0.25</v>
      </c>
      <c r="K666" s="172">
        <f>SUMIFS(Table1[Horas efetivas],Table1[Tabela],Plano_V3!E666,Table1[Campo],Plano_V3!F666)</f>
        <v>0.5</v>
      </c>
      <c r="L666" s="172">
        <f t="shared" si="364"/>
        <v>6.25E-2</v>
      </c>
      <c r="M666" s="174"/>
      <c r="N666" s="174">
        <f t="shared" si="365"/>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lt007_instr_activitysstnbl_indctr</v>
      </c>
      <c r="B721" s="67" t="s">
        <v>26</v>
      </c>
      <c r="C721" s="68" t="s">
        <v>26</v>
      </c>
      <c r="D721" s="64" t="s">
        <v>40</v>
      </c>
      <c r="E721" s="70" t="s">
        <v>1860</v>
      </c>
      <c r="F721" s="71" t="s">
        <v>418</v>
      </c>
      <c r="G721" s="64" t="str">
        <f>INDEX(Auxiliar!$B$16:$B$24,MATCH(Plano_V3!H721,Auxiliar!$C$16:$C$24,0),1)</f>
        <v>2.1 Em Teste</v>
      </c>
      <c r="H721" s="64">
        <f>VLOOKUP(A721,'Aux - pivots1'!$A:$B,2,0)</f>
        <v>2</v>
      </c>
      <c r="I721" s="172">
        <f>SUMIFS(Table1[Estimação (horas)],Table1[Tabela],Plano_V3!E721,Table1[Campo],Plano_V3!F721)</f>
        <v>0.1</v>
      </c>
      <c r="J721" s="172">
        <f t="shared" si="369"/>
        <v>1.2500000000000001E-2</v>
      </c>
      <c r="K721" s="172">
        <f>SUMIFS(Table1[Horas efetivas],Table1[Tabela],Plano_V3!E721,Table1[Campo],Plano_V3!F721)</f>
        <v>0.05</v>
      </c>
      <c r="L721" s="172">
        <f t="shared" si="370"/>
        <v>6.2500000000000003E-3</v>
      </c>
      <c r="M721" s="174"/>
      <c r="N721" s="174">
        <f t="shared" si="371"/>
        <v>0.5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3">E723&amp;F723</f>
        <v>lt007_instr_activityCOD_SOC</v>
      </c>
      <c r="B723" s="67" t="s">
        <v>26</v>
      </c>
      <c r="C723" s="68" t="s">
        <v>26</v>
      </c>
      <c r="D723" s="64" t="s">
        <v>40</v>
      </c>
      <c r="E723" s="70" t="s">
        <v>1860</v>
      </c>
      <c r="F723" s="354" t="s">
        <v>1293</v>
      </c>
      <c r="G723" s="64" t="str">
        <f>INDEX(Auxiliar!$B$16:$B$24,MATCH(Plano_V3!H723,Auxiliar!$C$16:$C$24,0),1)</f>
        <v>2.1 Em Teste</v>
      </c>
      <c r="H723" s="64">
        <f>VLOOKUP(A723,'Aux - pivots1'!$A:$B,2,0)</f>
        <v>2</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lt007_instr_activityINSTRMNT_ID</v>
      </c>
      <c r="B725" s="67" t="s">
        <v>26</v>
      </c>
      <c r="C725" s="68" t="s">
        <v>26</v>
      </c>
      <c r="D725" s="64" t="s">
        <v>40</v>
      </c>
      <c r="E725" s="70" t="s">
        <v>1860</v>
      </c>
      <c r="F725" s="354" t="s">
        <v>1307</v>
      </c>
      <c r="G725" s="64" t="str">
        <f>INDEX(Auxiliar!$B$16:$B$24,MATCH(Plano_V3!H725,Auxiliar!$C$16:$C$24,0),1)</f>
        <v>2.1 Em Teste</v>
      </c>
      <c r="H725" s="64">
        <f>VLOOKUP(A725,'Aux - pivots1'!$A:$B,2,0)</f>
        <v>2</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lt007_instr_activityDNSH_DTL</v>
      </c>
      <c r="B729" s="67" t="s">
        <v>26</v>
      </c>
      <c r="C729" s="68" t="s">
        <v>26</v>
      </c>
      <c r="D729" s="64" t="s">
        <v>40</v>
      </c>
      <c r="E729" s="70" t="s">
        <v>1860</v>
      </c>
      <c r="F729" s="354" t="s">
        <v>2295</v>
      </c>
      <c r="G729" s="64" t="str">
        <f>INDEX(Auxiliar!$B$16:$B$24,MATCH(Plano_V3!H729,Auxiliar!$C$16:$C$24,0),1)</f>
        <v>2.1 Em Teste</v>
      </c>
      <c r="H729" s="64">
        <f>VLOOKUP(A729,'Aux - pivots1'!$A:$B,2,0)</f>
        <v>2</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73680A-3B9B-4D0B-83FA-312B5BBF068B}"/>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purl.org/dc/elements/1.1/"/>
    <ds:schemaRef ds:uri="http://schemas.microsoft.com/office/2006/documentManagement/types"/>
    <ds:schemaRef ds:uri="http://schemas.microsoft.com/sharepoint/v3"/>
    <ds:schemaRef ds:uri="http://purl.org/dc/dcmitype/"/>
    <ds:schemaRef ds:uri="http://schemas.openxmlformats.org/package/2006/metadata/core-properties"/>
    <ds:schemaRef ds:uri="http://purl.org/dc/terms/"/>
    <ds:schemaRef ds:uri="http://schemas.microsoft.com/office/2006/metadata/properties"/>
    <ds:schemaRef ds:uri="http://www.w3.org/XML/1998/namespace"/>
    <ds:schemaRef ds:uri="http://schemas.microsoft.com/office/infopath/2007/PartnerControls"/>
    <ds:schemaRef ds:uri="6ea7b29d-57ec-408d-9ea9-cf73b04f66d5"/>
    <ds:schemaRef ds:uri="0683c779-04fc-4b63-89c9-6c25ffa1c0a4"/>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2025-04-10T17:57:43Z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